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4B1E3D61-81DA-41AE-BD83-FAF2CB9B6FA0}" xr6:coauthVersionLast="47" xr6:coauthVersionMax="47" xr10:uidLastSave="{00000000-0000-0000-0000-000000000000}"/>
  <bookViews>
    <workbookView xWindow="-120" yWindow="-120" windowWidth="20730" windowHeight="11160" firstSheet="2" activeTab="2" xr2:uid="{E6AE02E0-E73D-42CF-80FF-5987CABC3C28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H13" i="4" s="1"/>
  <c r="H14" i="4" s="1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K46" i="5" s="1"/>
  <c r="K47" i="5" s="1"/>
  <c r="L35" i="3"/>
  <c r="H35" i="3"/>
  <c r="H46" i="5" s="1"/>
  <c r="H47" i="5" s="1"/>
  <c r="I63" i="3"/>
  <c r="J63" i="3"/>
  <c r="K63" i="3"/>
  <c r="L63" i="3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J7" i="5" s="1"/>
  <c r="K31" i="3"/>
  <c r="L31" i="3"/>
  <c r="L7" i="5" s="1"/>
  <c r="H31" i="3"/>
  <c r="I62" i="3"/>
  <c r="J62" i="3"/>
  <c r="K62" i="3"/>
  <c r="L62" i="3"/>
  <c r="H62" i="3"/>
  <c r="D62" i="3"/>
  <c r="E62" i="3"/>
  <c r="F62" i="3"/>
  <c r="G62" i="3"/>
  <c r="C62" i="3"/>
  <c r="H45" i="4"/>
  <c r="H44" i="4"/>
  <c r="I44" i="4" s="1"/>
  <c r="I45" i="4" s="1"/>
  <c r="I46" i="5"/>
  <c r="I47" i="5" s="1"/>
  <c r="J46" i="5"/>
  <c r="J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10" i="5"/>
  <c r="H9" i="5"/>
  <c r="I9" i="5"/>
  <c r="J9" i="5"/>
  <c r="K9" i="5"/>
  <c r="L9" i="5"/>
  <c r="H8" i="5"/>
  <c r="I8" i="5"/>
  <c r="J8" i="5"/>
  <c r="K8" i="5"/>
  <c r="L8" i="5"/>
  <c r="H7" i="5"/>
  <c r="I7" i="5"/>
  <c r="I10" i="5" s="1"/>
  <c r="K7" i="5"/>
  <c r="K10" i="5" s="1"/>
  <c r="L66" i="4"/>
  <c r="H66" i="4"/>
  <c r="I67" i="4"/>
  <c r="J67" i="4" s="1"/>
  <c r="K67" i="4" s="1"/>
  <c r="L67" i="4" s="1"/>
  <c r="H67" i="4"/>
  <c r="H64" i="4"/>
  <c r="I65" i="4"/>
  <c r="I64" i="4" s="1"/>
  <c r="J65" i="4"/>
  <c r="J64" i="4" s="1"/>
  <c r="K65" i="4"/>
  <c r="L65" i="4" s="1"/>
  <c r="L64" i="4" s="1"/>
  <c r="H65" i="4"/>
  <c r="H62" i="4"/>
  <c r="I63" i="4"/>
  <c r="I62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H42" i="4"/>
  <c r="H46" i="4" s="1"/>
  <c r="I43" i="4"/>
  <c r="I42" i="4" s="1"/>
  <c r="J43" i="4"/>
  <c r="J42" i="4" s="1"/>
  <c r="K43" i="4"/>
  <c r="L43" i="4" s="1"/>
  <c r="L42" i="4" s="1"/>
  <c r="H43" i="4"/>
  <c r="H40" i="4"/>
  <c r="I41" i="4"/>
  <c r="I40" i="4" s="1"/>
  <c r="H41" i="4"/>
  <c r="L35" i="4"/>
  <c r="H35" i="4"/>
  <c r="I36" i="4"/>
  <c r="J36" i="4" s="1"/>
  <c r="K36" i="4" s="1"/>
  <c r="L36" i="4" s="1"/>
  <c r="H36" i="4"/>
  <c r="L31" i="4"/>
  <c r="H31" i="4"/>
  <c r="I32" i="4"/>
  <c r="J32" i="4" s="1"/>
  <c r="K32" i="4" s="1"/>
  <c r="L32" i="4" s="1"/>
  <c r="H32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H25" i="4"/>
  <c r="I26" i="4"/>
  <c r="I25" i="4" s="1"/>
  <c r="H26" i="4"/>
  <c r="L23" i="4"/>
  <c r="H23" i="4"/>
  <c r="H33" i="4" s="1"/>
  <c r="I24" i="4"/>
  <c r="J24" i="4" s="1"/>
  <c r="K24" i="4" s="1"/>
  <c r="L24" i="4" s="1"/>
  <c r="H24" i="4"/>
  <c r="H21" i="4"/>
  <c r="I22" i="4"/>
  <c r="I21" i="4" s="1"/>
  <c r="H22" i="4"/>
  <c r="H19" i="4"/>
  <c r="I20" i="4"/>
  <c r="I19" i="4" s="1"/>
  <c r="J20" i="4"/>
  <c r="J19" i="4" s="1"/>
  <c r="K20" i="4"/>
  <c r="L20" i="4" s="1"/>
  <c r="L19" i="4" s="1"/>
  <c r="H20" i="4"/>
  <c r="K17" i="4"/>
  <c r="L17" i="4"/>
  <c r="H17" i="4"/>
  <c r="I18" i="4"/>
  <c r="J18" i="4" s="1"/>
  <c r="K18" i="4" s="1"/>
  <c r="L18" i="4" s="1"/>
  <c r="H18" i="4"/>
  <c r="L15" i="4"/>
  <c r="H15" i="4"/>
  <c r="I16" i="4"/>
  <c r="J16" i="4" s="1"/>
  <c r="K16" i="4" s="1"/>
  <c r="L16" i="4" s="1"/>
  <c r="H16" i="4"/>
  <c r="I13" i="4"/>
  <c r="J13" i="4"/>
  <c r="K13" i="4"/>
  <c r="K14" i="4" s="1"/>
  <c r="L13" i="4"/>
  <c r="I14" i="4"/>
  <c r="J14" i="4"/>
  <c r="L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I68" i="4"/>
  <c r="H68" i="4"/>
  <c r="I69" i="4"/>
  <c r="J69" i="4" s="1"/>
  <c r="K69" i="4" s="1"/>
  <c r="L69" i="4" s="1"/>
  <c r="L68" i="4" s="1"/>
  <c r="H69" i="4"/>
  <c r="H53" i="3"/>
  <c r="I54" i="3"/>
  <c r="I53" i="3" s="1"/>
  <c r="H54" i="3"/>
  <c r="H51" i="3"/>
  <c r="I52" i="3"/>
  <c r="J52" i="3" s="1"/>
  <c r="K52" i="3" s="1"/>
  <c r="L52" i="3" s="1"/>
  <c r="L51" i="3" s="1"/>
  <c r="H52" i="3"/>
  <c r="K43" i="3"/>
  <c r="L43" i="3"/>
  <c r="H43" i="3"/>
  <c r="I44" i="3"/>
  <c r="J44" i="3" s="1"/>
  <c r="K44" i="3" s="1"/>
  <c r="L44" i="3" s="1"/>
  <c r="H44" i="3"/>
  <c r="H39" i="3"/>
  <c r="I40" i="3"/>
  <c r="I39" i="3" s="1"/>
  <c r="H40" i="3"/>
  <c r="H37" i="3"/>
  <c r="H38" i="3" s="1"/>
  <c r="H33" i="3"/>
  <c r="I33" i="3"/>
  <c r="I37" i="3" s="1"/>
  <c r="J33" i="3"/>
  <c r="J37" i="3" s="1"/>
  <c r="K33" i="3"/>
  <c r="K34" i="3" s="1"/>
  <c r="L33" i="3"/>
  <c r="L37" i="3" s="1"/>
  <c r="H34" i="3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K21" i="3"/>
  <c r="L21" i="3"/>
  <c r="H21" i="3"/>
  <c r="I22" i="3"/>
  <c r="J22" i="3" s="1"/>
  <c r="K22" i="3" s="1"/>
  <c r="L22" i="3" s="1"/>
  <c r="H22" i="3"/>
  <c r="K19" i="3"/>
  <c r="L19" i="3"/>
  <c r="H19" i="3"/>
  <c r="I20" i="3"/>
  <c r="J20" i="3" s="1"/>
  <c r="K20" i="3" s="1"/>
  <c r="L20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L13" i="3"/>
  <c r="H13" i="3"/>
  <c r="I14" i="3"/>
  <c r="J14" i="3" s="1"/>
  <c r="K14" i="3" s="1"/>
  <c r="L14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H7" i="3"/>
  <c r="I8" i="3"/>
  <c r="I7" i="3" s="1"/>
  <c r="J8" i="3"/>
  <c r="J7" i="3" s="1"/>
  <c r="K8" i="3"/>
  <c r="L8" i="3" s="1"/>
  <c r="L7" i="3" s="1"/>
  <c r="H8" i="3"/>
  <c r="H6" i="3"/>
  <c r="I5" i="3"/>
  <c r="J5" i="3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D46" i="4" s="1"/>
  <c r="D54" i="4" s="1"/>
  <c r="D6" i="42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G10" i="5" s="1"/>
  <c r="D7" i="5"/>
  <c r="D10" i="5" s="1"/>
  <c r="D33" i="4"/>
  <c r="E33" i="4"/>
  <c r="E129" i="6" s="1"/>
  <c r="F33" i="4"/>
  <c r="F151" i="6" s="1"/>
  <c r="G33" i="4"/>
  <c r="D21" i="4"/>
  <c r="E21" i="4"/>
  <c r="E62" i="6" s="1"/>
  <c r="F21" i="4"/>
  <c r="F6" i="40" s="1"/>
  <c r="G21" i="4"/>
  <c r="G7" i="15" s="1"/>
  <c r="D9" i="4"/>
  <c r="E9" i="4"/>
  <c r="F9" i="4"/>
  <c r="G9" i="4"/>
  <c r="C72" i="4"/>
  <c r="C72" i="6" s="1"/>
  <c r="C46" i="4"/>
  <c r="C54" i="4" s="1"/>
  <c r="C33" i="4"/>
  <c r="C155" i="6" s="1"/>
  <c r="C156" i="6" s="1"/>
  <c r="C21" i="4"/>
  <c r="C6" i="17" s="1"/>
  <c r="C9" i="4"/>
  <c r="C13" i="4" s="1"/>
  <c r="C58" i="6" s="1"/>
  <c r="D25" i="3"/>
  <c r="D5" i="44" s="1"/>
  <c r="E25" i="3"/>
  <c r="E42" i="6" s="1"/>
  <c r="F25" i="3"/>
  <c r="F26" i="3" s="1"/>
  <c r="G25" i="3"/>
  <c r="G26" i="3" s="1"/>
  <c r="D9" i="3"/>
  <c r="E9" i="3"/>
  <c r="E10" i="3" s="1"/>
  <c r="F9" i="3"/>
  <c r="F10" i="3" s="1"/>
  <c r="G9" i="3"/>
  <c r="G10" i="3" s="1"/>
  <c r="C25" i="3"/>
  <c r="C26" i="3" s="1"/>
  <c r="C9" i="3"/>
  <c r="L10" i="5" l="1"/>
  <c r="J10" i="5"/>
  <c r="L41" i="3"/>
  <c r="L38" i="3"/>
  <c r="I38" i="3"/>
  <c r="I41" i="3"/>
  <c r="J38" i="3"/>
  <c r="J41" i="3"/>
  <c r="K37" i="3"/>
  <c r="H41" i="3"/>
  <c r="I46" i="4"/>
  <c r="I47" i="4" s="1"/>
  <c r="J44" i="4"/>
  <c r="H37" i="4"/>
  <c r="H38" i="4" s="1"/>
  <c r="H34" i="4"/>
  <c r="H47" i="4"/>
  <c r="H54" i="4"/>
  <c r="H55" i="4" s="1"/>
  <c r="K68" i="4"/>
  <c r="J68" i="4"/>
  <c r="K66" i="4"/>
  <c r="J66" i="4"/>
  <c r="I66" i="4"/>
  <c r="K64" i="4"/>
  <c r="J63" i="4"/>
  <c r="K58" i="4"/>
  <c r="J58" i="4"/>
  <c r="I58" i="4"/>
  <c r="K56" i="4"/>
  <c r="J56" i="4"/>
  <c r="I56" i="4"/>
  <c r="K52" i="4"/>
  <c r="J52" i="4"/>
  <c r="I52" i="4"/>
  <c r="K50" i="4"/>
  <c r="J50" i="4"/>
  <c r="I50" i="4"/>
  <c r="K48" i="4"/>
  <c r="J48" i="4"/>
  <c r="I48" i="4"/>
  <c r="K42" i="4"/>
  <c r="J41" i="4"/>
  <c r="K35" i="4"/>
  <c r="J35" i="4"/>
  <c r="I35" i="4"/>
  <c r="K31" i="4"/>
  <c r="J31" i="4"/>
  <c r="I31" i="4"/>
  <c r="K29" i="4"/>
  <c r="J29" i="4"/>
  <c r="I29" i="4"/>
  <c r="K27" i="4"/>
  <c r="J27" i="4"/>
  <c r="I27" i="4"/>
  <c r="J26" i="4"/>
  <c r="K23" i="4"/>
  <c r="J23" i="4"/>
  <c r="I23" i="4"/>
  <c r="J22" i="4"/>
  <c r="K19" i="4"/>
  <c r="J17" i="4"/>
  <c r="I17" i="4"/>
  <c r="K15" i="4"/>
  <c r="J15" i="4"/>
  <c r="I15" i="4"/>
  <c r="K80" i="4"/>
  <c r="L80" i="4" s="1"/>
  <c r="J54" i="3"/>
  <c r="K51" i="3"/>
  <c r="J51" i="3"/>
  <c r="I51" i="3"/>
  <c r="J43" i="3"/>
  <c r="I43" i="3"/>
  <c r="J40" i="3"/>
  <c r="K23" i="3"/>
  <c r="J23" i="3"/>
  <c r="I23" i="3"/>
  <c r="J21" i="3"/>
  <c r="I21" i="3"/>
  <c r="J19" i="3"/>
  <c r="I19" i="3"/>
  <c r="K17" i="3"/>
  <c r="J17" i="3"/>
  <c r="I17" i="3"/>
  <c r="K13" i="3"/>
  <c r="J13" i="3"/>
  <c r="I13" i="3"/>
  <c r="K11" i="3"/>
  <c r="J11" i="3"/>
  <c r="I11" i="3"/>
  <c r="K7" i="3"/>
  <c r="K5" i="3"/>
  <c r="I6" i="3"/>
  <c r="E26" i="3"/>
  <c r="D26" i="3"/>
  <c r="F10" i="5"/>
  <c r="D8" i="25"/>
  <c r="D8" i="26"/>
  <c r="D8" i="27"/>
  <c r="G8" i="29"/>
  <c r="C8" i="29"/>
  <c r="F8" i="31"/>
  <c r="F8" i="32"/>
  <c r="E8" i="33"/>
  <c r="G38" i="6"/>
  <c r="F8" i="12"/>
  <c r="F105" i="6"/>
  <c r="F110" i="6"/>
  <c r="F115" i="6"/>
  <c r="E125" i="6"/>
  <c r="D135" i="6"/>
  <c r="D140" i="6"/>
  <c r="G149" i="6"/>
  <c r="C149" i="6"/>
  <c r="E8" i="12"/>
  <c r="C10" i="3"/>
  <c r="C15" i="3" s="1"/>
  <c r="D10" i="3"/>
  <c r="D15" i="3" s="1"/>
  <c r="D16" i="3" s="1"/>
  <c r="E38" i="6"/>
  <c r="F38" i="6"/>
  <c r="F8" i="25"/>
  <c r="F8" i="26"/>
  <c r="F8" i="27"/>
  <c r="E8" i="29"/>
  <c r="D8" i="31"/>
  <c r="D8" i="32"/>
  <c r="G8" i="33"/>
  <c r="C8" i="33"/>
  <c r="E105" i="6"/>
  <c r="E110" i="6"/>
  <c r="G8" i="12"/>
  <c r="C8" i="12"/>
  <c r="D8" i="12"/>
  <c r="F8" i="33"/>
  <c r="E43" i="6"/>
  <c r="C90" i="6"/>
  <c r="G7" i="21"/>
  <c r="G8" i="21" s="1"/>
  <c r="G84" i="6"/>
  <c r="G85" i="6" s="1"/>
  <c r="G15" i="3"/>
  <c r="G16" i="3" s="1"/>
  <c r="G5" i="44"/>
  <c r="G7" i="13"/>
  <c r="G8" i="13" s="1"/>
  <c r="G42" i="6"/>
  <c r="G43" i="6" s="1"/>
  <c r="E130" i="6"/>
  <c r="D42" i="6"/>
  <c r="D43" i="6" s="1"/>
  <c r="D84" i="6"/>
  <c r="D85" i="6" s="1"/>
  <c r="D7" i="13"/>
  <c r="D8" i="13" s="1"/>
  <c r="D7" i="21"/>
  <c r="D8" i="21" s="1"/>
  <c r="C7" i="21"/>
  <c r="C84" i="6"/>
  <c r="C85" i="6" s="1"/>
  <c r="F7" i="21"/>
  <c r="F8" i="21" s="1"/>
  <c r="F84" i="6"/>
  <c r="F85" i="6" s="1"/>
  <c r="F15" i="3"/>
  <c r="F16" i="3" s="1"/>
  <c r="F7" i="13"/>
  <c r="F8" i="13" s="1"/>
  <c r="F42" i="6"/>
  <c r="F43" i="6" s="1"/>
  <c r="D38" i="6"/>
  <c r="C8" i="21"/>
  <c r="E7" i="21"/>
  <c r="E8" i="21" s="1"/>
  <c r="E84" i="6"/>
  <c r="E85" i="6" s="1"/>
  <c r="E15" i="3"/>
  <c r="E16" i="3" s="1"/>
  <c r="E7" i="13"/>
  <c r="E8" i="13" s="1"/>
  <c r="E5" i="44"/>
  <c r="C38" i="6"/>
  <c r="F5" i="44"/>
  <c r="C5" i="44"/>
  <c r="C7" i="13"/>
  <c r="C8" i="13" s="1"/>
  <c r="C42" i="6"/>
  <c r="C43" i="6" s="1"/>
  <c r="E115" i="6"/>
  <c r="D125" i="6"/>
  <c r="G135" i="6"/>
  <c r="C135" i="6"/>
  <c r="G140" i="6"/>
  <c r="C140" i="6"/>
  <c r="F149" i="6"/>
  <c r="E8" i="25"/>
  <c r="E8" i="26"/>
  <c r="E8" i="27"/>
  <c r="D8" i="29"/>
  <c r="G8" i="31"/>
  <c r="C8" i="31"/>
  <c r="G8" i="32"/>
  <c r="C8" i="32"/>
  <c r="D105" i="6"/>
  <c r="D110" i="6"/>
  <c r="D115" i="6"/>
  <c r="G125" i="6"/>
  <c r="C125" i="6"/>
  <c r="F135" i="6"/>
  <c r="F140" i="6"/>
  <c r="E149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E35" i="47"/>
  <c r="E30" i="47"/>
  <c r="F35" i="47"/>
  <c r="F30" i="47"/>
  <c r="C35" i="47"/>
  <c r="C30" i="47"/>
  <c r="G35" i="47"/>
  <c r="G30" i="47"/>
  <c r="D30" i="47"/>
  <c r="D35" i="47"/>
  <c r="F35" i="5"/>
  <c r="F142" i="6"/>
  <c r="F143" i="6" s="1"/>
  <c r="E44" i="4"/>
  <c r="C67" i="6"/>
  <c r="E74" i="6"/>
  <c r="F47" i="5"/>
  <c r="F62" i="6"/>
  <c r="G35" i="5"/>
  <c r="E35" i="5"/>
  <c r="F68" i="6"/>
  <c r="C74" i="6"/>
  <c r="C75" i="6" s="1"/>
  <c r="E119" i="6"/>
  <c r="E120" i="6" s="1"/>
  <c r="F129" i="6"/>
  <c r="F130" i="6" s="1"/>
  <c r="E142" i="6"/>
  <c r="E143" i="6" s="1"/>
  <c r="E144" i="6" s="1"/>
  <c r="F152" i="6"/>
  <c r="F14" i="33"/>
  <c r="F15" i="33" s="1"/>
  <c r="C52" i="6"/>
  <c r="G52" i="6"/>
  <c r="C62" i="6"/>
  <c r="E68" i="6"/>
  <c r="C119" i="6"/>
  <c r="C120" i="6" s="1"/>
  <c r="G47" i="5"/>
  <c r="D47" i="5"/>
  <c r="E47" i="5"/>
  <c r="F52" i="6"/>
  <c r="G62" i="6"/>
  <c r="C68" i="6"/>
  <c r="C129" i="6"/>
  <c r="C130" i="6" s="1"/>
  <c r="C74" i="4"/>
  <c r="C71" i="4" s="1"/>
  <c r="C6" i="42"/>
  <c r="D6" i="36"/>
  <c r="D14" i="33"/>
  <c r="D15" i="33" s="1"/>
  <c r="D7" i="30"/>
  <c r="D8" i="30" s="1"/>
  <c r="D7" i="18"/>
  <c r="D151" i="6"/>
  <c r="D152" i="6" s="1"/>
  <c r="D153" i="6" s="1"/>
  <c r="D10" i="32"/>
  <c r="D11" i="32" s="1"/>
  <c r="D7" i="28"/>
  <c r="D8" i="28" s="1"/>
  <c r="D10" i="33"/>
  <c r="D11" i="33" s="1"/>
  <c r="D12" i="33" s="1"/>
  <c r="D8" i="19"/>
  <c r="D129" i="6"/>
  <c r="D130" i="6" s="1"/>
  <c r="D68" i="6"/>
  <c r="D6" i="41"/>
  <c r="G14" i="33"/>
  <c r="G15" i="33" s="1"/>
  <c r="G7" i="30"/>
  <c r="G8" i="30" s="1"/>
  <c r="G7" i="18"/>
  <c r="G151" i="6"/>
  <c r="G152" i="6" s="1"/>
  <c r="G153" i="6" s="1"/>
  <c r="G10" i="32"/>
  <c r="G11" i="32" s="1"/>
  <c r="G6" i="41"/>
  <c r="G10" i="33"/>
  <c r="G11" i="33" s="1"/>
  <c r="G7" i="28"/>
  <c r="G8" i="28" s="1"/>
  <c r="G155" i="6"/>
  <c r="G156" i="6" s="1"/>
  <c r="G6" i="36"/>
  <c r="G142" i="6"/>
  <c r="G143" i="6" s="1"/>
  <c r="D155" i="6"/>
  <c r="D156" i="6" s="1"/>
  <c r="D6" i="40"/>
  <c r="D7" i="15"/>
  <c r="D6" i="17"/>
  <c r="D62" i="6"/>
  <c r="C37" i="4"/>
  <c r="C5" i="34"/>
  <c r="C8" i="15"/>
  <c r="C7" i="17"/>
  <c r="C8" i="17" s="1"/>
  <c r="C6" i="9"/>
  <c r="C7" i="16"/>
  <c r="C63" i="6"/>
  <c r="C16" i="6"/>
  <c r="G6" i="17"/>
  <c r="G6" i="40"/>
  <c r="G74" i="6"/>
  <c r="D119" i="6"/>
  <c r="D120" i="6" s="1"/>
  <c r="G68" i="6"/>
  <c r="D52" i="6"/>
  <c r="G129" i="6"/>
  <c r="G130" i="6" s="1"/>
  <c r="D142" i="6"/>
  <c r="D143" i="6" s="1"/>
  <c r="G8" i="19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7" i="28"/>
  <c r="C8" i="28" s="1"/>
  <c r="C6" i="36"/>
  <c r="C8" i="19"/>
  <c r="C142" i="6"/>
  <c r="C143" i="6" s="1"/>
  <c r="E6" i="40"/>
  <c r="E7" i="15"/>
  <c r="E52" i="6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0" i="32"/>
  <c r="E11" i="32" s="1"/>
  <c r="E151" i="6"/>
  <c r="E152" i="6" s="1"/>
  <c r="C53" i="6"/>
  <c r="D74" i="6"/>
  <c r="G119" i="6"/>
  <c r="G120" i="6" s="1"/>
  <c r="E6" i="17"/>
  <c r="C6" i="43"/>
  <c r="C6" i="19"/>
  <c r="C5" i="36"/>
  <c r="F10" i="32"/>
  <c r="F11" i="32" s="1"/>
  <c r="F6" i="41"/>
  <c r="F10" i="33"/>
  <c r="F11" i="33" s="1"/>
  <c r="F12" i="33" s="1"/>
  <c r="F7" i="28"/>
  <c r="F8" i="28" s="1"/>
  <c r="F8" i="19"/>
  <c r="F155" i="6"/>
  <c r="F156" i="6" s="1"/>
  <c r="F6" i="36"/>
  <c r="D35" i="5"/>
  <c r="F74" i="6"/>
  <c r="F119" i="6"/>
  <c r="F120" i="6" s="1"/>
  <c r="F7" i="15"/>
  <c r="F7" i="18"/>
  <c r="C6" i="18"/>
  <c r="C7" i="15"/>
  <c r="F6" i="17"/>
  <c r="F7" i="30"/>
  <c r="F8" i="30" s="1"/>
  <c r="C6" i="40"/>
  <c r="E25" i="46"/>
  <c r="K38" i="3" l="1"/>
  <c r="K41" i="3"/>
  <c r="I45" i="3"/>
  <c r="I42" i="3"/>
  <c r="J45" i="3"/>
  <c r="J42" i="3"/>
  <c r="L45" i="3"/>
  <c r="L42" i="3"/>
  <c r="I54" i="4"/>
  <c r="I55" i="4" s="1"/>
  <c r="H42" i="3"/>
  <c r="H45" i="3"/>
  <c r="K44" i="4"/>
  <c r="J45" i="4"/>
  <c r="I33" i="4"/>
  <c r="K63" i="4"/>
  <c r="J62" i="4"/>
  <c r="J40" i="4"/>
  <c r="J46" i="4" s="1"/>
  <c r="K41" i="4"/>
  <c r="K26" i="4"/>
  <c r="J25" i="4"/>
  <c r="J33" i="4" s="1"/>
  <c r="J34" i="4" s="1"/>
  <c r="J21" i="4"/>
  <c r="K22" i="4"/>
  <c r="J53" i="3"/>
  <c r="K54" i="3"/>
  <c r="J39" i="3"/>
  <c r="K40" i="3"/>
  <c r="L5" i="3"/>
  <c r="L6" i="3" s="1"/>
  <c r="K6" i="3"/>
  <c r="G12" i="33"/>
  <c r="C27" i="3"/>
  <c r="C16" i="3"/>
  <c r="G144" i="6"/>
  <c r="D144" i="6"/>
  <c r="F12" i="32"/>
  <c r="E12" i="33"/>
  <c r="E16" i="33" s="1"/>
  <c r="C6" i="39"/>
  <c r="D27" i="3"/>
  <c r="D6" i="39"/>
  <c r="D6" i="44"/>
  <c r="C6" i="44"/>
  <c r="D12" i="32"/>
  <c r="C153" i="6"/>
  <c r="C157" i="6" s="1"/>
  <c r="E153" i="6"/>
  <c r="E157" i="6" s="1"/>
  <c r="C12" i="32"/>
  <c r="E12" i="32"/>
  <c r="G12" i="32"/>
  <c r="F153" i="6"/>
  <c r="F157" i="6" s="1"/>
  <c r="C144" i="6"/>
  <c r="C12" i="33"/>
  <c r="C16" i="33" s="1"/>
  <c r="F144" i="6"/>
  <c r="E6" i="39"/>
  <c r="E27" i="3"/>
  <c r="E6" i="44"/>
  <c r="F6" i="44"/>
  <c r="F6" i="39"/>
  <c r="F27" i="3"/>
  <c r="G6" i="44"/>
  <c r="G6" i="39"/>
  <c r="G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C38" i="4"/>
  <c r="F16" i="33"/>
  <c r="C47" i="4"/>
  <c r="F44" i="4"/>
  <c r="F46" i="4" s="1"/>
  <c r="C41" i="4"/>
  <c r="C43" i="4"/>
  <c r="C32" i="4"/>
  <c r="C36" i="4"/>
  <c r="C69" i="6"/>
  <c r="C34" i="4"/>
  <c r="C28" i="4"/>
  <c r="C30" i="4"/>
  <c r="C24" i="4"/>
  <c r="C26" i="4"/>
  <c r="C22" i="4"/>
  <c r="C18" i="4"/>
  <c r="C20" i="4"/>
  <c r="C14" i="4"/>
  <c r="C16" i="4"/>
  <c r="C8" i="18"/>
  <c r="C10" i="4"/>
  <c r="C12" i="4"/>
  <c r="C64" i="6"/>
  <c r="E46" i="4"/>
  <c r="D157" i="6"/>
  <c r="G16" i="33"/>
  <c r="C6" i="4"/>
  <c r="C8" i="4"/>
  <c r="C9" i="19"/>
  <c r="G157" i="6"/>
  <c r="C5" i="42"/>
  <c r="C7" i="24"/>
  <c r="C8" i="24" s="1"/>
  <c r="C5" i="43"/>
  <c r="C47" i="6"/>
  <c r="C7" i="14"/>
  <c r="C99" i="6"/>
  <c r="C100" i="6" s="1"/>
  <c r="C5" i="41"/>
  <c r="C6" i="34"/>
  <c r="C5" i="40"/>
  <c r="D16" i="33"/>
  <c r="E26" i="46"/>
  <c r="E30" i="46" s="1"/>
  <c r="F25" i="46"/>
  <c r="L49" i="3" l="1"/>
  <c r="L5" i="5"/>
  <c r="L27" i="5" s="1"/>
  <c r="L48" i="5" s="1"/>
  <c r="L46" i="3"/>
  <c r="I46" i="3"/>
  <c r="I49" i="3"/>
  <c r="I5" i="5"/>
  <c r="I27" i="5" s="1"/>
  <c r="I48" i="5" s="1"/>
  <c r="K42" i="3"/>
  <c r="K45" i="3"/>
  <c r="J5" i="5"/>
  <c r="J27" i="5" s="1"/>
  <c r="J48" i="5" s="1"/>
  <c r="J46" i="3"/>
  <c r="J49" i="3"/>
  <c r="H49" i="3"/>
  <c r="H46" i="3"/>
  <c r="H5" i="5"/>
  <c r="H27" i="5" s="1"/>
  <c r="H48" i="5" s="1"/>
  <c r="H70" i="4" s="1"/>
  <c r="L44" i="4"/>
  <c r="L45" i="4" s="1"/>
  <c r="K45" i="4"/>
  <c r="J37" i="4"/>
  <c r="J38" i="4" s="1"/>
  <c r="J47" i="4"/>
  <c r="J54" i="4"/>
  <c r="J55" i="4" s="1"/>
  <c r="I34" i="4"/>
  <c r="I37" i="4"/>
  <c r="I38" i="4" s="1"/>
  <c r="L63" i="4"/>
  <c r="L62" i="4" s="1"/>
  <c r="K62" i="4"/>
  <c r="L41" i="4"/>
  <c r="L40" i="4" s="1"/>
  <c r="L46" i="4" s="1"/>
  <c r="K40" i="4"/>
  <c r="K46" i="4" s="1"/>
  <c r="L26" i="4"/>
  <c r="L25" i="4" s="1"/>
  <c r="L33" i="4" s="1"/>
  <c r="L34" i="4" s="1"/>
  <c r="K25" i="4"/>
  <c r="K33" i="4" s="1"/>
  <c r="K34" i="4" s="1"/>
  <c r="L22" i="4"/>
  <c r="L21" i="4" s="1"/>
  <c r="L37" i="4" s="1"/>
  <c r="L38" i="4" s="1"/>
  <c r="K21" i="4"/>
  <c r="L54" i="3"/>
  <c r="L53" i="3" s="1"/>
  <c r="K53" i="3"/>
  <c r="L40" i="3"/>
  <c r="L39" i="3" s="1"/>
  <c r="K39" i="3"/>
  <c r="G29" i="3"/>
  <c r="G30" i="3" s="1"/>
  <c r="G28" i="3"/>
  <c r="F29" i="3"/>
  <c r="F30" i="3" s="1"/>
  <c r="F28" i="3"/>
  <c r="E29" i="3"/>
  <c r="E30" i="3" s="1"/>
  <c r="E28" i="3"/>
  <c r="C29" i="3"/>
  <c r="C28" i="3"/>
  <c r="D29" i="3"/>
  <c r="D30" i="3" s="1"/>
  <c r="D28" i="3"/>
  <c r="C5" i="35"/>
  <c r="G44" i="4"/>
  <c r="G46" i="4" s="1"/>
  <c r="G5" i="35"/>
  <c r="G33" i="3"/>
  <c r="G34" i="3" s="1"/>
  <c r="E5" i="35"/>
  <c r="E33" i="3"/>
  <c r="E34" i="3" s="1"/>
  <c r="F54" i="4"/>
  <c r="E54" i="4"/>
  <c r="F26" i="46"/>
  <c r="F30" i="46" s="1"/>
  <c r="G25" i="46"/>
  <c r="G26" i="46" s="1"/>
  <c r="G30" i="46" s="1"/>
  <c r="K46" i="3" l="1"/>
  <c r="K49" i="3"/>
  <c r="K5" i="5"/>
  <c r="K27" i="5" s="1"/>
  <c r="K48" i="5" s="1"/>
  <c r="J55" i="3"/>
  <c r="J56" i="3" s="1"/>
  <c r="J50" i="3"/>
  <c r="I55" i="3"/>
  <c r="I56" i="3" s="1"/>
  <c r="I50" i="3"/>
  <c r="L55" i="3"/>
  <c r="L56" i="3" s="1"/>
  <c r="L50" i="3"/>
  <c r="I70" i="4"/>
  <c r="H71" i="4"/>
  <c r="H72" i="4"/>
  <c r="H73" i="4" s="1"/>
  <c r="H55" i="3"/>
  <c r="H56" i="3" s="1"/>
  <c r="H50" i="3"/>
  <c r="L54" i="4"/>
  <c r="L55" i="4" s="1"/>
  <c r="L47" i="4"/>
  <c r="K37" i="4"/>
  <c r="K38" i="4" s="1"/>
  <c r="K47" i="4"/>
  <c r="K54" i="4"/>
  <c r="K55" i="4" s="1"/>
  <c r="F33" i="3"/>
  <c r="F34" i="3" s="1"/>
  <c r="F5" i="35"/>
  <c r="C33" i="3"/>
  <c r="C34" i="3" s="1"/>
  <c r="C30" i="3"/>
  <c r="D33" i="3"/>
  <c r="D34" i="3" s="1"/>
  <c r="D5" i="35"/>
  <c r="G6" i="35"/>
  <c r="G6" i="15"/>
  <c r="G9" i="15" s="1"/>
  <c r="G51" i="6"/>
  <c r="G54" i="6" s="1"/>
  <c r="G6" i="20"/>
  <c r="G8" i="20" s="1"/>
  <c r="G78" i="6"/>
  <c r="G80" i="6" s="1"/>
  <c r="G37" i="3"/>
  <c r="F6" i="15"/>
  <c r="F9" i="15" s="1"/>
  <c r="F6" i="20"/>
  <c r="F8" i="20" s="1"/>
  <c r="F78" i="6"/>
  <c r="F80" i="6" s="1"/>
  <c r="F6" i="35"/>
  <c r="F37" i="3"/>
  <c r="F51" i="6"/>
  <c r="F54" i="6" s="1"/>
  <c r="E6" i="20"/>
  <c r="E8" i="20" s="1"/>
  <c r="E78" i="6"/>
  <c r="E80" i="6" s="1"/>
  <c r="E6" i="35"/>
  <c r="E37" i="3"/>
  <c r="E6" i="15"/>
  <c r="E9" i="15" s="1"/>
  <c r="E51" i="6"/>
  <c r="E54" i="6" s="1"/>
  <c r="E6" i="42"/>
  <c r="F6" i="42"/>
  <c r="G54" i="4"/>
  <c r="K55" i="3" l="1"/>
  <c r="K56" i="3" s="1"/>
  <c r="K50" i="3"/>
  <c r="J70" i="4"/>
  <c r="I71" i="4"/>
  <c r="I72" i="4"/>
  <c r="I73" i="4" s="1"/>
  <c r="G41" i="3"/>
  <c r="G38" i="3"/>
  <c r="E41" i="3"/>
  <c r="E38" i="3"/>
  <c r="F41" i="3"/>
  <c r="F38" i="3"/>
  <c r="C6" i="35"/>
  <c r="C37" i="3"/>
  <c r="C78" i="6"/>
  <c r="C80" i="6" s="1"/>
  <c r="C6" i="20"/>
  <c r="C8" i="20" s="1"/>
  <c r="C6" i="15"/>
  <c r="C9" i="15" s="1"/>
  <c r="C51" i="6"/>
  <c r="C54" i="6" s="1"/>
  <c r="D51" i="6"/>
  <c r="D54" i="6" s="1"/>
  <c r="D6" i="35"/>
  <c r="D6" i="20"/>
  <c r="D8" i="20" s="1"/>
  <c r="D78" i="6"/>
  <c r="D80" i="6" s="1"/>
  <c r="D37" i="3"/>
  <c r="D6" i="15"/>
  <c r="D9" i="15" s="1"/>
  <c r="G6" i="42"/>
  <c r="K70" i="4" l="1"/>
  <c r="J71" i="4"/>
  <c r="J72" i="4"/>
  <c r="J73" i="4" s="1"/>
  <c r="E45" i="3"/>
  <c r="E42" i="3"/>
  <c r="F45" i="3"/>
  <c r="F46" i="3" s="1"/>
  <c r="F42" i="3"/>
  <c r="G45" i="3"/>
  <c r="G46" i="3" s="1"/>
  <c r="G42" i="3"/>
  <c r="D41" i="3"/>
  <c r="D38" i="3"/>
  <c r="C41" i="3"/>
  <c r="C38" i="3"/>
  <c r="E5" i="5"/>
  <c r="E27" i="5" s="1"/>
  <c r="E48" i="5" s="1"/>
  <c r="L70" i="4" l="1"/>
  <c r="K71" i="4"/>
  <c r="K72" i="4"/>
  <c r="K73" i="4" s="1"/>
  <c r="E49" i="3"/>
  <c r="E50" i="3" s="1"/>
  <c r="E46" i="3"/>
  <c r="D45" i="3"/>
  <c r="D46" i="3" s="1"/>
  <c r="D42" i="3"/>
  <c r="F49" i="3"/>
  <c r="F50" i="3" s="1"/>
  <c r="F5" i="5"/>
  <c r="F27" i="5" s="1"/>
  <c r="F48" i="5" s="1"/>
  <c r="C45" i="3"/>
  <c r="C42" i="3"/>
  <c r="G49" i="3"/>
  <c r="G50" i="3" s="1"/>
  <c r="G5" i="5"/>
  <c r="G27" i="5" s="1"/>
  <c r="G48" i="5" s="1"/>
  <c r="L71" i="4" l="1"/>
  <c r="L72" i="4"/>
  <c r="L73" i="4" s="1"/>
  <c r="C49" i="3"/>
  <c r="C50" i="3" s="1"/>
  <c r="C46" i="3"/>
  <c r="E9" i="10"/>
  <c r="E6" i="6"/>
  <c r="E6" i="14"/>
  <c r="E6" i="45"/>
  <c r="E6" i="7"/>
  <c r="E55" i="3"/>
  <c r="E5" i="45" s="1"/>
  <c r="E57" i="6"/>
  <c r="E61" i="3"/>
  <c r="E46" i="6"/>
  <c r="E24" i="6"/>
  <c r="E6" i="16"/>
  <c r="G6" i="7"/>
  <c r="G9" i="10"/>
  <c r="G61" i="3"/>
  <c r="G57" i="6"/>
  <c r="G46" i="6"/>
  <c r="G6" i="14"/>
  <c r="G55" i="3"/>
  <c r="G5" i="45" s="1"/>
  <c r="G24" i="6"/>
  <c r="G6" i="45"/>
  <c r="G6" i="16"/>
  <c r="G6" i="6"/>
  <c r="F6" i="14"/>
  <c r="F24" i="6"/>
  <c r="F61" i="3"/>
  <c r="F55" i="3"/>
  <c r="F5" i="45" s="1"/>
  <c r="F6" i="16"/>
  <c r="F6" i="45"/>
  <c r="F9" i="10"/>
  <c r="F6" i="7"/>
  <c r="F46" i="6"/>
  <c r="F57" i="6"/>
  <c r="F6" i="6"/>
  <c r="D49" i="3"/>
  <c r="D50" i="3" s="1"/>
  <c r="D5" i="5"/>
  <c r="D27" i="5" s="1"/>
  <c r="D48" i="5" s="1"/>
  <c r="E10" i="10" l="1"/>
  <c r="E11" i="10" s="1"/>
  <c r="E7" i="8"/>
  <c r="E8" i="8" s="1"/>
  <c r="E12" i="6"/>
  <c r="E13" i="6" s="1"/>
  <c r="E22" i="6"/>
  <c r="E23" i="6" s="1"/>
  <c r="E17" i="6"/>
  <c r="E7" i="6"/>
  <c r="E8" i="6" s="1"/>
  <c r="E7" i="9"/>
  <c r="E7" i="7"/>
  <c r="E8" i="7" s="1"/>
  <c r="E7" i="11"/>
  <c r="E8" i="11" s="1"/>
  <c r="E9" i="11" s="1"/>
  <c r="E7" i="10"/>
  <c r="E8" i="10" s="1"/>
  <c r="E31" i="6"/>
  <c r="E32" i="6" s="1"/>
  <c r="E33" i="6" s="1"/>
  <c r="E25" i="6"/>
  <c r="E26" i="6" s="1"/>
  <c r="C6" i="14"/>
  <c r="C8" i="14" s="1"/>
  <c r="C6" i="6"/>
  <c r="C61" i="3"/>
  <c r="C46" i="6"/>
  <c r="C48" i="6" s="1"/>
  <c r="C24" i="6"/>
  <c r="C9" i="10"/>
  <c r="C6" i="7"/>
  <c r="C57" i="6"/>
  <c r="C59" i="6" s="1"/>
  <c r="C55" i="3"/>
  <c r="C5" i="45" s="1"/>
  <c r="C6" i="16"/>
  <c r="C8" i="16" s="1"/>
  <c r="C6" i="45"/>
  <c r="D70" i="4"/>
  <c r="D38" i="46"/>
  <c r="D57" i="6"/>
  <c r="D6" i="6"/>
  <c r="D6" i="14"/>
  <c r="D6" i="16"/>
  <c r="D24" i="6"/>
  <c r="D55" i="3"/>
  <c r="D6" i="45"/>
  <c r="D6" i="7"/>
  <c r="D46" i="6"/>
  <c r="D9" i="10"/>
  <c r="D61" i="3"/>
  <c r="G7" i="7"/>
  <c r="G8" i="7" s="1"/>
  <c r="G10" i="10"/>
  <c r="G11" i="10" s="1"/>
  <c r="G7" i="6"/>
  <c r="G8" i="6" s="1"/>
  <c r="G7" i="10"/>
  <c r="G8" i="10" s="1"/>
  <c r="G31" i="6"/>
  <c r="G32" i="6" s="1"/>
  <c r="G33" i="6" s="1"/>
  <c r="G17" i="6"/>
  <c r="G7" i="8"/>
  <c r="G8" i="8" s="1"/>
  <c r="G25" i="6"/>
  <c r="G26" i="6" s="1"/>
  <c r="G12" i="6"/>
  <c r="G13" i="6" s="1"/>
  <c r="G7" i="11"/>
  <c r="G8" i="11" s="1"/>
  <c r="G9" i="11" s="1"/>
  <c r="G22" i="6"/>
  <c r="G23" i="6" s="1"/>
  <c r="G7" i="9"/>
  <c r="F22" i="6"/>
  <c r="F23" i="6" s="1"/>
  <c r="F7" i="11"/>
  <c r="F8" i="11" s="1"/>
  <c r="F9" i="11" s="1"/>
  <c r="F25" i="6"/>
  <c r="F7" i="6"/>
  <c r="F8" i="6" s="1"/>
  <c r="F7" i="7"/>
  <c r="F8" i="7" s="1"/>
  <c r="F17" i="6"/>
  <c r="F31" i="6"/>
  <c r="F32" i="6" s="1"/>
  <c r="F33" i="6" s="1"/>
  <c r="F10" i="10"/>
  <c r="F11" i="10" s="1"/>
  <c r="F7" i="8"/>
  <c r="F8" i="8" s="1"/>
  <c r="F7" i="9"/>
  <c r="F7" i="10"/>
  <c r="F8" i="10" s="1"/>
  <c r="F12" i="6"/>
  <c r="F13" i="6" s="1"/>
  <c r="F26" i="6"/>
  <c r="F12" i="10" l="1"/>
  <c r="C10" i="10"/>
  <c r="C11" i="10" s="1"/>
  <c r="C12" i="6"/>
  <c r="C13" i="6" s="1"/>
  <c r="C7" i="10"/>
  <c r="C8" i="10" s="1"/>
  <c r="C12" i="10" s="1"/>
  <c r="C31" i="6"/>
  <c r="C32" i="6" s="1"/>
  <c r="C33" i="6" s="1"/>
  <c r="C25" i="6"/>
  <c r="C26" i="6" s="1"/>
  <c r="C7" i="6"/>
  <c r="C8" i="6" s="1"/>
  <c r="C7" i="8"/>
  <c r="C8" i="8" s="1"/>
  <c r="C7" i="11"/>
  <c r="C8" i="11" s="1"/>
  <c r="C9" i="11" s="1"/>
  <c r="C7" i="9"/>
  <c r="C8" i="9" s="1"/>
  <c r="C7" i="7"/>
  <c r="C8" i="7" s="1"/>
  <c r="C22" i="6"/>
  <c r="C23" i="6" s="1"/>
  <c r="C17" i="6"/>
  <c r="C18" i="6" s="1"/>
  <c r="E12" i="10"/>
  <c r="E27" i="6"/>
  <c r="G12" i="10"/>
  <c r="G27" i="6"/>
  <c r="D5" i="45"/>
  <c r="D11" i="4"/>
  <c r="D8" i="46"/>
  <c r="F27" i="6"/>
  <c r="D39" i="46"/>
  <c r="D40" i="46" s="1"/>
  <c r="E38" i="46"/>
  <c r="D7" i="7"/>
  <c r="D8" i="7" s="1"/>
  <c r="D12" i="6"/>
  <c r="D13" i="6" s="1"/>
  <c r="D7" i="9"/>
  <c r="D7" i="11"/>
  <c r="D8" i="11" s="1"/>
  <c r="D9" i="11" s="1"/>
  <c r="D25" i="6"/>
  <c r="D26" i="6" s="1"/>
  <c r="D10" i="10"/>
  <c r="D11" i="10" s="1"/>
  <c r="D7" i="8"/>
  <c r="D8" i="8" s="1"/>
  <c r="D22" i="6"/>
  <c r="D23" i="6" s="1"/>
  <c r="D7" i="6"/>
  <c r="D8" i="6" s="1"/>
  <c r="D7" i="10"/>
  <c r="D8" i="10" s="1"/>
  <c r="D12" i="10" s="1"/>
  <c r="D31" i="6"/>
  <c r="D32" i="6" s="1"/>
  <c r="D33" i="6" s="1"/>
  <c r="D17" i="6"/>
  <c r="D6" i="22"/>
  <c r="D8" i="22" s="1"/>
  <c r="D6" i="23"/>
  <c r="D8" i="23" s="1"/>
  <c r="D88" i="6"/>
  <c r="D90" i="6" s="1"/>
  <c r="D72" i="4"/>
  <c r="E70" i="4"/>
  <c r="D93" i="6"/>
  <c r="D95" i="6" s="1"/>
  <c r="D27" i="6" l="1"/>
  <c r="C27" i="6"/>
  <c r="E93" i="6"/>
  <c r="E95" i="6" s="1"/>
  <c r="E6" i="22"/>
  <c r="E8" i="22" s="1"/>
  <c r="E88" i="6"/>
  <c r="E90" i="6" s="1"/>
  <c r="F70" i="4"/>
  <c r="E6" i="23"/>
  <c r="E8" i="23" s="1"/>
  <c r="E72" i="4"/>
  <c r="E8" i="46"/>
  <c r="D9" i="46"/>
  <c r="D21" i="46" s="1"/>
  <c r="D67" i="6"/>
  <c r="D69" i="6" s="1"/>
  <c r="D74" i="4"/>
  <c r="D72" i="6"/>
  <c r="D75" i="6" s="1"/>
  <c r="D5" i="36"/>
  <c r="D6" i="18"/>
  <c r="D8" i="18" s="1"/>
  <c r="D6" i="43"/>
  <c r="D6" i="19"/>
  <c r="D9" i="19" s="1"/>
  <c r="E39" i="46"/>
  <c r="E40" i="46" s="1"/>
  <c r="F38" i="46"/>
  <c r="E11" i="4"/>
  <c r="D13" i="4"/>
  <c r="F88" i="6" l="1"/>
  <c r="F90" i="6" s="1"/>
  <c r="F6" i="23"/>
  <c r="F8" i="23" s="1"/>
  <c r="F93" i="6"/>
  <c r="F95" i="6" s="1"/>
  <c r="G70" i="4"/>
  <c r="F6" i="22"/>
  <c r="F8" i="22" s="1"/>
  <c r="F72" i="4"/>
  <c r="D16" i="6"/>
  <c r="D18" i="6" s="1"/>
  <c r="D7" i="17"/>
  <c r="D8" i="17" s="1"/>
  <c r="D37" i="4"/>
  <c r="D63" i="6"/>
  <c r="D64" i="6" s="1"/>
  <c r="D7" i="16"/>
  <c r="D8" i="16" s="1"/>
  <c r="D5" i="34"/>
  <c r="D53" i="6"/>
  <c r="D8" i="15"/>
  <c r="D6" i="9"/>
  <c r="D8" i="9" s="1"/>
  <c r="D58" i="6"/>
  <c r="D59" i="6" s="1"/>
  <c r="D14" i="4"/>
  <c r="F8" i="46"/>
  <c r="E9" i="46"/>
  <c r="E21" i="46" s="1"/>
  <c r="E13" i="4"/>
  <c r="F11" i="4"/>
  <c r="D26" i="4"/>
  <c r="D30" i="4"/>
  <c r="D71" i="4"/>
  <c r="D28" i="4"/>
  <c r="D24" i="4"/>
  <c r="D10" i="4"/>
  <c r="D6" i="4"/>
  <c r="D34" i="4"/>
  <c r="D49" i="4"/>
  <c r="D12" i="4"/>
  <c r="D5" i="43"/>
  <c r="D61" i="4"/>
  <c r="D53" i="4"/>
  <c r="D67" i="4"/>
  <c r="D7" i="24"/>
  <c r="D8" i="24" s="1"/>
  <c r="D57" i="4"/>
  <c r="D43" i="4"/>
  <c r="D7" i="14"/>
  <c r="D8" i="14" s="1"/>
  <c r="D69" i="4"/>
  <c r="D73" i="4"/>
  <c r="D36" i="4"/>
  <c r="D32" i="4"/>
  <c r="D18" i="4"/>
  <c r="D22" i="4"/>
  <c r="D75" i="4"/>
  <c r="D20" i="4"/>
  <c r="D16" i="4"/>
  <c r="D47" i="4"/>
  <c r="D41" i="4"/>
  <c r="D55" i="4"/>
  <c r="D47" i="6"/>
  <c r="D48" i="6" s="1"/>
  <c r="D5" i="42"/>
  <c r="D65" i="4"/>
  <c r="D51" i="4"/>
  <c r="D45" i="4"/>
  <c r="D59" i="4"/>
  <c r="D63" i="4"/>
  <c r="D99" i="6"/>
  <c r="D100" i="6" s="1"/>
  <c r="D8" i="4"/>
  <c r="E6" i="18"/>
  <c r="E8" i="18" s="1"/>
  <c r="E6" i="19"/>
  <c r="E9" i="19" s="1"/>
  <c r="E74" i="4"/>
  <c r="E67" i="6"/>
  <c r="E69" i="6" s="1"/>
  <c r="E6" i="43"/>
  <c r="E72" i="6"/>
  <c r="E75" i="6" s="1"/>
  <c r="E5" i="36"/>
  <c r="F39" i="46"/>
  <c r="F40" i="46" s="1"/>
  <c r="G38" i="46"/>
  <c r="G39" i="46" s="1"/>
  <c r="G40" i="46" s="1"/>
  <c r="E30" i="4" l="1"/>
  <c r="E8" i="4"/>
  <c r="E63" i="4"/>
  <c r="E59" i="4"/>
  <c r="E43" i="4"/>
  <c r="E57" i="4"/>
  <c r="E7" i="24"/>
  <c r="E8" i="24" s="1"/>
  <c r="E71" i="4"/>
  <c r="E49" i="4"/>
  <c r="E53" i="4"/>
  <c r="E51" i="4"/>
  <c r="E34" i="4"/>
  <c r="E65" i="4"/>
  <c r="E32" i="4"/>
  <c r="E55" i="4"/>
  <c r="E24" i="4"/>
  <c r="E28" i="4"/>
  <c r="E47" i="4"/>
  <c r="E16" i="4"/>
  <c r="E6" i="4"/>
  <c r="E61" i="4"/>
  <c r="E73" i="4"/>
  <c r="E67" i="4"/>
  <c r="E20" i="4"/>
  <c r="E22" i="4"/>
  <c r="E5" i="42"/>
  <c r="E69" i="4"/>
  <c r="E5" i="43"/>
  <c r="E75" i="4"/>
  <c r="E41" i="4"/>
  <c r="E7" i="14"/>
  <c r="E8" i="14" s="1"/>
  <c r="E26" i="4"/>
  <c r="E18" i="4"/>
  <c r="E10" i="4"/>
  <c r="E99" i="6"/>
  <c r="E100" i="6" s="1"/>
  <c r="E36" i="4"/>
  <c r="E45" i="4"/>
  <c r="E47" i="6"/>
  <c r="E48" i="6" s="1"/>
  <c r="E37" i="4"/>
  <c r="E53" i="6"/>
  <c r="E5" i="34"/>
  <c r="E16" i="6"/>
  <c r="E18" i="6" s="1"/>
  <c r="E6" i="9"/>
  <c r="E8" i="9" s="1"/>
  <c r="E58" i="6"/>
  <c r="E59" i="6" s="1"/>
  <c r="E8" i="15"/>
  <c r="E7" i="17"/>
  <c r="E8" i="17" s="1"/>
  <c r="E7" i="16"/>
  <c r="E8" i="16" s="1"/>
  <c r="E63" i="6"/>
  <c r="E64" i="6" s="1"/>
  <c r="E14" i="4"/>
  <c r="G72" i="4"/>
  <c r="G93" i="6"/>
  <c r="G95" i="6" s="1"/>
  <c r="G6" i="22"/>
  <c r="G8" i="22" s="1"/>
  <c r="G88" i="6"/>
  <c r="G90" i="6" s="1"/>
  <c r="G6" i="23"/>
  <c r="G8" i="23" s="1"/>
  <c r="E12" i="4"/>
  <c r="F9" i="46"/>
  <c r="F21" i="46" s="1"/>
  <c r="G8" i="46"/>
  <c r="G9" i="46" s="1"/>
  <c r="G21" i="46" s="1"/>
  <c r="F6" i="18"/>
  <c r="F8" i="18" s="1"/>
  <c r="F67" i="6"/>
  <c r="F69" i="6" s="1"/>
  <c r="F6" i="43"/>
  <c r="F72" i="6"/>
  <c r="F75" i="6" s="1"/>
  <c r="F74" i="4"/>
  <c r="F5" i="36"/>
  <c r="F6" i="19"/>
  <c r="F9" i="19" s="1"/>
  <c r="F13" i="4"/>
  <c r="G11" i="4"/>
  <c r="D6" i="34"/>
  <c r="D38" i="4"/>
  <c r="D5" i="40"/>
  <c r="D5" i="41"/>
  <c r="E5" i="41" l="1"/>
  <c r="E5" i="40"/>
  <c r="E38" i="4"/>
  <c r="E6" i="34"/>
  <c r="G13" i="4"/>
  <c r="F73" i="4"/>
  <c r="F6" i="4"/>
  <c r="F59" i="4"/>
  <c r="F71" i="4"/>
  <c r="F7" i="24"/>
  <c r="F8" i="24" s="1"/>
  <c r="F45" i="4"/>
  <c r="F30" i="4"/>
  <c r="F7" i="14"/>
  <c r="F8" i="14" s="1"/>
  <c r="F22" i="4"/>
  <c r="F67" i="4"/>
  <c r="F41" i="4"/>
  <c r="F47" i="6"/>
  <c r="F48" i="6" s="1"/>
  <c r="F47" i="4"/>
  <c r="F18" i="4"/>
  <c r="F5" i="43"/>
  <c r="F57" i="4"/>
  <c r="F69" i="4"/>
  <c r="F49" i="4"/>
  <c r="F10" i="4"/>
  <c r="F12" i="4"/>
  <c r="F8" i="4"/>
  <c r="F53" i="4"/>
  <c r="F65" i="4"/>
  <c r="F43" i="4"/>
  <c r="F26" i="4"/>
  <c r="F24" i="4"/>
  <c r="F36" i="4"/>
  <c r="F16" i="4"/>
  <c r="F61" i="4"/>
  <c r="F55" i="4"/>
  <c r="F34" i="4"/>
  <c r="F20" i="4"/>
  <c r="F32" i="4"/>
  <c r="F5" i="42"/>
  <c r="F75" i="4"/>
  <c r="F99" i="6"/>
  <c r="F100" i="6" s="1"/>
  <c r="F63" i="4"/>
  <c r="F51" i="4"/>
  <c r="F28" i="4"/>
  <c r="G74" i="4"/>
  <c r="G72" i="6"/>
  <c r="G75" i="6" s="1"/>
  <c r="G67" i="6"/>
  <c r="G69" i="6" s="1"/>
  <c r="G5" i="36"/>
  <c r="G6" i="43"/>
  <c r="G6" i="18"/>
  <c r="G8" i="18" s="1"/>
  <c r="G6" i="19"/>
  <c r="G9" i="19" s="1"/>
  <c r="F8" i="15"/>
  <c r="F16" i="6"/>
  <c r="F18" i="6" s="1"/>
  <c r="F5" i="34"/>
  <c r="F7" i="16"/>
  <c r="F8" i="16" s="1"/>
  <c r="F53" i="6"/>
  <c r="F37" i="4"/>
  <c r="F7" i="17"/>
  <c r="F8" i="17" s="1"/>
  <c r="F63" i="6"/>
  <c r="F64" i="6" s="1"/>
  <c r="F58" i="6"/>
  <c r="F59" i="6" s="1"/>
  <c r="F6" i="9"/>
  <c r="F8" i="9" s="1"/>
  <c r="F14" i="4"/>
  <c r="F38" i="4" l="1"/>
  <c r="F5" i="40"/>
  <c r="F5" i="41"/>
  <c r="F6" i="34"/>
  <c r="G43" i="4"/>
  <c r="G20" i="4"/>
  <c r="G67" i="4"/>
  <c r="G45" i="4"/>
  <c r="G41" i="4"/>
  <c r="G59" i="4"/>
  <c r="G16" i="4"/>
  <c r="G18" i="4"/>
  <c r="G47" i="4"/>
  <c r="G53" i="4"/>
  <c r="G7" i="14"/>
  <c r="G8" i="14" s="1"/>
  <c r="G28" i="4"/>
  <c r="G10" i="4"/>
  <c r="G30" i="4"/>
  <c r="G34" i="4"/>
  <c r="G5" i="43"/>
  <c r="G69" i="4"/>
  <c r="G26" i="4"/>
  <c r="G32" i="4"/>
  <c r="G63" i="4"/>
  <c r="G55" i="4"/>
  <c r="G57" i="4"/>
  <c r="G8" i="4"/>
  <c r="G36" i="4"/>
  <c r="G24" i="4"/>
  <c r="G73" i="4"/>
  <c r="G7" i="24"/>
  <c r="G8" i="24" s="1"/>
  <c r="G22" i="4"/>
  <c r="G5" i="42"/>
  <c r="G6" i="4"/>
  <c r="G47" i="6"/>
  <c r="G48" i="6" s="1"/>
  <c r="G99" i="6"/>
  <c r="G100" i="6" s="1"/>
  <c r="G71" i="4"/>
  <c r="G61" i="4"/>
  <c r="G75" i="4"/>
  <c r="G49" i="4"/>
  <c r="G65" i="4"/>
  <c r="G51" i="4"/>
  <c r="G5" i="34"/>
  <c r="G37" i="4"/>
  <c r="G58" i="6"/>
  <c r="G59" i="6" s="1"/>
  <c r="G7" i="17"/>
  <c r="G8" i="17" s="1"/>
  <c r="G63" i="6"/>
  <c r="G64" i="6" s="1"/>
  <c r="G53" i="6"/>
  <c r="G16" i="6"/>
  <c r="G18" i="6" s="1"/>
  <c r="G14" i="4"/>
  <c r="G6" i="9"/>
  <c r="G8" i="9" s="1"/>
  <c r="G8" i="15"/>
  <c r="G7" i="16"/>
  <c r="G8" i="16" s="1"/>
  <c r="G12" i="4"/>
  <c r="G5" i="41" l="1"/>
  <c r="G5" i="40"/>
  <c r="G38" i="4"/>
  <c r="G6" i="34"/>
</calcChain>
</file>

<file path=xl/sharedStrings.xml><?xml version="1.0" encoding="utf-8"?>
<sst xmlns="http://schemas.openxmlformats.org/spreadsheetml/2006/main" count="720" uniqueCount="288">
  <si>
    <t>Balance Sheet of Vedanta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</si>
  <si>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</si>
  <si>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</si>
  <si>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</si>
  <si>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</si>
  <si>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</si>
  <si>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</si>
  <si>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</si>
  <si>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</si>
  <si>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</si>
  <si>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</si>
  <si>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</si>
  <si>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</si>
  <si>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</si>
  <si>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</si>
  <si>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</si>
  <si>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</si>
  <si>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</si>
  <si>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</si>
  <si>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</si>
  <si>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</si>
  <si>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</si>
  <si>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</si>
  <si>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</si>
  <si>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</si>
  <si>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</si>
  <si>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</si>
  <si>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</si>
  <si>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</si>
  <si>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</si>
  <si>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</si>
  <si>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</si>
  <si>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</si>
  <si>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</si>
  <si>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</si>
  <si>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</si>
  <si>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</si>
  <si>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</si>
  <si>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</si>
  <si>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</si>
  <si>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</si>
  <si>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</si>
  <si>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</si>
  <si>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</si>
  <si>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</si>
  <si>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</si>
  <si>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</si>
  <si>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</si>
  <si>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</si>
  <si>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</si>
  <si>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</si>
  <si>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</si>
  <si>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</si>
  <si>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</si>
  <si>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</si>
  <si>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Vedanta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</si>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</sst>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9D7-4B25-AA77-227627ADE0F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9D7-4B25-AA77-227627ADE0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28</c:v>
                </c:pt>
                <c:pt idx="1">
                  <c:v>19</c:v>
                </c:pt>
                <c:pt idx="2">
                  <c:v>-18</c:v>
                </c:pt>
                <c:pt idx="3">
                  <c:v>31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D7-4B25-AA77-227627ADE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42296"/>
        <c:axId val="452839016"/>
      </c:lineChart>
      <c:catAx>
        <c:axId val="45284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9016"/>
        <c:crosses val="autoZero"/>
        <c:auto val="0"/>
        <c:lblAlgn val="ctr"/>
        <c:lblOffset val="100"/>
        <c:noMultiLvlLbl val="0"/>
      </c:catAx>
      <c:valAx>
        <c:axId val="452839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842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A8-4B5F-92C6-546343B1AB5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FA8-4B5F-92C6-546343B1AB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0.11</c:v>
                </c:pt>
                <c:pt idx="1">
                  <c:v>7.0000000000000007E-2</c:v>
                </c:pt>
                <c:pt idx="2">
                  <c:v>-0.04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A8-4B5F-92C6-546343B1A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984"/>
        <c:axId val="449427640"/>
      </c:lineChart>
      <c:catAx>
        <c:axId val="44942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640"/>
        <c:crosses val="autoZero"/>
        <c:auto val="0"/>
        <c:lblAlgn val="ctr"/>
        <c:lblOffset val="100"/>
        <c:noMultiLvlLbl val="0"/>
      </c:catAx>
      <c:valAx>
        <c:axId val="44942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30-436A-9C3A-8116DD199E7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30-436A-9C3A-8116DD199E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0.83</c:v>
                </c:pt>
                <c:pt idx="1">
                  <c:v>0.97</c:v>
                </c:pt>
                <c:pt idx="2">
                  <c:v>1.06</c:v>
                </c:pt>
                <c:pt idx="3">
                  <c:v>0.75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30-436A-9C3A-8116DD199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0592"/>
        <c:axId val="449420752"/>
      </c:lineChart>
      <c:catAx>
        <c:axId val="44943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752"/>
        <c:crosses val="autoZero"/>
        <c:auto val="0"/>
        <c:lblAlgn val="ctr"/>
        <c:lblOffset val="100"/>
        <c:noMultiLvlLbl val="0"/>
      </c:catAx>
      <c:valAx>
        <c:axId val="449420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05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D1-4351-BD0F-E220F3D9533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FD1-4351-BD0F-E220F3D9533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D1-4351-BD0F-E220F3D9533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FD1-4351-BD0F-E220F3D953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0.83</c:v>
                </c:pt>
                <c:pt idx="1">
                  <c:v>0.97</c:v>
                </c:pt>
                <c:pt idx="2">
                  <c:v>1.47</c:v>
                </c:pt>
                <c:pt idx="3">
                  <c:v>1.71</c:v>
                </c:pt>
                <c:pt idx="4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D1-4351-BD0F-E220F3D95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4784148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480"/>
        <c:crosses val="autoZero"/>
        <c:auto val="0"/>
        <c:lblAlgn val="ctr"/>
        <c:lblOffset val="100"/>
        <c:noMultiLvlLbl val="0"/>
      </c:catAx>
      <c:valAx>
        <c:axId val="447841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AB-47BD-BD2F-683A344D29C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AB-47BD-BD2F-683A344D29C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AB-47BD-BD2F-683A344D29C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CAB-47BD-BD2F-683A344D29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0.61</c:v>
                </c:pt>
                <c:pt idx="1">
                  <c:v>0.76</c:v>
                </c:pt>
                <c:pt idx="2">
                  <c:v>1.25</c:v>
                </c:pt>
                <c:pt idx="3">
                  <c:v>1.54</c:v>
                </c:pt>
                <c:pt idx="4">
                  <c:v>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AB-47BD-BD2F-683A344D2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71208"/>
        <c:axId val="453478424"/>
      </c:lineChart>
      <c:catAx>
        <c:axId val="45347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8424"/>
        <c:crosses val="autoZero"/>
        <c:auto val="0"/>
        <c:lblAlgn val="ctr"/>
        <c:lblOffset val="100"/>
        <c:noMultiLvlLbl val="0"/>
      </c:catAx>
      <c:valAx>
        <c:axId val="453478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471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9C-42FE-B613-F5B9A9C3040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9C-42FE-B613-F5B9A9C304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3.84</c:v>
                </c:pt>
                <c:pt idx="1">
                  <c:v>3.24</c:v>
                </c:pt>
                <c:pt idx="2">
                  <c:v>2.9</c:v>
                </c:pt>
                <c:pt idx="3">
                  <c:v>4.37</c:v>
                </c:pt>
                <c:pt idx="4">
                  <c:v>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9C-42FE-B613-F5B9A9C30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50786496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6496"/>
        <c:crosses val="autoZero"/>
        <c:auto val="0"/>
        <c:lblAlgn val="ctr"/>
        <c:lblOffset val="100"/>
        <c:noMultiLvlLbl val="0"/>
      </c:catAx>
      <c:valAx>
        <c:axId val="450786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66B-4982-B13B-48761D91958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66B-4982-B13B-48761D9195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0.35</c:v>
                </c:pt>
                <c:pt idx="1">
                  <c:v>0.28000000000000003</c:v>
                </c:pt>
                <c:pt idx="2">
                  <c:v>0.25</c:v>
                </c:pt>
                <c:pt idx="3">
                  <c:v>0.26</c:v>
                </c:pt>
                <c:pt idx="4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6B-4982-B13B-48761D91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71032"/>
        <c:axId val="625771688"/>
      </c:lineChart>
      <c:catAx>
        <c:axId val="62577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71688"/>
        <c:crosses val="autoZero"/>
        <c:auto val="0"/>
        <c:lblAlgn val="ctr"/>
        <c:lblOffset val="100"/>
        <c:noMultiLvlLbl val="0"/>
      </c:catAx>
      <c:valAx>
        <c:axId val="625771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71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98-4E6F-AB0D-F75C0BCE781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98-4E6F-AB0D-F75C0BCE781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98-4E6F-AB0D-F75C0BCE78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60.28</c:v>
                </c:pt>
                <c:pt idx="1">
                  <c:v>304.92</c:v>
                </c:pt>
                <c:pt idx="2">
                  <c:v>602.74</c:v>
                </c:pt>
                <c:pt idx="3">
                  <c:v>816.41</c:v>
                </c:pt>
                <c:pt idx="4">
                  <c:v>723.5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98-4E6F-AB0D-F75C0BCE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3744"/>
        <c:axId val="439797384"/>
      </c:lineChart>
      <c:catAx>
        <c:axId val="3640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3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F4E-4E87-AE2D-A670E65FFCF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F4E-4E87-AE2D-A670E65FFC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F4E-4E87-AE2D-A670E65FFCF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F4E-4E87-AE2D-A670E65FFC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5216</c:v>
                </c:pt>
                <c:pt idx="1">
                  <c:v>21294.04</c:v>
                </c:pt>
                <c:pt idx="2">
                  <c:v>35109.07</c:v>
                </c:pt>
                <c:pt idx="3">
                  <c:v>51107.11</c:v>
                </c:pt>
                <c:pt idx="4">
                  <c:v>73682.13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E-4E87-AE2D-A670E65FF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4496"/>
        <c:axId val="448024824"/>
      </c:lineChart>
      <c:catAx>
        <c:axId val="44802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024824"/>
        <c:crosses val="autoZero"/>
        <c:auto val="0"/>
        <c:lblAlgn val="ctr"/>
        <c:lblOffset val="100"/>
        <c:noMultiLvlLbl val="0"/>
      </c:catAx>
      <c:valAx>
        <c:axId val="448024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4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DBF-4435-AE07-F8064702B56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DBF-4435-AE07-F8064702B56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DBF-4435-AE07-F8064702B5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BF-4435-AE07-F8064702B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787000"/>
        <c:axId val="632788968"/>
      </c:lineChart>
      <c:catAx>
        <c:axId val="63278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8968"/>
        <c:crosses val="autoZero"/>
        <c:auto val="0"/>
        <c:lblAlgn val="ctr"/>
        <c:lblOffset val="100"/>
        <c:noMultiLvlLbl val="0"/>
      </c:catAx>
      <c:valAx>
        <c:axId val="632788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787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5D2-4B12-94EC-C752E53B780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5D2-4B12-94EC-C752E53B780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5D2-4B12-94EC-C752E53B78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7.69</c:v>
                </c:pt>
                <c:pt idx="1">
                  <c:v>6.89</c:v>
                </c:pt>
                <c:pt idx="2">
                  <c:v>7.37</c:v>
                </c:pt>
                <c:pt idx="3">
                  <c:v>8.75</c:v>
                </c:pt>
                <c:pt idx="4">
                  <c:v>9.17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D2-4B12-94EC-C752E53B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71536"/>
        <c:axId val="453473176"/>
      </c:lineChart>
      <c:catAx>
        <c:axId val="45347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3176"/>
        <c:crosses val="autoZero"/>
        <c:auto val="0"/>
        <c:lblAlgn val="ctr"/>
        <c:lblOffset val="100"/>
        <c:noMultiLvlLbl val="0"/>
      </c:catAx>
      <c:valAx>
        <c:axId val="453473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471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B49-4E0A-B884-1143453215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19.7</c:v>
                </c:pt>
                <c:pt idx="1">
                  <c:v>17.350000000000001</c:v>
                </c:pt>
                <c:pt idx="2">
                  <c:v>6.94</c:v>
                </c:pt>
                <c:pt idx="3">
                  <c:v>7.42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49-4E0A-B884-114345321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1296"/>
        <c:axId val="627515128"/>
      </c:lineChart>
      <c:catAx>
        <c:axId val="55394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41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57-4B82-A5DE-784F749704B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D57-4B82-A5DE-784F749704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23.18</c:v>
                </c:pt>
                <c:pt idx="1">
                  <c:v>22.83</c:v>
                </c:pt>
                <c:pt idx="2">
                  <c:v>30.98</c:v>
                </c:pt>
                <c:pt idx="3">
                  <c:v>24.88</c:v>
                </c:pt>
                <c:pt idx="4">
                  <c:v>26.52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57-4B82-A5DE-784F74970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568"/>
        <c:axId val="553648208"/>
      </c:lineChart>
      <c:catAx>
        <c:axId val="55364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208"/>
        <c:crosses val="autoZero"/>
        <c:auto val="0"/>
        <c:lblAlgn val="ctr"/>
        <c:lblOffset val="100"/>
        <c:noMultiLvlLbl val="0"/>
      </c:catAx>
      <c:valAx>
        <c:axId val="55364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B2-4521-B13C-805A759B75F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B2-4521-B13C-805A759B75F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2B2-4521-B13C-805A759B75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0.95</c:v>
                </c:pt>
                <c:pt idx="2">
                  <c:v>0.95</c:v>
                </c:pt>
                <c:pt idx="3">
                  <c:v>0.97</c:v>
                </c:pt>
                <c:pt idx="4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2-4521-B13C-805A759B7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2968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743-4088-A4FF-088E0D3E412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743-4088-A4FF-088E0D3E41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0.6</c:v>
                </c:pt>
                <c:pt idx="1">
                  <c:v>0.41</c:v>
                </c:pt>
                <c:pt idx="2">
                  <c:v>0.42</c:v>
                </c:pt>
                <c:pt idx="3">
                  <c:v>0.41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43-4088-A4FF-088E0D3E4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224"/>
        <c:axId val="553814912"/>
      </c:lineChart>
      <c:catAx>
        <c:axId val="55381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912"/>
        <c:crosses val="autoZero"/>
        <c:auto val="0"/>
        <c:lblAlgn val="ctr"/>
        <c:lblOffset val="100"/>
        <c:noMultiLvlLbl val="0"/>
      </c:catAx>
      <c:valAx>
        <c:axId val="55381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6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F1E-4F82-A57A-C83C1006BB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47.47</c:v>
                </c:pt>
                <c:pt idx="1">
                  <c:v>52.99</c:v>
                </c:pt>
                <c:pt idx="2">
                  <c:v>49.52</c:v>
                </c:pt>
                <c:pt idx="3">
                  <c:v>41.7</c:v>
                </c:pt>
                <c:pt idx="4">
                  <c:v>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1E-4F82-A57A-C83C1006B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712"/>
        <c:axId val="548322152"/>
      </c:lineChart>
      <c:catAx>
        <c:axId val="54954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500-4F12-B4B2-1B81E1477E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500-4F12-B4B2-1B81E1477E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606.92999999999995</c:v>
                </c:pt>
                <c:pt idx="1">
                  <c:v>892.55</c:v>
                </c:pt>
                <c:pt idx="2">
                  <c:v>862.59</c:v>
                </c:pt>
                <c:pt idx="3">
                  <c:v>901.05</c:v>
                </c:pt>
                <c:pt idx="4">
                  <c:v>572.97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0-4F12-B4B2-1B81E1477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665328"/>
        <c:axId val="631665984"/>
      </c:lineChart>
      <c:catAx>
        <c:axId val="63166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5984"/>
        <c:crosses val="autoZero"/>
        <c:auto val="0"/>
        <c:lblAlgn val="ctr"/>
        <c:lblOffset val="100"/>
        <c:noMultiLvlLbl val="0"/>
      </c:catAx>
      <c:valAx>
        <c:axId val="631665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1665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147-4DF3-9959-EB9340A9E2A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47-4DF3-9959-EB9340A9E2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15.74</c:v>
                </c:pt>
                <c:pt idx="1">
                  <c:v>15.99</c:v>
                </c:pt>
                <c:pt idx="2">
                  <c:v>11.78</c:v>
                </c:pt>
                <c:pt idx="3">
                  <c:v>14.67</c:v>
                </c:pt>
                <c:pt idx="4">
                  <c:v>13.76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7-4DF3-9959-EB9340A9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552"/>
        <c:axId val="553648864"/>
      </c:lineChart>
      <c:catAx>
        <c:axId val="5536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003-43ED-8DCC-3F86C831B4D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03-43ED-8DCC-3F86C831B4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654.4</c:v>
                </c:pt>
                <c:pt idx="1">
                  <c:v>945.54</c:v>
                </c:pt>
                <c:pt idx="2">
                  <c:v>912.11</c:v>
                </c:pt>
                <c:pt idx="3">
                  <c:v>942.75</c:v>
                </c:pt>
                <c:pt idx="4">
                  <c:v>612.79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03-43ED-8DCC-3F86C831B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4608"/>
        <c:axId val="553816552"/>
      </c:lineChart>
      <c:catAx>
        <c:axId val="55359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4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FB-4D17-821C-C08F2990563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FB-4D17-821C-C08F2990563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8FFB-4D17-821C-C08F299056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-47.47</c:v>
                </c:pt>
                <c:pt idx="1">
                  <c:v>-52.99</c:v>
                </c:pt>
                <c:pt idx="2">
                  <c:v>-49.52</c:v>
                </c:pt>
                <c:pt idx="3">
                  <c:v>-41.7</c:v>
                </c:pt>
                <c:pt idx="4">
                  <c:v>-39.82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FB-4D17-821C-C08F29905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385408"/>
        <c:axId val="624385736"/>
      </c:lineChart>
      <c:catAx>
        <c:axId val="6243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385736"/>
        <c:crosses val="autoZero"/>
        <c:auto val="0"/>
        <c:lblAlgn val="ctr"/>
        <c:lblOffset val="100"/>
        <c:noMultiLvlLbl val="0"/>
      </c:catAx>
      <c:valAx>
        <c:axId val="62438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4385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63508</c:v>
                </c:pt>
                <c:pt idx="1">
                  <c:v>64309.044201933968</c:v>
                </c:pt>
                <c:pt idx="2">
                  <c:v>58211.074245622993</c:v>
                </c:pt>
                <c:pt idx="3">
                  <c:v>69401.113629480329</c:v>
                </c:pt>
                <c:pt idx="4">
                  <c:v>89655.133447761938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AE-44B5-8744-DEF207D5D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900888"/>
        <c:axId val="551902856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184798</c:v>
                </c:pt>
                <c:pt idx="1">
                  <c:v>204053.04420193395</c:v>
                </c:pt>
                <c:pt idx="2">
                  <c:v>187196.07424562299</c:v>
                </c:pt>
                <c:pt idx="3">
                  <c:v>192818.11362948033</c:v>
                </c:pt>
                <c:pt idx="4">
                  <c:v>222872.13344776194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AE-44B5-8744-DEF207D5D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0888"/>
        <c:axId val="551902856"/>
      </c:lineChart>
      <c:catAx>
        <c:axId val="55190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2856"/>
        <c:crosses val="autoZero"/>
        <c:auto val="1"/>
        <c:lblAlgn val="ctr"/>
        <c:lblOffset val="100"/>
        <c:noMultiLvlLbl val="0"/>
      </c:catAx>
      <c:valAx>
        <c:axId val="551902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08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28497.0273554249</c:v>
                </c:pt>
                <c:pt idx="1">
                  <c:v>26635.044201933968</c:v>
                </c:pt>
                <c:pt idx="2">
                  <c:v>23538.030043689025</c:v>
                </c:pt>
                <c:pt idx="3">
                  <c:v>30415.039383857336</c:v>
                </c:pt>
                <c:pt idx="4">
                  <c:v>43969.019818281609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45-43E3-82C1-B0E61FA8DA9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22214.0273554249</c:v>
                </c:pt>
                <c:pt idx="1">
                  <c:v>18443.044201933968</c:v>
                </c:pt>
                <c:pt idx="2">
                  <c:v>14445.030043689025</c:v>
                </c:pt>
                <c:pt idx="3">
                  <c:v>22777.039383857336</c:v>
                </c:pt>
                <c:pt idx="4">
                  <c:v>35074.019818281609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45-43E3-82C1-B0E61FA8D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665656"/>
        <c:axId val="631661720"/>
      </c:barChart>
      <c:catAx>
        <c:axId val="63166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1720"/>
        <c:crosses val="autoZero"/>
        <c:auto val="1"/>
        <c:lblAlgn val="ctr"/>
        <c:lblOffset val="100"/>
        <c:noMultiLvlLbl val="0"/>
      </c:catAx>
      <c:valAx>
        <c:axId val="631661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56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35-4E32-862A-43F6B67A5F6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A35-4E32-862A-43F6B67A5F6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35-4E32-862A-43F6B67A5F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132.19999999999999</c:v>
                </c:pt>
                <c:pt idx="1">
                  <c:v>132.63999999999999</c:v>
                </c:pt>
                <c:pt idx="2">
                  <c:v>238.03</c:v>
                </c:pt>
                <c:pt idx="3">
                  <c:v>146.27000000000001</c:v>
                </c:pt>
                <c:pt idx="4">
                  <c:v>225.75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35-4E32-862A-43F6B67A5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5840"/>
        <c:axId val="449434856"/>
      </c:lineChart>
      <c:catAx>
        <c:axId val="4494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4856"/>
        <c:crosses val="autoZero"/>
        <c:auto val="0"/>
        <c:lblAlgn val="ctr"/>
        <c:lblOffset val="100"/>
        <c:noMultiLvlLbl val="0"/>
      </c:catAx>
      <c:valAx>
        <c:axId val="449434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5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43764</c:v>
                </c:pt>
                <c:pt idx="1">
                  <c:v>60547.044201933968</c:v>
                </c:pt>
                <c:pt idx="2">
                  <c:v>73987.074245622993</c:v>
                </c:pt>
                <c:pt idx="3">
                  <c:v>96731.113629480329</c:v>
                </c:pt>
                <c:pt idx="4">
                  <c:v>130054.13344776194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6-4F59-8EBC-CF54E44F1001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52515</c:v>
                </c:pt>
                <c:pt idx="1">
                  <c:v>62332</c:v>
                </c:pt>
                <c:pt idx="2">
                  <c:v>50245</c:v>
                </c:pt>
                <c:pt idx="3">
                  <c:v>56406</c:v>
                </c:pt>
                <c:pt idx="4">
                  <c:v>58352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76-4F59-8EBC-CF54E44F1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474488"/>
        <c:axId val="453473504"/>
      </c:barChart>
      <c:catAx>
        <c:axId val="45347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3504"/>
        <c:crosses val="autoZero"/>
        <c:auto val="1"/>
        <c:lblAlgn val="ctr"/>
        <c:lblOffset val="100"/>
        <c:noMultiLvlLbl val="0"/>
      </c:catAx>
      <c:valAx>
        <c:axId val="453473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44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2361</c:v>
                </c:pt>
                <c:pt idx="1">
                  <c:v>2596</c:v>
                </c:pt>
                <c:pt idx="2">
                  <c:v>2828</c:v>
                </c:pt>
                <c:pt idx="3">
                  <c:v>3132</c:v>
                </c:pt>
                <c:pt idx="4">
                  <c:v>3386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E4-46D9-93DC-1F2849BE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659752"/>
        <c:axId val="63166270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410</c:v>
                </c:pt>
                <c:pt idx="1">
                  <c:v>387</c:v>
                </c:pt>
                <c:pt idx="2">
                  <c:v>355</c:v>
                </c:pt>
                <c:pt idx="3">
                  <c:v>353</c:v>
                </c:pt>
                <c:pt idx="4">
                  <c:v>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E4-46D9-93DC-1F2849BE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229856"/>
        <c:axId val="632225264"/>
      </c:lineChart>
      <c:catAx>
        <c:axId val="63165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1662704"/>
        <c:crosses val="autoZero"/>
        <c:auto val="1"/>
        <c:lblAlgn val="ctr"/>
        <c:lblOffset val="100"/>
        <c:noMultiLvlLbl val="0"/>
      </c:catAx>
      <c:valAx>
        <c:axId val="631662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59752"/>
        <c:crosses val="autoZero"/>
        <c:crossBetween val="between"/>
      </c:valAx>
      <c:valAx>
        <c:axId val="6322252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2229856"/>
        <c:crosses val="max"/>
        <c:crossBetween val="between"/>
      </c:valAx>
      <c:catAx>
        <c:axId val="632229856"/>
        <c:scaling>
          <c:orientation val="minMax"/>
        </c:scaling>
        <c:delete val="1"/>
        <c:axPos val="b"/>
        <c:majorTickMark val="out"/>
        <c:minorTickMark val="none"/>
        <c:tickLblPos val="nextTo"/>
        <c:crossAx val="63222526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31582</c:v>
                </c:pt>
                <c:pt idx="1">
                  <c:v>25490</c:v>
                </c:pt>
                <c:pt idx="2">
                  <c:v>21261</c:v>
                </c:pt>
                <c:pt idx="3">
                  <c:v>22849</c:v>
                </c:pt>
                <c:pt idx="4">
                  <c:v>37172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05-4F46-B869-AC7C930D6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69200"/>
        <c:axId val="4519685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14026</c:v>
                </c:pt>
                <c:pt idx="1">
                  <c:v>18144</c:v>
                </c:pt>
                <c:pt idx="2">
                  <c:v>16606</c:v>
                </c:pt>
                <c:pt idx="3">
                  <c:v>13674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5-4F46-B869-AC7C930D6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195672"/>
        <c:axId val="625200592"/>
      </c:lineChart>
      <c:catAx>
        <c:axId val="45196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1968544"/>
        <c:crosses val="autoZero"/>
        <c:auto val="1"/>
        <c:lblAlgn val="ctr"/>
        <c:lblOffset val="100"/>
        <c:noMultiLvlLbl val="0"/>
      </c:catAx>
      <c:valAx>
        <c:axId val="451968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69200"/>
        <c:crosses val="autoZero"/>
        <c:crossBetween val="between"/>
      </c:valAx>
      <c:valAx>
        <c:axId val="6252005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195672"/>
        <c:crosses val="max"/>
        <c:crossBetween val="between"/>
      </c:valAx>
      <c:catAx>
        <c:axId val="625195672"/>
        <c:scaling>
          <c:orientation val="minMax"/>
        </c:scaling>
        <c:delete val="1"/>
        <c:axPos val="b"/>
        <c:majorTickMark val="out"/>
        <c:minorTickMark val="none"/>
        <c:tickLblPos val="nextTo"/>
        <c:crossAx val="62520059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92011</c:v>
                </c:pt>
                <c:pt idx="1">
                  <c:v>90901</c:v>
                </c:pt>
                <c:pt idx="2">
                  <c:v>83545</c:v>
                </c:pt>
                <c:pt idx="3">
                  <c:v>86863</c:v>
                </c:pt>
                <c:pt idx="4">
                  <c:v>131192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0-4700-9AA2-72D93CD5154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94529.0273554249</c:v>
                </c:pt>
                <c:pt idx="1">
                  <c:v>94920.044201933968</c:v>
                </c:pt>
                <c:pt idx="2">
                  <c:v>86056.030043689025</c:v>
                </c:pt>
                <c:pt idx="3">
                  <c:v>90285.039383857336</c:v>
                </c:pt>
                <c:pt idx="4">
                  <c:v>133793.01981828161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30-4700-9AA2-72D93CD51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476456"/>
        <c:axId val="548323136"/>
      </c:barChart>
      <c:catAx>
        <c:axId val="45347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1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64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204053.04420193395</c:v>
                </c:pt>
                <c:pt idx="2">
                  <c:v>187196.07424562299</c:v>
                </c:pt>
                <c:pt idx="3">
                  <c:v>192818.11362948033</c:v>
                </c:pt>
                <c:pt idx="4">
                  <c:v>222872.13344776194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1A-4B83-A9C3-C8469D3B5568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52818</c:v>
                </c:pt>
                <c:pt idx="1">
                  <c:v>62185</c:v>
                </c:pt>
                <c:pt idx="2">
                  <c:v>61628</c:v>
                </c:pt>
                <c:pt idx="3">
                  <c:v>51873</c:v>
                </c:pt>
                <c:pt idx="4">
                  <c:v>57544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1A-4B83-A9C3-C8469D3B5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231168"/>
        <c:axId val="632230184"/>
      </c:barChart>
      <c:catAx>
        <c:axId val="6322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230184"/>
        <c:crosses val="autoZero"/>
        <c:auto val="1"/>
        <c:lblAlgn val="ctr"/>
        <c:lblOffset val="100"/>
        <c:noMultiLvlLbl val="0"/>
      </c:catAx>
      <c:valAx>
        <c:axId val="632230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2311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204053.04420193395</c:v>
                </c:pt>
                <c:pt idx="2">
                  <c:v>187196.07424562299</c:v>
                </c:pt>
                <c:pt idx="3">
                  <c:v>192818.11362948033</c:v>
                </c:pt>
                <c:pt idx="4">
                  <c:v>222872.13344776194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03-481C-854C-86934067B86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52515</c:v>
                </c:pt>
                <c:pt idx="1">
                  <c:v>62332</c:v>
                </c:pt>
                <c:pt idx="2">
                  <c:v>50245</c:v>
                </c:pt>
                <c:pt idx="3">
                  <c:v>56406</c:v>
                </c:pt>
                <c:pt idx="4">
                  <c:v>58352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03-481C-854C-86934067B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662376"/>
        <c:axId val="631660736"/>
      </c:barChart>
      <c:catAx>
        <c:axId val="63166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0736"/>
        <c:crosses val="autoZero"/>
        <c:auto val="1"/>
        <c:lblAlgn val="ctr"/>
        <c:lblOffset val="100"/>
        <c:noMultiLvlLbl val="0"/>
      </c:catAx>
      <c:valAx>
        <c:axId val="631660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2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204053.04420193395</c:v>
                </c:pt>
                <c:pt idx="2">
                  <c:v>187196.07424562299</c:v>
                </c:pt>
                <c:pt idx="3">
                  <c:v>192818.11362948033</c:v>
                </c:pt>
                <c:pt idx="4">
                  <c:v>222872.13344776194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6-485A-91FF-214A7E0A4034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141034</c:v>
                </c:pt>
                <c:pt idx="1">
                  <c:v>143506</c:v>
                </c:pt>
                <c:pt idx="2">
                  <c:v>113209</c:v>
                </c:pt>
                <c:pt idx="3">
                  <c:v>96087</c:v>
                </c:pt>
                <c:pt idx="4">
                  <c:v>92818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46-485A-91FF-214A7E0A4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238768"/>
        <c:axId val="448243688"/>
      </c:barChart>
      <c:catAx>
        <c:axId val="44823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243688"/>
        <c:crosses val="autoZero"/>
        <c:auto val="1"/>
        <c:lblAlgn val="ctr"/>
        <c:lblOffset val="100"/>
        <c:noMultiLvlLbl val="0"/>
      </c:catAx>
      <c:valAx>
        <c:axId val="448243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2387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204053.04420193395</c:v>
                </c:pt>
                <c:pt idx="2">
                  <c:v>187196.07424562299</c:v>
                </c:pt>
                <c:pt idx="3">
                  <c:v>192818.11362948033</c:v>
                </c:pt>
                <c:pt idx="4">
                  <c:v>222872.13344776194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65-463E-B0A3-AD429A73EC6D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43764</c:v>
                </c:pt>
                <c:pt idx="1">
                  <c:v>60547.044201933968</c:v>
                </c:pt>
                <c:pt idx="2">
                  <c:v>73987.074245622993</c:v>
                </c:pt>
                <c:pt idx="3">
                  <c:v>96731.113629480329</c:v>
                </c:pt>
                <c:pt idx="4">
                  <c:v>130054.13344776194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65-463E-B0A3-AD429A73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071928"/>
        <c:axId val="453067336"/>
      </c:barChart>
      <c:catAx>
        <c:axId val="45307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7336"/>
        <c:crosses val="autoZero"/>
        <c:auto val="1"/>
        <c:lblAlgn val="ctr"/>
        <c:lblOffset val="100"/>
        <c:noMultiLvlLbl val="0"/>
      </c:catAx>
      <c:valAx>
        <c:axId val="453067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719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66032</c:v>
                </c:pt>
                <c:pt idx="1">
                  <c:v>68285</c:v>
                </c:pt>
                <c:pt idx="2">
                  <c:v>62518</c:v>
                </c:pt>
                <c:pt idx="3">
                  <c:v>59870</c:v>
                </c:pt>
                <c:pt idx="4">
                  <c:v>89824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01-4874-9C91-B23242299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35904"/>
        <c:axId val="104436232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94529.0273554249</c:v>
                </c:pt>
                <c:pt idx="1">
                  <c:v>94920.044201933968</c:v>
                </c:pt>
                <c:pt idx="2">
                  <c:v>86056.030043689025</c:v>
                </c:pt>
                <c:pt idx="3">
                  <c:v>90285.039383857336</c:v>
                </c:pt>
                <c:pt idx="4">
                  <c:v>133793.01981828161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01-4874-9C91-B23242299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37544"/>
        <c:axId val="549933000"/>
      </c:lineChart>
      <c:catAx>
        <c:axId val="1044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6232"/>
        <c:crosses val="autoZero"/>
        <c:auto val="1"/>
        <c:lblAlgn val="ctr"/>
        <c:lblOffset val="100"/>
        <c:noMultiLvlLbl val="0"/>
      </c:catAx>
      <c:valAx>
        <c:axId val="104436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5904"/>
        <c:crosses val="autoZero"/>
        <c:crossBetween val="between"/>
      </c:valAx>
      <c:valAx>
        <c:axId val="5499330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104437544"/>
        <c:crosses val="max"/>
        <c:crossBetween val="between"/>
      </c:valAx>
      <c:catAx>
        <c:axId val="104437544"/>
        <c:scaling>
          <c:orientation val="minMax"/>
        </c:scaling>
        <c:delete val="1"/>
        <c:axPos val="b"/>
        <c:majorTickMark val="out"/>
        <c:minorTickMark val="none"/>
        <c:tickLblPos val="nextTo"/>
        <c:crossAx val="54993300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3989.0273554248997</c:v>
                </c:pt>
                <c:pt idx="1">
                  <c:v>801.044201933968</c:v>
                </c:pt>
                <c:pt idx="2">
                  <c:v>-6097.9699563109752</c:v>
                </c:pt>
                <c:pt idx="3">
                  <c:v>11190.039383857336</c:v>
                </c:pt>
                <c:pt idx="4">
                  <c:v>20254.019818281609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22-4046-92C8-0341FA99F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55184"/>
        <c:axId val="44985551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13451.0273554249</c:v>
                </c:pt>
                <c:pt idx="1">
                  <c:v>9212.044201933968</c:v>
                </c:pt>
                <c:pt idx="2">
                  <c:v>-4401.9699563109752</c:v>
                </c:pt>
                <c:pt idx="3">
                  <c:v>14709.039383857336</c:v>
                </c:pt>
                <c:pt idx="4">
                  <c:v>20254.019818281609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22-4046-92C8-0341FA99F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851248"/>
        <c:axId val="449852888"/>
      </c:lineChart>
      <c:catAx>
        <c:axId val="44985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55512"/>
        <c:crosses val="autoZero"/>
        <c:auto val="1"/>
        <c:lblAlgn val="ctr"/>
        <c:lblOffset val="100"/>
        <c:noMultiLvlLbl val="0"/>
      </c:catAx>
      <c:valAx>
        <c:axId val="449855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55184"/>
        <c:crosses val="autoZero"/>
        <c:crossBetween val="between"/>
      </c:valAx>
      <c:valAx>
        <c:axId val="4498528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9851248"/>
        <c:crosses val="max"/>
        <c:crossBetween val="between"/>
      </c:valAx>
      <c:catAx>
        <c:axId val="449851248"/>
        <c:scaling>
          <c:orientation val="minMax"/>
        </c:scaling>
        <c:delete val="1"/>
        <c:axPos val="b"/>
        <c:majorTickMark val="out"/>
        <c:minorTickMark val="none"/>
        <c:tickLblPos val="nextTo"/>
        <c:crossAx val="44985288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063-4560-ACC6-D99A2BDEC93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063-4560-ACC6-D99A2BDEC9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0.7</c:v>
                </c:pt>
                <c:pt idx="1">
                  <c:v>0.91</c:v>
                </c:pt>
                <c:pt idx="2">
                  <c:v>-0.39</c:v>
                </c:pt>
                <c:pt idx="3">
                  <c:v>0.24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3-4560-ACC6-D99A2BDE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0424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424"/>
        <c:crosses val="autoZero"/>
        <c:auto val="0"/>
        <c:lblAlgn val="ctr"/>
        <c:lblOffset val="100"/>
        <c:noMultiLvlLbl val="0"/>
      </c:catAx>
      <c:valAx>
        <c:axId val="449420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4A3-46CD-BAF9-3BBDD4CE6A9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4A3-46CD-BAF9-3BBDD4CE6A9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4A3-46CD-BAF9-3BBDD4CE6A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-18.7</c:v>
                </c:pt>
                <c:pt idx="1">
                  <c:v>-16.350000000000001</c:v>
                </c:pt>
                <c:pt idx="2">
                  <c:v>-5.94</c:v>
                </c:pt>
                <c:pt idx="3">
                  <c:v>-6.42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A3-46CD-BAF9-3BBDD4CE6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5672"/>
        <c:axId val="449425016"/>
      </c:lineChart>
      <c:catAx>
        <c:axId val="44942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016"/>
        <c:crosses val="autoZero"/>
        <c:auto val="0"/>
        <c:lblAlgn val="ctr"/>
        <c:lblOffset val="100"/>
        <c:noMultiLvlLbl val="0"/>
      </c:catAx>
      <c:valAx>
        <c:axId val="449425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5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0A-4ADD-AE90-4FEF4835D16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20A-4ADD-AE90-4FEF4835D16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0A-4ADD-AE90-4FEF4835D1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60429</c:v>
                </c:pt>
                <c:pt idx="1">
                  <c:v>65411</c:v>
                </c:pt>
                <c:pt idx="2">
                  <c:v>62284</c:v>
                </c:pt>
                <c:pt idx="3">
                  <c:v>64014</c:v>
                </c:pt>
                <c:pt idx="4">
                  <c:v>94020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0A-4ADD-AE90-4FEF4835D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072"/>
        <c:axId val="364042760"/>
      </c:lineChart>
      <c:catAx>
        <c:axId val="36404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40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A98-43AA-B90B-8E34DC70968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A98-43AA-B90B-8E34DC7096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25979</c:v>
                </c:pt>
                <c:pt idx="1">
                  <c:v>22616</c:v>
                </c:pt>
                <c:pt idx="2">
                  <c:v>21027</c:v>
                </c:pt>
                <c:pt idx="3">
                  <c:v>26993</c:v>
                </c:pt>
                <c:pt idx="4">
                  <c:v>41368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98-43AA-B90B-8E34DC709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1940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52D-4F8D-85C8-8084A30D5C4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52D-4F8D-85C8-8084A30D5C4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0.05</c:v>
                </c:pt>
                <c:pt idx="2">
                  <c:v>-0.02</c:v>
                </c:pt>
                <c:pt idx="3">
                  <c:v>0.08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52D-4F8D-85C8-8084A30D5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0640"/>
        <c:axId val="624387704"/>
      </c:lineChart>
      <c:catAx>
        <c:axId val="55394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387704"/>
        <c:crosses val="autoZero"/>
        <c:auto val="0"/>
        <c:lblAlgn val="ctr"/>
        <c:lblOffset val="100"/>
        <c:noMultiLvlLbl val="0"/>
      </c:catAx>
      <c:valAx>
        <c:axId val="62438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94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8EE-4C39-B6A6-7123DFB03AD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8EE-4C39-B6A6-7123DFB03A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0.21</c:v>
                </c:pt>
                <c:pt idx="1">
                  <c:v>0.15</c:v>
                </c:pt>
                <c:pt idx="2">
                  <c:v>0.12</c:v>
                </c:pt>
                <c:pt idx="3">
                  <c:v>0.22</c:v>
                </c:pt>
                <c:pt idx="4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EE-4C39-B6A6-7123DFB03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312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312"/>
        <c:crosses val="autoZero"/>
        <c:auto val="0"/>
        <c:lblAlgn val="ctr"/>
        <c:lblOffset val="100"/>
        <c:noMultiLvlLbl val="0"/>
      </c:catAx>
      <c:valAx>
        <c:axId val="44942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155195-31E6-6335-50A7-C30275138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EAD699-4B94-EA3E-E420-6107074D41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A53D2F-4036-D3E6-DE33-F574F7C56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F16DBB-FC46-F2F9-2DA1-6292DEC49D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7E4B74-144D-2567-71B5-53A0993F8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21A23D-19C9-B619-1798-492CB240E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D3653C-67AD-4090-C3D0-09123C5F8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E9B22E-C22C-4AD2-E813-C45E4326A4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CD1BB6-805D-04DA-7FD4-D5B4D9E3EC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2CDE63-C4F0-1B75-D199-73525F46D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890908-11C6-D32A-C98A-0DDC3A311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5AA469-E773-47AC-E286-0DA4DEF3DE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A05DF7-8B8C-8F4A-A45B-63AABDCF5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3A95FD-0D74-B64C-1EF1-16F6F9D8EE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6646F5-5080-8411-3199-C5A38667B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B32928-A7AE-CA50-5438-0FC25B8E86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595055-5DF6-B1E6-AEE0-309B45768B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EF3866-18C5-20FD-7446-2D8EAA2BAE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D958E6-04B4-3177-CE92-2940A9B656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09B564-2A61-8A97-1562-FA5B78177C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8FC57AD-E1A5-6B00-90A6-F366B02D22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5E24355B-AD73-51C2-F705-221AEF698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B8B26F-5601-8CB7-DA6A-F2057C1AD7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A57D2CFA-073E-420F-F4B1-CC98B96E82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1A64DD8-0118-9EC2-A291-D66C3A7159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D0AE5A9A-C6C9-78C2-84FF-8ECFAC296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EC30BF75-51A2-CF39-7A76-7E4033570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BDC41D3A-2F78-40D2-286E-7C5C71DC30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67A0346-E6C7-4B50-F7F3-21132B0C0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E5DD503E-F83F-9E1E-43A9-B8D76B732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EDFD638-4DD1-7CB2-C2ED-9702D9A24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1011C655-3DA8-7D6B-92A4-4811271E59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822F8D46-F5D1-9A2A-C4FE-4B6CC8AA58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68D9F-66CC-1F21-5D14-6FB3FA9AD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00C2AA-57A1-FCD3-91DE-DE848422B8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7B3D9D-5BAF-83F0-0B51-46D5BABB96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3527DE-7E08-AC74-CA63-36EF346028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6FD759-3317-5551-E063-E1E8570A3B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D448C4-91FB-21D2-3D64-A3890C2F84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6120-F6AF-41AA-B4C6-4BCB63F75AE2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372</v>
      </c>
      <c r="D6">
        <v>372</v>
      </c>
      <c r="E6">
        <v>372</v>
      </c>
      <c r="F6">
        <v>372</v>
      </c>
      <c r="G6">
        <v>372</v>
      </c>
      <c r="H6" t="s">
        <v>1</v>
      </c>
    </row>
    <row r="7" spans="1:15" x14ac:dyDescent="0.25">
      <c r="B7" t="s">
        <v>6</v>
      </c>
      <c r="C7">
        <v>372</v>
      </c>
      <c r="D7">
        <v>374</v>
      </c>
      <c r="E7">
        <v>374</v>
      </c>
      <c r="F7">
        <v>374</v>
      </c>
      <c r="G7">
        <v>372</v>
      </c>
      <c r="H7" t="s">
        <v>1</v>
      </c>
    </row>
    <row r="8" spans="1:15" x14ac:dyDescent="0.25">
      <c r="A8" t="s">
        <v>90</v>
      </c>
      <c r="B8" t="s">
        <v>7</v>
      </c>
      <c r="C8" s="2">
        <v>63136</v>
      </c>
      <c r="D8" s="2">
        <v>61925</v>
      </c>
      <c r="E8" s="2">
        <v>54263</v>
      </c>
      <c r="F8" s="2">
        <v>61906</v>
      </c>
      <c r="G8" s="2">
        <v>65011</v>
      </c>
      <c r="H8" t="s">
        <v>1</v>
      </c>
    </row>
    <row r="9" spans="1:15" x14ac:dyDescent="0.25">
      <c r="B9" t="s">
        <v>8</v>
      </c>
      <c r="C9" s="2">
        <v>63136</v>
      </c>
      <c r="D9" s="2">
        <v>61925</v>
      </c>
      <c r="E9" s="2">
        <v>54263</v>
      </c>
      <c r="F9" s="2">
        <v>61906</v>
      </c>
      <c r="G9" s="2">
        <v>65011</v>
      </c>
      <c r="H9" t="s">
        <v>1</v>
      </c>
    </row>
    <row r="10" spans="1:15" x14ac:dyDescent="0.25">
      <c r="B10" t="s">
        <v>9</v>
      </c>
      <c r="C10" s="2">
        <v>63508</v>
      </c>
      <c r="D10" s="2">
        <v>62299</v>
      </c>
      <c r="E10" s="2">
        <v>54637</v>
      </c>
      <c r="F10" s="2">
        <v>62280</v>
      </c>
      <c r="G10" s="2">
        <v>65383</v>
      </c>
      <c r="H10" t="s">
        <v>1</v>
      </c>
    </row>
    <row r="11" spans="1:15" x14ac:dyDescent="0.25">
      <c r="A11" t="s">
        <v>10</v>
      </c>
      <c r="B11" t="s">
        <v>10</v>
      </c>
      <c r="C11" s="2">
        <v>15957</v>
      </c>
      <c r="D11" s="2">
        <v>15227</v>
      </c>
      <c r="E11" s="2">
        <v>17112</v>
      </c>
      <c r="F11" s="2">
        <v>15138</v>
      </c>
      <c r="G11" s="2">
        <v>17321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26789</v>
      </c>
      <c r="D13" s="2">
        <v>34719</v>
      </c>
      <c r="E13" s="2">
        <v>36722</v>
      </c>
      <c r="F13" s="2">
        <v>37960</v>
      </c>
      <c r="G13" s="2">
        <v>36205</v>
      </c>
      <c r="H13" t="s">
        <v>1</v>
      </c>
    </row>
    <row r="14" spans="1:15" x14ac:dyDescent="0.25">
      <c r="A14" t="s">
        <v>91</v>
      </c>
      <c r="B14" t="s">
        <v>13</v>
      </c>
      <c r="C14" s="2">
        <v>4078</v>
      </c>
      <c r="D14" s="2">
        <v>4484</v>
      </c>
      <c r="E14" s="2">
        <v>2885</v>
      </c>
      <c r="F14" s="2">
        <v>2215</v>
      </c>
      <c r="G14" s="2">
        <v>4435</v>
      </c>
      <c r="H14" t="s">
        <v>1</v>
      </c>
    </row>
    <row r="15" spans="1:15" x14ac:dyDescent="0.25">
      <c r="A15" t="s">
        <v>92</v>
      </c>
      <c r="B15" t="s">
        <v>14</v>
      </c>
      <c r="C15" s="2">
        <v>4858</v>
      </c>
      <c r="D15" s="2">
        <v>6077</v>
      </c>
      <c r="E15" s="2">
        <v>6116</v>
      </c>
      <c r="F15" s="2">
        <v>5848</v>
      </c>
      <c r="G15" s="2">
        <v>6157</v>
      </c>
      <c r="H15" t="s">
        <v>1</v>
      </c>
    </row>
    <row r="16" spans="1:15" x14ac:dyDescent="0.25">
      <c r="A16" t="s">
        <v>93</v>
      </c>
      <c r="B16" t="s">
        <v>15</v>
      </c>
      <c r="C16" s="2">
        <v>2361</v>
      </c>
      <c r="D16" s="2">
        <v>2596</v>
      </c>
      <c r="E16" s="2">
        <v>2828</v>
      </c>
      <c r="F16" s="2">
        <v>3132</v>
      </c>
      <c r="G16" s="2">
        <v>3386</v>
      </c>
      <c r="H16" t="s">
        <v>1</v>
      </c>
    </row>
    <row r="17" spans="1:8" x14ac:dyDescent="0.25">
      <c r="B17" t="s">
        <v>16</v>
      </c>
      <c r="C17" s="2">
        <v>38086</v>
      </c>
      <c r="D17" s="2">
        <v>47876</v>
      </c>
      <c r="E17" s="2">
        <v>48551</v>
      </c>
      <c r="F17" s="2">
        <v>49155</v>
      </c>
      <c r="G17" s="2">
        <v>50183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21951</v>
      </c>
      <c r="D19" s="2">
        <v>22982</v>
      </c>
      <c r="E19" s="2">
        <v>22021</v>
      </c>
      <c r="F19" s="2">
        <v>11698</v>
      </c>
      <c r="G19" s="2">
        <v>16904</v>
      </c>
      <c r="H19" t="s">
        <v>1</v>
      </c>
    </row>
    <row r="20" spans="1:8" x14ac:dyDescent="0.25">
      <c r="A20" t="s">
        <v>92</v>
      </c>
      <c r="B20" t="s">
        <v>19</v>
      </c>
      <c r="C20" s="2">
        <v>17843</v>
      </c>
      <c r="D20" s="2">
        <v>17352</v>
      </c>
      <c r="E20" s="2">
        <v>8027</v>
      </c>
      <c r="F20" s="2">
        <v>7892</v>
      </c>
      <c r="G20" s="2">
        <v>10538</v>
      </c>
      <c r="H20" t="s">
        <v>1</v>
      </c>
    </row>
    <row r="21" spans="1:8" x14ac:dyDescent="0.25">
      <c r="A21" t="s">
        <v>92</v>
      </c>
      <c r="B21" t="s">
        <v>20</v>
      </c>
      <c r="C21" s="2">
        <v>27043</v>
      </c>
      <c r="D21" s="2">
        <v>35920</v>
      </c>
      <c r="E21" s="2">
        <v>32919</v>
      </c>
      <c r="F21" s="2">
        <v>39181</v>
      </c>
      <c r="G21" s="2">
        <v>37854</v>
      </c>
      <c r="H21" t="s">
        <v>1</v>
      </c>
    </row>
    <row r="22" spans="1:8" x14ac:dyDescent="0.25">
      <c r="A22" t="s">
        <v>93</v>
      </c>
      <c r="B22" t="s">
        <v>21</v>
      </c>
      <c r="C22">
        <v>410</v>
      </c>
      <c r="D22">
        <v>387</v>
      </c>
      <c r="E22">
        <v>355</v>
      </c>
      <c r="F22">
        <v>353</v>
      </c>
      <c r="G22">
        <v>417</v>
      </c>
      <c r="H22" t="s">
        <v>1</v>
      </c>
    </row>
    <row r="23" spans="1:8" x14ac:dyDescent="0.25">
      <c r="B23" t="s">
        <v>22</v>
      </c>
      <c r="C23" s="2">
        <v>67247</v>
      </c>
      <c r="D23" s="2">
        <v>76641</v>
      </c>
      <c r="E23" s="2">
        <v>63322</v>
      </c>
      <c r="F23" s="2">
        <v>59124</v>
      </c>
      <c r="G23" s="2">
        <v>65713</v>
      </c>
      <c r="H23" t="s">
        <v>1</v>
      </c>
    </row>
    <row r="24" spans="1:8" x14ac:dyDescent="0.25">
      <c r="B24" t="s">
        <v>23</v>
      </c>
      <c r="C24" s="2">
        <v>184798</v>
      </c>
      <c r="D24" s="2">
        <v>202043</v>
      </c>
      <c r="E24" s="2">
        <v>183622</v>
      </c>
      <c r="F24" s="2">
        <v>185697</v>
      </c>
      <c r="G24" s="2">
        <v>198600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79330</v>
      </c>
      <c r="D27" s="2">
        <v>95515</v>
      </c>
      <c r="E27" s="2">
        <v>88022</v>
      </c>
      <c r="F27" s="2">
        <v>89429</v>
      </c>
      <c r="G27" s="2">
        <v>109345</v>
      </c>
      <c r="H27" t="s">
        <v>1</v>
      </c>
    </row>
    <row r="28" spans="1:8" x14ac:dyDescent="0.25">
      <c r="A28" t="s">
        <v>29</v>
      </c>
      <c r="B28" t="s">
        <v>27</v>
      </c>
      <c r="C28">
        <v>949</v>
      </c>
      <c r="D28" s="2">
        <v>882</v>
      </c>
      <c r="E28">
        <v>882</v>
      </c>
      <c r="F28">
        <v>1041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16140</v>
      </c>
      <c r="D29" s="2">
        <v>22236</v>
      </c>
      <c r="E29" s="2">
        <v>16837</v>
      </c>
      <c r="F29" s="2">
        <v>13880</v>
      </c>
      <c r="G29" s="2">
        <v>0</v>
      </c>
      <c r="H29" t="s">
        <v>1</v>
      </c>
    </row>
    <row r="30" spans="1:8" x14ac:dyDescent="0.25">
      <c r="B30" t="s">
        <v>29</v>
      </c>
      <c r="C30" s="2">
        <v>112334</v>
      </c>
      <c r="D30" s="2">
        <v>121356</v>
      </c>
      <c r="E30" s="2">
        <v>107489</v>
      </c>
      <c r="F30" s="2">
        <v>106784</v>
      </c>
      <c r="G30" s="2">
        <v>109345</v>
      </c>
      <c r="H30" t="s">
        <v>1</v>
      </c>
    </row>
    <row r="31" spans="1:8" x14ac:dyDescent="0.25">
      <c r="A31" t="s">
        <v>94</v>
      </c>
      <c r="B31" t="s">
        <v>30</v>
      </c>
      <c r="C31">
        <v>164</v>
      </c>
      <c r="D31">
        <v>4891</v>
      </c>
      <c r="E31">
        <v>95</v>
      </c>
      <c r="F31" s="2">
        <v>156</v>
      </c>
      <c r="G31">
        <v>151</v>
      </c>
      <c r="H31" t="s">
        <v>1</v>
      </c>
    </row>
    <row r="32" spans="1:8" x14ac:dyDescent="0.25">
      <c r="A32" t="s">
        <v>95</v>
      </c>
      <c r="B32" t="s">
        <v>31</v>
      </c>
      <c r="C32" s="2">
        <v>4934</v>
      </c>
      <c r="D32" s="2">
        <v>3475</v>
      </c>
      <c r="E32" s="2">
        <v>6889</v>
      </c>
      <c r="F32" s="2">
        <v>5860</v>
      </c>
      <c r="G32" s="2">
        <v>5085</v>
      </c>
      <c r="H32" t="s">
        <v>1</v>
      </c>
    </row>
    <row r="33" spans="1:8" x14ac:dyDescent="0.25">
      <c r="A33" t="s">
        <v>95</v>
      </c>
      <c r="B33" t="s">
        <v>32</v>
      </c>
      <c r="C33" s="2">
        <v>23</v>
      </c>
      <c r="D33" s="2">
        <v>20</v>
      </c>
      <c r="E33">
        <v>17</v>
      </c>
      <c r="F33">
        <v>5069</v>
      </c>
      <c r="G33">
        <v>3166</v>
      </c>
      <c r="H33" t="s">
        <v>1</v>
      </c>
    </row>
    <row r="34" spans="1:8" x14ac:dyDescent="0.25">
      <c r="A34" t="s">
        <v>95</v>
      </c>
      <c r="B34" t="s">
        <v>33</v>
      </c>
      <c r="C34" s="2">
        <v>12229</v>
      </c>
      <c r="D34" s="2">
        <v>12473</v>
      </c>
      <c r="E34" s="2">
        <v>11612</v>
      </c>
      <c r="F34" s="2">
        <v>11636</v>
      </c>
      <c r="G34" s="2">
        <v>12278</v>
      </c>
      <c r="H34" t="s">
        <v>1</v>
      </c>
    </row>
    <row r="35" spans="1:8" x14ac:dyDescent="0.25">
      <c r="B35" t="s">
        <v>34</v>
      </c>
      <c r="C35" s="2">
        <v>129684</v>
      </c>
      <c r="D35" s="2">
        <v>142215</v>
      </c>
      <c r="E35" s="2">
        <v>126102</v>
      </c>
      <c r="F35" s="2">
        <v>129505</v>
      </c>
      <c r="G35" s="2">
        <v>130025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28536</v>
      </c>
      <c r="D37" s="2">
        <v>28174</v>
      </c>
      <c r="E37" s="2">
        <v>24658</v>
      </c>
      <c r="F37" s="2">
        <v>16504</v>
      </c>
      <c r="G37" s="2">
        <v>17140</v>
      </c>
      <c r="H37" t="s">
        <v>1</v>
      </c>
    </row>
    <row r="38" spans="1:8" x14ac:dyDescent="0.25">
      <c r="A38" t="s">
        <v>96</v>
      </c>
      <c r="B38" t="s">
        <v>37</v>
      </c>
      <c r="C38" s="2">
        <v>11967</v>
      </c>
      <c r="D38" s="2">
        <v>13198</v>
      </c>
      <c r="E38" s="2">
        <v>11335</v>
      </c>
      <c r="F38" s="2">
        <v>9923</v>
      </c>
      <c r="G38" s="2">
        <v>14313</v>
      </c>
      <c r="H38" t="s">
        <v>1</v>
      </c>
    </row>
    <row r="39" spans="1:8" x14ac:dyDescent="0.25">
      <c r="A39" t="s">
        <v>96</v>
      </c>
      <c r="B39" t="s">
        <v>38</v>
      </c>
      <c r="C39" s="2">
        <v>3969</v>
      </c>
      <c r="D39" s="2">
        <v>3982</v>
      </c>
      <c r="E39" s="2">
        <v>2697</v>
      </c>
      <c r="F39" s="2">
        <v>3491</v>
      </c>
      <c r="G39" s="2">
        <v>4946</v>
      </c>
      <c r="H39" t="s">
        <v>1</v>
      </c>
    </row>
    <row r="40" spans="1:8" x14ac:dyDescent="0.25">
      <c r="A40" t="s">
        <v>96</v>
      </c>
      <c r="B40" t="s">
        <v>39</v>
      </c>
      <c r="C40" s="2">
        <v>5216</v>
      </c>
      <c r="D40" s="2">
        <v>8369</v>
      </c>
      <c r="E40" s="2">
        <v>12502</v>
      </c>
      <c r="F40" s="2">
        <v>16629</v>
      </c>
      <c r="G40" s="2">
        <v>15592</v>
      </c>
      <c r="H40" t="s">
        <v>1</v>
      </c>
    </row>
    <row r="41" spans="1:8" x14ac:dyDescent="0.25">
      <c r="A41" t="s">
        <v>95</v>
      </c>
      <c r="B41" t="s">
        <v>40</v>
      </c>
      <c r="C41" s="2">
        <v>82</v>
      </c>
      <c r="D41" s="2">
        <v>82</v>
      </c>
      <c r="E41">
        <v>85</v>
      </c>
      <c r="F41">
        <v>2019</v>
      </c>
      <c r="G41">
        <v>2304</v>
      </c>
      <c r="H41" t="s">
        <v>1</v>
      </c>
    </row>
    <row r="42" spans="1:8" x14ac:dyDescent="0.25">
      <c r="A42" t="s">
        <v>95</v>
      </c>
      <c r="B42" t="s">
        <v>41</v>
      </c>
      <c r="C42" s="2">
        <v>5344</v>
      </c>
      <c r="D42" s="2">
        <v>6023</v>
      </c>
      <c r="E42" s="2">
        <v>6243</v>
      </c>
      <c r="F42" s="2">
        <v>7626</v>
      </c>
      <c r="G42" s="2">
        <v>14280</v>
      </c>
      <c r="H42" t="s">
        <v>1</v>
      </c>
    </row>
    <row r="43" spans="1:8" x14ac:dyDescent="0.25">
      <c r="B43" t="s">
        <v>42</v>
      </c>
      <c r="C43" s="2">
        <v>55114</v>
      </c>
      <c r="D43" s="2">
        <v>59828</v>
      </c>
      <c r="E43" s="2">
        <v>57520</v>
      </c>
      <c r="F43" s="2">
        <v>56192</v>
      </c>
      <c r="G43" s="2">
        <v>68575</v>
      </c>
      <c r="H43" t="s">
        <v>1</v>
      </c>
    </row>
    <row r="44" spans="1:8" x14ac:dyDescent="0.25">
      <c r="B44" t="s">
        <v>43</v>
      </c>
      <c r="C44" s="2">
        <v>184798</v>
      </c>
      <c r="D44" s="2">
        <v>202043</v>
      </c>
      <c r="E44" s="2">
        <v>183622</v>
      </c>
      <c r="F44" s="2">
        <v>185697</v>
      </c>
      <c r="G44" s="2">
        <v>198600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60831</v>
      </c>
      <c r="D47" s="2">
        <v>68024</v>
      </c>
      <c r="E47" s="2">
        <v>31278</v>
      </c>
      <c r="F47" s="2">
        <v>33352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68.52</v>
      </c>
      <c r="D49">
        <v>68.52</v>
      </c>
      <c r="E49">
        <v>68.52</v>
      </c>
      <c r="F49">
        <v>68.52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149</v>
      </c>
      <c r="D51">
        <v>104</v>
      </c>
      <c r="E51">
        <v>81</v>
      </c>
      <c r="F51">
        <v>143</v>
      </c>
      <c r="G51">
        <v>0</v>
      </c>
      <c r="H51" t="s">
        <v>1</v>
      </c>
    </row>
    <row r="52" spans="2:8" x14ac:dyDescent="0.25">
      <c r="B52" t="s">
        <v>51</v>
      </c>
      <c r="C52">
        <v>20</v>
      </c>
      <c r="D52">
        <v>4792</v>
      </c>
      <c r="E52">
        <v>19</v>
      </c>
      <c r="F52" s="2">
        <v>18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21092</v>
      </c>
      <c r="D54" s="2">
        <v>21791</v>
      </c>
      <c r="E54" s="2">
        <v>17061</v>
      </c>
      <c r="F54" s="2">
        <v>10186</v>
      </c>
      <c r="G54" s="2">
        <v>0</v>
      </c>
      <c r="H54" t="s">
        <v>1</v>
      </c>
    </row>
    <row r="55" spans="2:8" x14ac:dyDescent="0.25">
      <c r="B55" t="s">
        <v>54</v>
      </c>
      <c r="C55">
        <v>7444</v>
      </c>
      <c r="D55" s="2">
        <v>6383</v>
      </c>
      <c r="E55" s="2">
        <v>7597</v>
      </c>
      <c r="F55" s="2">
        <v>6318</v>
      </c>
      <c r="G55" s="2">
        <v>0</v>
      </c>
      <c r="H55" t="s">
        <v>1</v>
      </c>
    </row>
  </sheetData>
  <hyperlinks>
    <hyperlink ref="F1" location="Index_Data!A1" tooltip="Hi click here To return Index page" display="Index_Data!A1" xr:uid="{F091D69F-91F2-4400-9988-0A320272BDC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F276-CDAF-4257-968A-6EC9EB90A82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63508</v>
      </c>
      <c r="D6" s="13">
        <f>Balance_Sheet!D13</f>
        <v>64309.044201933968</v>
      </c>
      <c r="E6" s="13">
        <f>Balance_Sheet!E13</f>
        <v>58211.074245622993</v>
      </c>
      <c r="F6" s="13">
        <f>Balance_Sheet!F13</f>
        <v>69401.113629480329</v>
      </c>
      <c r="G6" s="13">
        <f>Balance_Sheet!G13</f>
        <v>89655.133447761938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</row>
    <row r="8" spans="2:15" ht="18.75" x14ac:dyDescent="0.25">
      <c r="B8" s="14" t="s">
        <v>150</v>
      </c>
      <c r="C8" s="14">
        <f>ROUND(C6/C7, 2)</f>
        <v>132.19999999999999</v>
      </c>
      <c r="D8" s="14">
        <f t="shared" ref="D8:G8" si="0">ROUND(D6/D7, 2)</f>
        <v>132.63999999999999</v>
      </c>
      <c r="E8" s="14">
        <f t="shared" si="0"/>
        <v>238.03</v>
      </c>
      <c r="F8" s="14">
        <f t="shared" si="0"/>
        <v>146.27000000000001</v>
      </c>
      <c r="G8" s="14">
        <f t="shared" si="0"/>
        <v>225.75</v>
      </c>
    </row>
  </sheetData>
  <mergeCells count="1">
    <mergeCell ref="B5:G5"/>
  </mergeCells>
  <hyperlinks>
    <hyperlink ref="F1" location="Index_Data!A1" tooltip="Hi click here To return Index page" display="Index_Data!A1" xr:uid="{2B0F7260-E0D0-4E9E-9B93-F6784A86DF15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E473-4C4D-4F5E-8194-33D3749BA569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9462</v>
      </c>
      <c r="D6" s="13">
        <f>Income_Statement!D51</f>
        <v>8411</v>
      </c>
      <c r="E6" s="13">
        <f>Income_Statement!E51</f>
        <v>1696</v>
      </c>
      <c r="F6" s="13">
        <f>Income_Statement!F51</f>
        <v>3519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</row>
    <row r="8" spans="2:15" ht="18.75" x14ac:dyDescent="0.25">
      <c r="B8" s="12" t="s">
        <v>148</v>
      </c>
      <c r="C8" s="13">
        <f>ROUND(C6/C7, 2)</f>
        <v>19.7</v>
      </c>
      <c r="D8" s="13">
        <f t="shared" ref="D8:G8" si="0">ROUND(D6/D7, 2)</f>
        <v>17.350000000000001</v>
      </c>
      <c r="E8" s="13">
        <f t="shared" si="0"/>
        <v>6.94</v>
      </c>
      <c r="F8" s="13">
        <f t="shared" si="0"/>
        <v>7.42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13451.0273554249</v>
      </c>
      <c r="D9" s="13">
        <f>Income_Statement!D49</f>
        <v>9212.044201933968</v>
      </c>
      <c r="E9" s="13">
        <f>Income_Statement!E49</f>
        <v>-4401.9699563109752</v>
      </c>
      <c r="F9" s="13">
        <f>Income_Statement!F49</f>
        <v>14709.039383857336</v>
      </c>
      <c r="G9" s="13">
        <f>Income_Statement!G49</f>
        <v>20254.019818281609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480.39383412231786</v>
      </c>
      <c r="D10" s="13">
        <f>Income_Statement!D61</f>
        <v>484.84443168073517</v>
      </c>
      <c r="E10" s="13">
        <f>Income_Statement!E61</f>
        <v>244.55388646172085</v>
      </c>
      <c r="F10" s="13">
        <f>Income_Statement!F61</f>
        <v>474.48514141475277</v>
      </c>
      <c r="G10" s="13">
        <f>Income_Statement!G61</f>
        <v>397.13764349571784</v>
      </c>
    </row>
    <row r="11" spans="2:15" ht="18.75" x14ac:dyDescent="0.25">
      <c r="B11" s="12" t="s">
        <v>146</v>
      </c>
      <c r="C11" s="13">
        <f>C9/C10</f>
        <v>28</v>
      </c>
      <c r="D11" s="13">
        <f t="shared" ref="D11:G11" si="1">D9/D10</f>
        <v>19</v>
      </c>
      <c r="E11" s="13">
        <f t="shared" si="1"/>
        <v>-18</v>
      </c>
      <c r="F11" s="13">
        <f t="shared" si="1"/>
        <v>31</v>
      </c>
      <c r="G11" s="13">
        <f t="shared" si="1"/>
        <v>51</v>
      </c>
    </row>
    <row r="12" spans="2:15" ht="18.75" x14ac:dyDescent="0.25">
      <c r="B12" s="14" t="s">
        <v>152</v>
      </c>
      <c r="C12" s="14">
        <f>ROUND(C8/C11, 2)</f>
        <v>0.7</v>
      </c>
      <c r="D12" s="14">
        <f t="shared" ref="D12:G12" si="2">ROUND(D8/D11, 2)</f>
        <v>0.91</v>
      </c>
      <c r="E12" s="14">
        <f t="shared" si="2"/>
        <v>-0.39</v>
      </c>
      <c r="F12" s="14">
        <f t="shared" si="2"/>
        <v>0.24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D4D2E01F-F755-4B95-A31B-8EB05140724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239E1-E0D0-4ADF-A13C-F553B86C5B16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4" width="15.140625" bestFit="1" customWidth="1"/>
    <col min="5" max="6" width="13.570312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9462</v>
      </c>
      <c r="D6" s="13">
        <f>Income_Statement!D51</f>
        <v>8411</v>
      </c>
      <c r="E6" s="13">
        <f>Income_Statement!E51</f>
        <v>1696</v>
      </c>
      <c r="F6" s="13">
        <f>Income_Statement!F51</f>
        <v>3519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</row>
    <row r="8" spans="2:15" ht="18.75" x14ac:dyDescent="0.25">
      <c r="B8" s="12" t="s">
        <v>154</v>
      </c>
      <c r="C8" s="13">
        <f>ROUND(C6/C7, 2)</f>
        <v>19.7</v>
      </c>
      <c r="D8" s="13">
        <f t="shared" ref="D8:G8" si="0">ROUND(D6/D7, 2)</f>
        <v>17.350000000000001</v>
      </c>
      <c r="E8" s="13">
        <f t="shared" si="0"/>
        <v>6.94</v>
      </c>
      <c r="F8" s="13">
        <f t="shared" si="0"/>
        <v>7.42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-18.7</v>
      </c>
      <c r="D9" s="15">
        <f t="shared" ref="D9:G9" si="1">1-D8</f>
        <v>-16.350000000000001</v>
      </c>
      <c r="E9" s="15">
        <f t="shared" si="1"/>
        <v>-5.94</v>
      </c>
      <c r="F9" s="15">
        <f t="shared" si="1"/>
        <v>-6.42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9815CC1D-E716-4C38-950F-36FC2C7E7C54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26BDA-D44E-4875-88B7-145774544CA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31582</v>
      </c>
      <c r="D7" s="13">
        <f>Income_Statement!D17</f>
        <v>25490</v>
      </c>
      <c r="E7" s="13">
        <f>Income_Statement!E17</f>
        <v>21261</v>
      </c>
      <c r="F7" s="13">
        <f>Income_Statement!F17</f>
        <v>22849</v>
      </c>
      <c r="G7" s="13">
        <f>Income_Statement!G17</f>
        <v>37172</v>
      </c>
    </row>
    <row r="8" spans="2:15" ht="18.75" x14ac:dyDescent="0.25">
      <c r="B8" s="14" t="s">
        <v>157</v>
      </c>
      <c r="C8" s="16">
        <f>ROUND(C6- C7, 2)</f>
        <v>60429</v>
      </c>
      <c r="D8" s="16">
        <f t="shared" ref="D8:G8" si="0">ROUND(D6- D7, 2)</f>
        <v>65411</v>
      </c>
      <c r="E8" s="16">
        <f t="shared" si="0"/>
        <v>62284</v>
      </c>
      <c r="F8" s="16">
        <f t="shared" si="0"/>
        <v>64014</v>
      </c>
      <c r="G8" s="16">
        <f t="shared" si="0"/>
        <v>94020</v>
      </c>
    </row>
  </sheetData>
  <mergeCells count="1">
    <mergeCell ref="B5:G5"/>
  </mergeCells>
  <hyperlinks>
    <hyperlink ref="F1" location="Index_Data!A1" tooltip="Hi click here To return Index page" display="Index_Data!A1" xr:uid="{B4B6AEE5-D0FA-4EE9-965E-4B74F2ABC28A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DF447-6924-4FEE-BA52-408BE527FFC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Income_Statement!B25</f>
        <v>Total Expenditure</v>
      </c>
      <c r="C7" s="13">
        <f>Income_Statement!C25</f>
        <v>66032</v>
      </c>
      <c r="D7" s="13">
        <f>Income_Statement!D25</f>
        <v>68285</v>
      </c>
      <c r="E7" s="13">
        <f>Income_Statement!E25</f>
        <v>62518</v>
      </c>
      <c r="F7" s="13">
        <f>Income_Statement!F25</f>
        <v>59870</v>
      </c>
      <c r="G7" s="13">
        <f>Income_Statement!G25</f>
        <v>89824</v>
      </c>
    </row>
    <row r="8" spans="2:15" ht="18.75" x14ac:dyDescent="0.25">
      <c r="B8" s="14" t="s">
        <v>159</v>
      </c>
      <c r="C8" s="16">
        <f>ROUND(C6- C7, 2)</f>
        <v>25979</v>
      </c>
      <c r="D8" s="16">
        <f t="shared" ref="D8:G8" si="0">ROUND(D6- D7, 2)</f>
        <v>22616</v>
      </c>
      <c r="E8" s="16">
        <f t="shared" si="0"/>
        <v>21027</v>
      </c>
      <c r="F8" s="16">
        <f t="shared" si="0"/>
        <v>26993</v>
      </c>
      <c r="G8" s="16">
        <f t="shared" si="0"/>
        <v>41368</v>
      </c>
    </row>
  </sheetData>
  <mergeCells count="1">
    <mergeCell ref="B5:G5"/>
  </mergeCells>
  <hyperlinks>
    <hyperlink ref="F1" location="Index_Data!A1" tooltip="Hi click here To return Index page" display="Index_Data!A1" xr:uid="{069CF776-2C55-412E-9725-080042D1E381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83111-4455-4297-BCA9-1484F1F1E47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13451.0273554249</v>
      </c>
      <c r="D6" s="13">
        <f>Income_Statement!D49</f>
        <v>9212.044201933968</v>
      </c>
      <c r="E6" s="13">
        <f>Income_Statement!E49</f>
        <v>-4401.9699563109752</v>
      </c>
      <c r="F6" s="13">
        <f>Income_Statement!F49</f>
        <v>14709.039383857336</v>
      </c>
      <c r="G6" s="13">
        <f>Income_Statement!G49</f>
        <v>20254.019818281609</v>
      </c>
    </row>
    <row r="7" spans="2:15" ht="18.75" x14ac:dyDescent="0.25">
      <c r="B7" s="12" t="str">
        <f>Balance_Sheet!B74</f>
        <v>Total Assets</v>
      </c>
      <c r="C7" s="13">
        <f>Balance_Sheet!C74</f>
        <v>184798</v>
      </c>
      <c r="D7" s="13">
        <f>Balance_Sheet!D74</f>
        <v>204053.04420193395</v>
      </c>
      <c r="E7" s="13">
        <f>Balance_Sheet!E74</f>
        <v>187196.07424562299</v>
      </c>
      <c r="F7" s="13">
        <f>Balance_Sheet!F74</f>
        <v>192818.11362948033</v>
      </c>
      <c r="G7" s="13">
        <f>Balance_Sheet!G74</f>
        <v>222872.13344776194</v>
      </c>
    </row>
    <row r="8" spans="2:15" ht="18.75" x14ac:dyDescent="0.25">
      <c r="B8" s="14" t="s">
        <v>161</v>
      </c>
      <c r="C8" s="15">
        <f>ROUND(C6/ C7, 2)</f>
        <v>7.0000000000000007E-2</v>
      </c>
      <c r="D8" s="15">
        <f t="shared" ref="D8:G8" si="0">ROUND(D6/ D7, 2)</f>
        <v>0.05</v>
      </c>
      <c r="E8" s="15">
        <f t="shared" si="0"/>
        <v>-0.02</v>
      </c>
      <c r="F8" s="15">
        <f t="shared" si="0"/>
        <v>0.08</v>
      </c>
      <c r="G8" s="15">
        <f t="shared" si="0"/>
        <v>0.09</v>
      </c>
    </row>
  </sheetData>
  <mergeCells count="1">
    <mergeCell ref="B5:G5"/>
  </mergeCells>
  <hyperlinks>
    <hyperlink ref="F1" location="Index_Data!A1" tooltip="Hi click here To return Index page" display="Index_Data!A1" xr:uid="{6A94693D-9E51-4463-A79B-DFBD0F4FC400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FB04F-1558-4993-A032-58338479A654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22214.0273554249</v>
      </c>
      <c r="D6" s="13">
        <f>Income_Statement!D33</f>
        <v>18443.044201933968</v>
      </c>
      <c r="E6" s="13">
        <f>Income_Statement!E33</f>
        <v>14445.030043689025</v>
      </c>
      <c r="F6" s="13">
        <f>Income_Statement!F33</f>
        <v>22777.039383857336</v>
      </c>
      <c r="G6" s="13">
        <f>Income_Statement!G33</f>
        <v>35074.019818281609</v>
      </c>
    </row>
    <row r="7" spans="2:15" ht="18.75" x14ac:dyDescent="0.25">
      <c r="B7" s="12" t="str">
        <f>Balance_Sheet!B21</f>
        <v>Total Debt</v>
      </c>
      <c r="C7" s="13">
        <f>Balance_Sheet!C21</f>
        <v>52818</v>
      </c>
      <c r="D7" s="13">
        <f>Balance_Sheet!D21</f>
        <v>62185</v>
      </c>
      <c r="E7" s="13">
        <f>Balance_Sheet!E21</f>
        <v>61628</v>
      </c>
      <c r="F7" s="13">
        <f>Balance_Sheet!F21</f>
        <v>51873</v>
      </c>
      <c r="G7" s="13">
        <f>Balance_Sheet!G21</f>
        <v>57544</v>
      </c>
    </row>
    <row r="8" spans="2:15" ht="18.75" x14ac:dyDescent="0.25">
      <c r="B8" s="12" t="str">
        <f>Balance_Sheet!B13</f>
        <v>Net Worth</v>
      </c>
      <c r="C8" s="13">
        <f>Balance_Sheet!C13</f>
        <v>63508</v>
      </c>
      <c r="D8" s="13">
        <f>Balance_Sheet!D13</f>
        <v>64309.044201933968</v>
      </c>
      <c r="E8" s="13">
        <f>Balance_Sheet!E13</f>
        <v>58211.074245622993</v>
      </c>
      <c r="F8" s="13">
        <f>Balance_Sheet!F13</f>
        <v>69401.113629480329</v>
      </c>
      <c r="G8" s="13">
        <f>Balance_Sheet!G13</f>
        <v>89655.133447761938</v>
      </c>
    </row>
    <row r="9" spans="2:15" ht="18.75" x14ac:dyDescent="0.25">
      <c r="B9" s="14" t="s">
        <v>163</v>
      </c>
      <c r="C9" s="15">
        <f>ROUND(C6/ (C7+ C7), 2)</f>
        <v>0.21</v>
      </c>
      <c r="D9" s="15">
        <f t="shared" ref="D9:G9" si="0">ROUND(D6/ (D7+ D7), 2)</f>
        <v>0.15</v>
      </c>
      <c r="E9" s="15">
        <f t="shared" si="0"/>
        <v>0.12</v>
      </c>
      <c r="F9" s="15">
        <f t="shared" si="0"/>
        <v>0.22</v>
      </c>
      <c r="G9" s="15">
        <f t="shared" si="0"/>
        <v>0.3</v>
      </c>
    </row>
  </sheetData>
  <mergeCells count="1">
    <mergeCell ref="B5:G5"/>
  </mergeCells>
  <hyperlinks>
    <hyperlink ref="F1" location="Index_Data!A1" tooltip="Hi click here To return Index page" display="Index_Data!A1" xr:uid="{70237390-7B51-4121-B75C-83BEA75CA67E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ACDA3-BE71-424B-9D79-FBD75ECFD0A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13451.0273554249</v>
      </c>
      <c r="D6" s="13">
        <f>Income_Statement!D49</f>
        <v>9212.044201933968</v>
      </c>
      <c r="E6" s="13">
        <f>Income_Statement!E49</f>
        <v>-4401.9699563109752</v>
      </c>
      <c r="F6" s="13">
        <f>Income_Statement!F49</f>
        <v>14709.039383857336</v>
      </c>
      <c r="G6" s="13">
        <f>Income_Statement!G49</f>
        <v>20254.019818281609</v>
      </c>
    </row>
    <row r="7" spans="2:15" ht="18.75" x14ac:dyDescent="0.25">
      <c r="B7" s="12" t="str">
        <f>Balance_Sheet!B13</f>
        <v>Net Worth</v>
      </c>
      <c r="C7" s="13">
        <f>Balance_Sheet!C13</f>
        <v>63508</v>
      </c>
      <c r="D7" s="13">
        <f>Balance_Sheet!D13</f>
        <v>64309.044201933968</v>
      </c>
      <c r="E7" s="13">
        <f>Balance_Sheet!E13</f>
        <v>58211.074245622993</v>
      </c>
      <c r="F7" s="13">
        <f>Balance_Sheet!F13</f>
        <v>69401.113629480329</v>
      </c>
      <c r="G7" s="13">
        <f>Balance_Sheet!G13</f>
        <v>89655.133447761938</v>
      </c>
    </row>
    <row r="8" spans="2:15" ht="18.75" x14ac:dyDescent="0.25">
      <c r="B8" s="14" t="s">
        <v>165</v>
      </c>
      <c r="C8" s="15">
        <f>ROUND(C6/ (C7+ C7), 2)</f>
        <v>0.11</v>
      </c>
      <c r="D8" s="15">
        <f t="shared" ref="D8:G8" si="0">ROUND(D6/ (D7+ D7), 2)</f>
        <v>7.0000000000000007E-2</v>
      </c>
      <c r="E8" s="15">
        <f t="shared" si="0"/>
        <v>-0.04</v>
      </c>
      <c r="F8" s="15">
        <f t="shared" si="0"/>
        <v>0.11</v>
      </c>
      <c r="G8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D8F613B6-3A13-4DF0-BB66-EC6C024B1614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82E6-1F26-4075-B2B2-26ACD190D50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52818</v>
      </c>
      <c r="D6" s="13">
        <f>Balance_Sheet!D21</f>
        <v>62185</v>
      </c>
      <c r="E6" s="13">
        <f>Balance_Sheet!E21</f>
        <v>61628</v>
      </c>
      <c r="F6" s="13">
        <f>Balance_Sheet!F21</f>
        <v>51873</v>
      </c>
      <c r="G6" s="13">
        <f>Balance_Sheet!G21</f>
        <v>57544</v>
      </c>
    </row>
    <row r="7" spans="2:15" ht="18.75" x14ac:dyDescent="0.25">
      <c r="B7" s="12" t="str">
        <f>Balance_Sheet!B13</f>
        <v>Net Worth</v>
      </c>
      <c r="C7" s="13">
        <f>Balance_Sheet!C13</f>
        <v>63508</v>
      </c>
      <c r="D7" s="13">
        <f>Balance_Sheet!D13</f>
        <v>64309.044201933968</v>
      </c>
      <c r="E7" s="13">
        <f>Balance_Sheet!E13</f>
        <v>58211.074245622993</v>
      </c>
      <c r="F7" s="13">
        <f>Balance_Sheet!F13</f>
        <v>69401.113629480329</v>
      </c>
      <c r="G7" s="13">
        <f>Balance_Sheet!G13</f>
        <v>89655.133447761938</v>
      </c>
    </row>
    <row r="8" spans="2:15" ht="18.75" x14ac:dyDescent="0.25">
      <c r="B8" s="14" t="s">
        <v>167</v>
      </c>
      <c r="C8" s="14">
        <f>ROUND(C6/ C7, 2)</f>
        <v>0.83</v>
      </c>
      <c r="D8" s="14">
        <f t="shared" ref="D8:G8" si="0">ROUND(D6/ D7, 2)</f>
        <v>0.97</v>
      </c>
      <c r="E8" s="14">
        <f t="shared" si="0"/>
        <v>1.06</v>
      </c>
      <c r="F8" s="14">
        <f t="shared" si="0"/>
        <v>0.75</v>
      </c>
      <c r="G8" s="14">
        <f t="shared" si="0"/>
        <v>0.64</v>
      </c>
    </row>
  </sheetData>
  <mergeCells count="1">
    <mergeCell ref="B5:G5"/>
  </mergeCells>
  <hyperlinks>
    <hyperlink ref="F1" location="Index_Data!A1" tooltip="Hi click here To return Index page" display="Index_Data!A1" xr:uid="{79C38AD2-51C5-4F0E-844A-EC510E7CA786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31A77-DE22-4076-98CA-1DCA4882453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43764</v>
      </c>
      <c r="D6" s="13">
        <f>Balance_Sheet!D72</f>
        <v>60547.044201933968</v>
      </c>
      <c r="E6" s="13">
        <f>Balance_Sheet!E72</f>
        <v>73987.074245622993</v>
      </c>
      <c r="F6" s="13">
        <f>Balance_Sheet!F72</f>
        <v>96731.113629480329</v>
      </c>
      <c r="G6" s="13">
        <f>Balance_Sheet!G72</f>
        <v>130054.13344776194</v>
      </c>
    </row>
    <row r="7" spans="2:15" ht="18.75" x14ac:dyDescent="0.25">
      <c r="B7" s="12" t="str">
        <f>Balance_Sheet!B33</f>
        <v>Total Current Liabilities</v>
      </c>
      <c r="C7" s="13">
        <f>Balance_Sheet!C33</f>
        <v>52515</v>
      </c>
      <c r="D7" s="13">
        <f>Balance_Sheet!D33</f>
        <v>62332</v>
      </c>
      <c r="E7" s="13">
        <f>Balance_Sheet!E33</f>
        <v>50245</v>
      </c>
      <c r="F7" s="13">
        <f>Balance_Sheet!F33</f>
        <v>56406</v>
      </c>
      <c r="G7" s="13">
        <f>Balance_Sheet!G33</f>
        <v>58352</v>
      </c>
    </row>
    <row r="8" spans="2:15" ht="18.75" x14ac:dyDescent="0.25">
      <c r="B8" s="14" t="s">
        <v>169</v>
      </c>
      <c r="C8" s="14">
        <f>ROUND(C6/ C7, 2)</f>
        <v>0.83</v>
      </c>
      <c r="D8" s="14">
        <f t="shared" ref="D8:G8" si="0">ROUND(D6/ D7, 2)</f>
        <v>0.97</v>
      </c>
      <c r="E8" s="14">
        <f t="shared" si="0"/>
        <v>1.47</v>
      </c>
      <c r="F8" s="14">
        <f t="shared" si="0"/>
        <v>1.71</v>
      </c>
      <c r="G8" s="14">
        <f t="shared" si="0"/>
        <v>2.23</v>
      </c>
    </row>
  </sheetData>
  <mergeCells count="1">
    <mergeCell ref="B5:G5"/>
  </mergeCells>
  <hyperlinks>
    <hyperlink ref="F1" location="Index_Data!A1" tooltip="Hi click here To return Index page" display="Index_Data!A1" xr:uid="{60F51DC8-F888-4D72-9EC1-0FC7E28432FC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D11DC-C3A8-4871-A6B3-B056B85B2539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92011</v>
      </c>
      <c r="D5" s="2">
        <v>90901</v>
      </c>
      <c r="E5" s="2">
        <v>83545</v>
      </c>
      <c r="F5" s="2">
        <v>86863</v>
      </c>
      <c r="G5" s="2">
        <v>131192</v>
      </c>
      <c r="H5" t="s">
        <v>1</v>
      </c>
    </row>
    <row r="6" spans="1:15" x14ac:dyDescent="0.25">
      <c r="A6" t="s">
        <v>98</v>
      </c>
      <c r="B6" t="s">
        <v>98</v>
      </c>
      <c r="C6">
        <v>1057</v>
      </c>
      <c r="D6">
        <v>0</v>
      </c>
      <c r="E6">
        <v>0</v>
      </c>
      <c r="F6">
        <v>0</v>
      </c>
      <c r="G6" s="2">
        <v>0</v>
      </c>
      <c r="H6" t="s">
        <v>1</v>
      </c>
    </row>
    <row r="7" spans="1:15" x14ac:dyDescent="0.25">
      <c r="B7" t="s">
        <v>57</v>
      </c>
      <c r="C7" s="2">
        <v>90954</v>
      </c>
      <c r="D7" s="2">
        <v>90901</v>
      </c>
      <c r="E7" s="2">
        <v>83545</v>
      </c>
      <c r="F7" s="2">
        <v>86863</v>
      </c>
      <c r="G7" s="2">
        <v>131192</v>
      </c>
      <c r="H7" t="s">
        <v>1</v>
      </c>
    </row>
    <row r="8" spans="1:15" x14ac:dyDescent="0.25">
      <c r="B8" t="s">
        <v>58</v>
      </c>
      <c r="C8" s="2">
        <v>91866</v>
      </c>
      <c r="D8" s="2">
        <v>92048</v>
      </c>
      <c r="E8" s="2">
        <v>84447</v>
      </c>
      <c r="F8" s="2">
        <v>88021</v>
      </c>
      <c r="G8" s="2">
        <v>132732</v>
      </c>
      <c r="H8" t="s">
        <v>1</v>
      </c>
    </row>
    <row r="9" spans="1:15" x14ac:dyDescent="0.25">
      <c r="A9" t="s">
        <v>59</v>
      </c>
      <c r="B9" t="s">
        <v>59</v>
      </c>
      <c r="C9" s="2">
        <v>3574</v>
      </c>
      <c r="D9" s="2">
        <v>4018</v>
      </c>
      <c r="E9" s="2">
        <v>2510</v>
      </c>
      <c r="F9" s="2">
        <v>3421</v>
      </c>
      <c r="G9" s="2">
        <v>2600</v>
      </c>
      <c r="H9" t="s">
        <v>1</v>
      </c>
    </row>
    <row r="10" spans="1:15" x14ac:dyDescent="0.25">
      <c r="B10" t="s">
        <v>60</v>
      </c>
      <c r="C10" s="2">
        <v>95440</v>
      </c>
      <c r="D10" s="2">
        <v>96066</v>
      </c>
      <c r="E10" s="2">
        <v>86957</v>
      </c>
      <c r="F10" s="2">
        <v>91442</v>
      </c>
      <c r="G10" s="2">
        <v>135332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31582</v>
      </c>
      <c r="D12" s="2">
        <v>25490</v>
      </c>
      <c r="E12" s="2">
        <v>21261</v>
      </c>
      <c r="F12" s="2">
        <v>22849</v>
      </c>
      <c r="G12" s="2">
        <v>37172</v>
      </c>
      <c r="H12" t="s">
        <v>1</v>
      </c>
    </row>
    <row r="13" spans="1:15" x14ac:dyDescent="0.25">
      <c r="B13" t="s">
        <v>63</v>
      </c>
      <c r="C13">
        <v>220</v>
      </c>
      <c r="D13">
        <v>588</v>
      </c>
      <c r="E13">
        <v>225</v>
      </c>
      <c r="F13">
        <v>41</v>
      </c>
      <c r="G13">
        <v>133</v>
      </c>
      <c r="H13" t="s">
        <v>1</v>
      </c>
    </row>
    <row r="14" spans="1:15" x14ac:dyDescent="0.25">
      <c r="A14" t="s">
        <v>99</v>
      </c>
      <c r="B14" t="s">
        <v>64</v>
      </c>
      <c r="C14">
        <v>14026</v>
      </c>
      <c r="D14" s="2">
        <v>18144</v>
      </c>
      <c r="E14" s="2">
        <v>16606</v>
      </c>
      <c r="F14" s="2">
        <v>13674</v>
      </c>
      <c r="G14" s="2">
        <v>0</v>
      </c>
      <c r="H14" t="s">
        <v>1</v>
      </c>
    </row>
    <row r="15" spans="1:15" x14ac:dyDescent="0.25">
      <c r="B15" t="s">
        <v>65</v>
      </c>
      <c r="C15" s="2">
        <v>450</v>
      </c>
      <c r="D15">
        <v>72</v>
      </c>
      <c r="E15" s="2">
        <v>1017</v>
      </c>
      <c r="F15">
        <v>792</v>
      </c>
      <c r="G15">
        <v>-2049</v>
      </c>
      <c r="H15" t="s">
        <v>1</v>
      </c>
    </row>
    <row r="16" spans="1:15" x14ac:dyDescent="0.25">
      <c r="A16" t="s">
        <v>99</v>
      </c>
      <c r="B16" t="s">
        <v>66</v>
      </c>
      <c r="C16" s="2">
        <v>2496</v>
      </c>
      <c r="D16" s="2">
        <v>3023</v>
      </c>
      <c r="E16" s="2">
        <v>2672</v>
      </c>
      <c r="F16" s="2">
        <v>2861</v>
      </c>
      <c r="G16" s="2">
        <v>2811</v>
      </c>
      <c r="H16" t="s">
        <v>1</v>
      </c>
    </row>
    <row r="17" spans="1:8" x14ac:dyDescent="0.25">
      <c r="A17" t="s">
        <v>100</v>
      </c>
      <c r="B17" t="s">
        <v>67</v>
      </c>
      <c r="C17" s="2">
        <v>5783</v>
      </c>
      <c r="D17" s="2">
        <v>5689</v>
      </c>
      <c r="E17" s="2">
        <v>4977</v>
      </c>
      <c r="F17" s="2">
        <v>5210</v>
      </c>
      <c r="G17" s="2">
        <v>4797</v>
      </c>
      <c r="H17" t="s">
        <v>1</v>
      </c>
    </row>
    <row r="18" spans="1:8" x14ac:dyDescent="0.25">
      <c r="A18" t="s">
        <v>101</v>
      </c>
      <c r="B18" t="s">
        <v>68</v>
      </c>
      <c r="C18" s="2">
        <v>6283</v>
      </c>
      <c r="D18" s="2">
        <v>8192</v>
      </c>
      <c r="E18" s="2">
        <v>9093</v>
      </c>
      <c r="F18" s="2">
        <v>7638</v>
      </c>
      <c r="G18" s="2">
        <v>8895</v>
      </c>
      <c r="H18" t="s">
        <v>1</v>
      </c>
    </row>
    <row r="19" spans="1:8" x14ac:dyDescent="0.25">
      <c r="A19" t="s">
        <v>99</v>
      </c>
      <c r="B19" t="s">
        <v>69</v>
      </c>
      <c r="C19" s="2">
        <v>17928</v>
      </c>
      <c r="D19" s="2">
        <v>21628</v>
      </c>
      <c r="E19" s="2">
        <v>21979</v>
      </c>
      <c r="F19" s="2">
        <v>20486</v>
      </c>
      <c r="G19" s="2">
        <v>49841</v>
      </c>
      <c r="H19" t="s">
        <v>1</v>
      </c>
    </row>
    <row r="20" spans="1:8" x14ac:dyDescent="0.25">
      <c r="B20" t="s">
        <v>70</v>
      </c>
      <c r="C20" s="2">
        <v>78768</v>
      </c>
      <c r="D20" s="2">
        <v>82826</v>
      </c>
      <c r="E20" s="2">
        <v>77830</v>
      </c>
      <c r="F20" s="2">
        <v>73551</v>
      </c>
      <c r="G20" s="2">
        <v>101600</v>
      </c>
      <c r="H20" t="s">
        <v>1</v>
      </c>
    </row>
    <row r="21" spans="1:8" x14ac:dyDescent="0.25">
      <c r="B21" t="s">
        <v>71</v>
      </c>
      <c r="C21" s="2">
        <v>16672</v>
      </c>
      <c r="D21" s="2">
        <v>13240</v>
      </c>
      <c r="E21" s="2">
        <v>9127</v>
      </c>
      <c r="F21" s="2">
        <v>17891</v>
      </c>
      <c r="G21" s="2">
        <v>33732</v>
      </c>
      <c r="H21" t="s">
        <v>1</v>
      </c>
    </row>
    <row r="22" spans="1:8" x14ac:dyDescent="0.25">
      <c r="A22" t="s">
        <v>102</v>
      </c>
      <c r="B22" t="s">
        <v>72</v>
      </c>
      <c r="C22">
        <v>2897</v>
      </c>
      <c r="D22">
        <v>320</v>
      </c>
      <c r="E22" s="2">
        <v>-17386</v>
      </c>
      <c r="F22">
        <v>-678</v>
      </c>
      <c r="G22" s="2">
        <v>-768</v>
      </c>
      <c r="H22" t="s">
        <v>1</v>
      </c>
    </row>
    <row r="23" spans="1:8" x14ac:dyDescent="0.25">
      <c r="B23" t="s">
        <v>73</v>
      </c>
      <c r="C23" s="2">
        <v>19569</v>
      </c>
      <c r="D23" s="2">
        <v>13560</v>
      </c>
      <c r="E23" s="2">
        <v>-8259</v>
      </c>
      <c r="F23" s="2">
        <v>17213</v>
      </c>
      <c r="G23" s="2">
        <v>32964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2867</v>
      </c>
      <c r="D25" s="2">
        <v>2677</v>
      </c>
      <c r="E25" s="2">
        <v>1788</v>
      </c>
      <c r="F25" s="2">
        <v>2066</v>
      </c>
      <c r="G25" s="2">
        <v>9255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3010</v>
      </c>
      <c r="D27">
        <v>1185</v>
      </c>
      <c r="E27" s="2">
        <v>1217</v>
      </c>
      <c r="F27" s="2">
        <v>268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5877</v>
      </c>
      <c r="D29" s="2">
        <v>3862</v>
      </c>
      <c r="E29" s="2">
        <v>-3516</v>
      </c>
      <c r="F29" s="2">
        <v>2180</v>
      </c>
      <c r="G29" s="2">
        <v>9255</v>
      </c>
      <c r="H29" t="s">
        <v>1</v>
      </c>
    </row>
    <row r="30" spans="1:8" x14ac:dyDescent="0.25">
      <c r="B30" t="s">
        <v>80</v>
      </c>
      <c r="C30" s="2">
        <v>13692</v>
      </c>
      <c r="D30" s="2">
        <v>9698</v>
      </c>
      <c r="E30" s="2">
        <v>-4743</v>
      </c>
      <c r="F30" s="2">
        <v>15033</v>
      </c>
      <c r="G30" s="2">
        <v>23709</v>
      </c>
      <c r="H30" t="s">
        <v>1</v>
      </c>
    </row>
    <row r="31" spans="1:8" x14ac:dyDescent="0.25">
      <c r="B31" t="s">
        <v>81</v>
      </c>
      <c r="C31" s="2">
        <v>13692</v>
      </c>
      <c r="D31" s="2">
        <v>9698</v>
      </c>
      <c r="E31" s="2">
        <v>-4743</v>
      </c>
      <c r="F31" s="2">
        <v>15033</v>
      </c>
      <c r="G31" s="2">
        <v>23709</v>
      </c>
      <c r="H31" t="s">
        <v>1</v>
      </c>
    </row>
    <row r="32" spans="1:8" x14ac:dyDescent="0.25">
      <c r="B32" t="s">
        <v>82</v>
      </c>
      <c r="C32" s="2">
        <v>13692</v>
      </c>
      <c r="D32" s="2">
        <v>9698</v>
      </c>
      <c r="E32" s="2">
        <v>-4743</v>
      </c>
      <c r="F32" s="2">
        <v>15033</v>
      </c>
      <c r="G32" s="2">
        <v>23709</v>
      </c>
      <c r="H32" t="s">
        <v>1</v>
      </c>
    </row>
    <row r="33" spans="1:8" x14ac:dyDescent="0.25">
      <c r="B33" t="s">
        <v>10</v>
      </c>
      <c r="C33" s="2">
        <v>-3350</v>
      </c>
      <c r="D33" s="2">
        <v>-2633</v>
      </c>
      <c r="E33" s="2">
        <v>-1920</v>
      </c>
      <c r="F33" s="2">
        <v>-3430</v>
      </c>
      <c r="G33" s="2">
        <v>-4908</v>
      </c>
      <c r="H33" t="s">
        <v>1</v>
      </c>
    </row>
    <row r="34" spans="1:8" x14ac:dyDescent="0.25">
      <c r="B34" t="s">
        <v>83</v>
      </c>
      <c r="C34" s="2">
        <v>10342</v>
      </c>
      <c r="D34" s="2">
        <v>7065</v>
      </c>
      <c r="E34" s="2">
        <v>-6664</v>
      </c>
      <c r="F34" s="2">
        <v>11602</v>
      </c>
      <c r="G34" s="2">
        <v>18802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28</v>
      </c>
      <c r="D37">
        <v>19</v>
      </c>
      <c r="E37">
        <v>-18</v>
      </c>
      <c r="F37">
        <v>31</v>
      </c>
      <c r="G37">
        <v>51</v>
      </c>
      <c r="H37" t="s">
        <v>1</v>
      </c>
    </row>
    <row r="38" spans="1:8" x14ac:dyDescent="0.25">
      <c r="B38" t="s">
        <v>86</v>
      </c>
      <c r="C38">
        <v>28</v>
      </c>
      <c r="D38">
        <v>19</v>
      </c>
      <c r="E38">
        <v>-18</v>
      </c>
      <c r="F38">
        <v>31</v>
      </c>
      <c r="G38">
        <v>50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9462</v>
      </c>
      <c r="D40" s="2">
        <v>8411</v>
      </c>
      <c r="E40" s="2">
        <v>1696</v>
      </c>
      <c r="F40" s="2">
        <v>3519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232BC326-B99D-4371-B452-6DCE4FD578CD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F2198-D483-494A-8CB0-84C01B71FBFB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43764</v>
      </c>
      <c r="D6" s="13">
        <f>Balance_Sheet!D72</f>
        <v>60547.044201933968</v>
      </c>
      <c r="E6" s="13">
        <f>Balance_Sheet!E72</f>
        <v>73987.074245622993</v>
      </c>
      <c r="F6" s="13">
        <f>Balance_Sheet!F72</f>
        <v>96731.113629480329</v>
      </c>
      <c r="G6" s="13">
        <f>Balance_Sheet!G72</f>
        <v>130054.13344776194</v>
      </c>
    </row>
    <row r="7" spans="2:15" ht="18.75" x14ac:dyDescent="0.25">
      <c r="B7" s="12" t="str">
        <f>Balance_Sheet!B66</f>
        <v>Inventories</v>
      </c>
      <c r="C7" s="13">
        <f>Balance_Sheet!C66</f>
        <v>11967</v>
      </c>
      <c r="D7" s="13">
        <f>Balance_Sheet!D66</f>
        <v>13198</v>
      </c>
      <c r="E7" s="13">
        <f>Balance_Sheet!E66</f>
        <v>11335</v>
      </c>
      <c r="F7" s="13">
        <f>Balance_Sheet!F66</f>
        <v>9923</v>
      </c>
      <c r="G7" s="13">
        <f>Balance_Sheet!G66</f>
        <v>14313</v>
      </c>
    </row>
    <row r="8" spans="2:15" ht="18.75" x14ac:dyDescent="0.25">
      <c r="B8" s="12" t="str">
        <f>Balance_Sheet!B33</f>
        <v>Total Current Liabilities</v>
      </c>
      <c r="C8" s="13">
        <f>Balance_Sheet!C33</f>
        <v>52515</v>
      </c>
      <c r="D8" s="13">
        <f>Balance_Sheet!D33</f>
        <v>62332</v>
      </c>
      <c r="E8" s="13">
        <f>Balance_Sheet!E33</f>
        <v>50245</v>
      </c>
      <c r="F8" s="13">
        <f>Balance_Sheet!F33</f>
        <v>56406</v>
      </c>
      <c r="G8" s="13">
        <f>Balance_Sheet!G33</f>
        <v>58352</v>
      </c>
    </row>
    <row r="9" spans="2:15" ht="18.75" x14ac:dyDescent="0.25">
      <c r="B9" s="14" t="s">
        <v>171</v>
      </c>
      <c r="C9" s="14">
        <f>ROUND((C6-C7)/ C8, 2)</f>
        <v>0.61</v>
      </c>
      <c r="D9" s="14">
        <f t="shared" ref="D9:G9" si="0">ROUND((D6-D7)/ D8, 2)</f>
        <v>0.76</v>
      </c>
      <c r="E9" s="14">
        <f t="shared" si="0"/>
        <v>1.25</v>
      </c>
      <c r="F9" s="14">
        <f t="shared" si="0"/>
        <v>1.54</v>
      </c>
      <c r="G9" s="14">
        <f t="shared" si="0"/>
        <v>1.98</v>
      </c>
    </row>
  </sheetData>
  <mergeCells count="1">
    <mergeCell ref="B5:G5"/>
  </mergeCells>
  <hyperlinks>
    <hyperlink ref="F1" location="Index_Data!A1" tooltip="Hi click here To return Index page" display="Index_Data!A1" xr:uid="{33521C0F-4003-497A-A3AC-738563A19AF5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BFCED-76DB-4F13-A5B9-624B1455632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22214.0273554249</v>
      </c>
      <c r="D6" s="13">
        <f>Income_Statement!D33</f>
        <v>18443.044201933968</v>
      </c>
      <c r="E6" s="13">
        <f>Income_Statement!E33</f>
        <v>14445.030043689025</v>
      </c>
      <c r="F6" s="13">
        <f>Income_Statement!F33</f>
        <v>22777.039383857336</v>
      </c>
      <c r="G6" s="13">
        <f>Income_Statement!G33</f>
        <v>35074.019818281609</v>
      </c>
    </row>
    <row r="7" spans="2:15" ht="18.75" x14ac:dyDescent="0.25">
      <c r="B7" s="12" t="str">
        <f>Income_Statement!B35</f>
        <v>Finance Costs</v>
      </c>
      <c r="C7" s="13">
        <f>Income_Statement!C35</f>
        <v>5783</v>
      </c>
      <c r="D7" s="13">
        <f>Income_Statement!D35</f>
        <v>5689</v>
      </c>
      <c r="E7" s="13">
        <f>Income_Statement!E35</f>
        <v>4977</v>
      </c>
      <c r="F7" s="13">
        <f>Income_Statement!F35</f>
        <v>5210</v>
      </c>
      <c r="G7" s="13">
        <f>Income_Statement!G35</f>
        <v>4797</v>
      </c>
    </row>
    <row r="8" spans="2:15" ht="18.75" x14ac:dyDescent="0.25">
      <c r="B8" s="14" t="s">
        <v>173</v>
      </c>
      <c r="C8" s="14">
        <f>ROUND(C6/C7, 2)</f>
        <v>3.84</v>
      </c>
      <c r="D8" s="14">
        <f t="shared" ref="D8:G8" si="0">ROUND(D6/D7, 2)</f>
        <v>3.24</v>
      </c>
      <c r="E8" s="14">
        <f t="shared" si="0"/>
        <v>2.9</v>
      </c>
      <c r="F8" s="14">
        <f t="shared" si="0"/>
        <v>4.37</v>
      </c>
      <c r="G8" s="14">
        <f t="shared" si="0"/>
        <v>7.31</v>
      </c>
    </row>
  </sheetData>
  <mergeCells count="1">
    <mergeCell ref="B5:G5"/>
  </mergeCells>
  <hyperlinks>
    <hyperlink ref="F1" location="Index_Data!A1" tooltip="Hi click here To return Index page" display="Index_Data!A1" xr:uid="{36491475-6FE9-4B30-950F-E39330DC2599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79561-53CB-410F-95D4-F47A9DA1F1B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31582</v>
      </c>
      <c r="D6" s="13">
        <f>Income_Statement!D17</f>
        <v>25490</v>
      </c>
      <c r="E6" s="13">
        <f>Income_Statement!E17</f>
        <v>21261</v>
      </c>
      <c r="F6" s="13">
        <f>Income_Statement!F17</f>
        <v>22849</v>
      </c>
      <c r="G6" s="13">
        <f>Income_Statement!G17</f>
        <v>37172</v>
      </c>
    </row>
    <row r="7" spans="2:15" ht="18.75" x14ac:dyDescent="0.25">
      <c r="B7" s="12" t="str">
        <f>Income_Statement!B9</f>
        <v>Net Sales</v>
      </c>
      <c r="C7" s="13">
        <f>Income_Statement!C9</f>
        <v>90954</v>
      </c>
      <c r="D7" s="13">
        <f>Income_Statement!D9</f>
        <v>90901</v>
      </c>
      <c r="E7" s="13">
        <f>Income_Statement!E9</f>
        <v>83545</v>
      </c>
      <c r="F7" s="13">
        <f>Income_Statement!F9</f>
        <v>86863</v>
      </c>
      <c r="G7" s="13">
        <f>Income_Statement!G9</f>
        <v>131192</v>
      </c>
    </row>
    <row r="8" spans="2:15" ht="18.75" x14ac:dyDescent="0.25">
      <c r="B8" s="14" t="s">
        <v>175</v>
      </c>
      <c r="C8" s="14">
        <f>ROUND(C6/C7, 2)</f>
        <v>0.35</v>
      </c>
      <c r="D8" s="14">
        <f t="shared" ref="D8:G8" si="0">ROUND(D6/D7, 2)</f>
        <v>0.28000000000000003</v>
      </c>
      <c r="E8" s="14">
        <f t="shared" si="0"/>
        <v>0.25</v>
      </c>
      <c r="F8" s="14">
        <f t="shared" si="0"/>
        <v>0.26</v>
      </c>
      <c r="G8" s="14">
        <f t="shared" si="0"/>
        <v>0.28000000000000003</v>
      </c>
    </row>
  </sheetData>
  <mergeCells count="1">
    <mergeCell ref="B5:G5"/>
  </mergeCells>
  <hyperlinks>
    <hyperlink ref="F1" location="Index_Data!A1" tooltip="Hi click here To return Index page" display="Index_Data!A1" xr:uid="{907050B7-79CF-44C0-9D45-294563B206F9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913B7-8934-4710-8767-3E686216848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5216</v>
      </c>
      <c r="D6" s="13">
        <f>Balance_Sheet!D70</f>
        <v>21294.044201933968</v>
      </c>
      <c r="E6" s="13">
        <f>Balance_Sheet!E70</f>
        <v>35109.074245622993</v>
      </c>
      <c r="F6" s="13">
        <f>Balance_Sheet!F70</f>
        <v>51107.113629480329</v>
      </c>
      <c r="G6" s="13">
        <f>Balance_Sheet!G70</f>
        <v>73682.133447761938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31582</v>
      </c>
      <c r="D7" s="13">
        <f>Income_Statement!D17</f>
        <v>25490</v>
      </c>
      <c r="E7" s="13">
        <f>Income_Statement!E17</f>
        <v>21261</v>
      </c>
      <c r="F7" s="13">
        <f>Income_Statement!F17</f>
        <v>22849</v>
      </c>
      <c r="G7" s="13">
        <f>Income_Statement!G17</f>
        <v>37172</v>
      </c>
    </row>
    <row r="8" spans="2:15" ht="18.75" x14ac:dyDescent="0.25">
      <c r="B8" s="14" t="s">
        <v>177</v>
      </c>
      <c r="C8" s="14">
        <f>ROUND(C6/C7*365, 2)</f>
        <v>60.28</v>
      </c>
      <c r="D8" s="14">
        <f t="shared" ref="D8:G8" si="0">ROUND(D6/D7*365, 2)</f>
        <v>304.92</v>
      </c>
      <c r="E8" s="14">
        <f t="shared" si="0"/>
        <v>602.74</v>
      </c>
      <c r="F8" s="14">
        <f t="shared" si="0"/>
        <v>816.41</v>
      </c>
      <c r="G8" s="14">
        <f t="shared" si="0"/>
        <v>723.5</v>
      </c>
    </row>
  </sheetData>
  <mergeCells count="1">
    <mergeCell ref="B5:G5"/>
  </mergeCells>
  <hyperlinks>
    <hyperlink ref="F1" location="Index_Data!A1" tooltip="Hi click here To return Index page" display="Index_Data!A1" xr:uid="{022DC957-193E-40D8-82C5-374D31B2BC4D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78E3-5CE5-4787-81C8-524F1BA93E5E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5216</v>
      </c>
      <c r="D6" s="13">
        <f>Balance_Sheet!D70</f>
        <v>21294.044201933968</v>
      </c>
      <c r="E6" s="13">
        <f>Balance_Sheet!E70</f>
        <v>35109.074245622993</v>
      </c>
      <c r="F6" s="13">
        <f>Balance_Sheet!F70</f>
        <v>51107.113629480329</v>
      </c>
      <c r="G6" s="13">
        <f>Balance_Sheet!G70</f>
        <v>73682.133447761938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5216</v>
      </c>
      <c r="D8" s="14">
        <f t="shared" ref="D8:G8" si="0">ROUND(D6/D7*365, 2)</f>
        <v>21294.04</v>
      </c>
      <c r="E8" s="14">
        <f t="shared" si="0"/>
        <v>35109.07</v>
      </c>
      <c r="F8" s="14">
        <f t="shared" si="0"/>
        <v>51107.11</v>
      </c>
      <c r="G8" s="14">
        <f t="shared" si="0"/>
        <v>73682.13</v>
      </c>
    </row>
  </sheetData>
  <mergeCells count="1">
    <mergeCell ref="B5:G5"/>
  </mergeCells>
  <hyperlinks>
    <hyperlink ref="F1" location="Index_Data!A1" tooltip="Hi click here To return Index page" display="Index_Data!A1" xr:uid="{505075AF-AEE9-4954-987D-535A4B7DA783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4722-531E-4C91-9B37-BA1F0A86032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Balance_Sheet!B74</f>
        <v>Total Assets</v>
      </c>
      <c r="C7" s="13">
        <f>Balance_Sheet!C74</f>
        <v>184798</v>
      </c>
      <c r="D7" s="13">
        <f>Balance_Sheet!D74</f>
        <v>204053.04420193395</v>
      </c>
      <c r="E7" s="13">
        <f>Balance_Sheet!E74</f>
        <v>187196.07424562299</v>
      </c>
      <c r="F7" s="13">
        <f>Balance_Sheet!F74</f>
        <v>192818.11362948033</v>
      </c>
      <c r="G7" s="13">
        <f>Balance_Sheet!G74</f>
        <v>222872.13344776194</v>
      </c>
    </row>
    <row r="8" spans="2:15" ht="18.75" x14ac:dyDescent="0.25">
      <c r="B8" s="14" t="s">
        <v>182</v>
      </c>
      <c r="C8" s="14">
        <f>ROUND(C6/C7, 2)</f>
        <v>0.5</v>
      </c>
      <c r="D8" s="14">
        <f t="shared" ref="D8:G8" si="0">ROUND(D6/D7, 2)</f>
        <v>0.45</v>
      </c>
      <c r="E8" s="14">
        <f t="shared" si="0"/>
        <v>0.45</v>
      </c>
      <c r="F8" s="14">
        <f t="shared" si="0"/>
        <v>0.45</v>
      </c>
      <c r="G8" s="14">
        <f t="shared" si="0"/>
        <v>0.59</v>
      </c>
    </row>
  </sheetData>
  <mergeCells count="1">
    <mergeCell ref="B5:G5"/>
  </mergeCells>
  <hyperlinks>
    <hyperlink ref="F1" location="Index_Data!A1" tooltip="Hi click here To return Index page" display="Index_Data!A1" xr:uid="{05705602-3A36-4ACA-90A9-8AD388C8F374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9400-49E6-4833-B1D8-5BDDB47FB6D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Balance_Sheet!B66</f>
        <v>Inventories</v>
      </c>
      <c r="C7" s="13">
        <f>Balance_Sheet!C66</f>
        <v>11967</v>
      </c>
      <c r="D7" s="13">
        <f>Balance_Sheet!D66</f>
        <v>13198</v>
      </c>
      <c r="E7" s="13">
        <f>Balance_Sheet!E66</f>
        <v>11335</v>
      </c>
      <c r="F7" s="13">
        <f>Balance_Sheet!F66</f>
        <v>9923</v>
      </c>
      <c r="G7" s="13">
        <f>Balance_Sheet!G66</f>
        <v>14313</v>
      </c>
    </row>
    <row r="8" spans="2:15" ht="18.75" x14ac:dyDescent="0.25">
      <c r="B8" s="14" t="s">
        <v>184</v>
      </c>
      <c r="C8" s="14">
        <f>ROUND(C6/C7, 2)</f>
        <v>7.69</v>
      </c>
      <c r="D8" s="14">
        <f t="shared" ref="D8:G8" si="0">ROUND(D6/D7, 2)</f>
        <v>6.89</v>
      </c>
      <c r="E8" s="14">
        <f t="shared" si="0"/>
        <v>7.37</v>
      </c>
      <c r="F8" s="14">
        <f t="shared" si="0"/>
        <v>8.75</v>
      </c>
      <c r="G8" s="14">
        <f t="shared" si="0"/>
        <v>9.17</v>
      </c>
    </row>
  </sheetData>
  <mergeCells count="1">
    <mergeCell ref="B5:G5"/>
  </mergeCells>
  <hyperlinks>
    <hyperlink ref="F1" location="Index_Data!A1" tooltip="Hi click here To return Index page" display="Index_Data!A1" xr:uid="{0A800ECE-FAF7-46DA-8CAF-A7947FFBD8D1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781A-64AF-4589-BDC9-4C9A89580DE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Balance_Sheet!B68</f>
        <v>Trade Receivables</v>
      </c>
      <c r="C7" s="13">
        <f>Balance_Sheet!C68</f>
        <v>3969</v>
      </c>
      <c r="D7" s="13">
        <f>Balance_Sheet!D68</f>
        <v>3982</v>
      </c>
      <c r="E7" s="13">
        <f>Balance_Sheet!E68</f>
        <v>2697</v>
      </c>
      <c r="F7" s="13">
        <f>Balance_Sheet!F68</f>
        <v>3491</v>
      </c>
      <c r="G7" s="13">
        <f>Balance_Sheet!G68</f>
        <v>4946</v>
      </c>
    </row>
    <row r="8" spans="2:15" ht="18.75" x14ac:dyDescent="0.25">
      <c r="B8" s="14" t="s">
        <v>186</v>
      </c>
      <c r="C8" s="14">
        <f>ROUND(C6/C7, 2)</f>
        <v>23.18</v>
      </c>
      <c r="D8" s="14">
        <f t="shared" ref="D8:G8" si="0">ROUND(D6/D7, 2)</f>
        <v>22.83</v>
      </c>
      <c r="E8" s="14">
        <f t="shared" si="0"/>
        <v>30.98</v>
      </c>
      <c r="F8" s="14">
        <f t="shared" si="0"/>
        <v>24.88</v>
      </c>
      <c r="G8" s="14">
        <f t="shared" si="0"/>
        <v>26.52</v>
      </c>
    </row>
  </sheetData>
  <mergeCells count="1">
    <mergeCell ref="B5:G5"/>
  </mergeCells>
  <hyperlinks>
    <hyperlink ref="F1" location="Index_Data!A1" tooltip="Hi click here To return Index page" display="Index_Data!A1" xr:uid="{1F61126D-26FD-4561-A9F7-703FF1826A8A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03C6-8AE8-4506-97AD-E91D88612FD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Balance_Sheet!B40</f>
        <v>Tangible Assets</v>
      </c>
      <c r="C7" s="13">
        <f>Balance_Sheet!C40</f>
        <v>79330</v>
      </c>
      <c r="D7" s="13">
        <f>Balance_Sheet!D40</f>
        <v>95515</v>
      </c>
      <c r="E7" s="13">
        <f>Balance_Sheet!E40</f>
        <v>88022</v>
      </c>
      <c r="F7" s="13">
        <f>Balance_Sheet!F40</f>
        <v>89429</v>
      </c>
      <c r="G7" s="13">
        <f>Balance_Sheet!G40</f>
        <v>109345</v>
      </c>
    </row>
    <row r="8" spans="2:15" ht="18.75" x14ac:dyDescent="0.25">
      <c r="B8" s="14" t="s">
        <v>188</v>
      </c>
      <c r="C8" s="14">
        <f>ROUND(C6/C7, 2)</f>
        <v>1.1599999999999999</v>
      </c>
      <c r="D8" s="14">
        <f t="shared" ref="D8:G8" si="0">ROUND(D6/D7, 2)</f>
        <v>0.95</v>
      </c>
      <c r="E8" s="14">
        <f t="shared" si="0"/>
        <v>0.95</v>
      </c>
      <c r="F8" s="14">
        <f t="shared" si="0"/>
        <v>0.97</v>
      </c>
      <c r="G8" s="14">
        <f t="shared" si="0"/>
        <v>1.2</v>
      </c>
    </row>
  </sheetData>
  <mergeCells count="1">
    <mergeCell ref="B5:G5"/>
  </mergeCells>
  <hyperlinks>
    <hyperlink ref="F1" location="Index_Data!A1" tooltip="Hi click here To return Index page" display="Index_Data!A1" xr:uid="{E0F10D67-9A4D-4CAE-8223-034E7687CF84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9267-7FB1-48B7-9F1D-6137FDBF8724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31582</v>
      </c>
      <c r="D6" s="13">
        <f>Income_Statement!D17</f>
        <v>25490</v>
      </c>
      <c r="E6" s="13">
        <f>Income_Statement!E17</f>
        <v>21261</v>
      </c>
      <c r="F6" s="13">
        <f>Income_Statement!F17</f>
        <v>22849</v>
      </c>
      <c r="G6" s="13">
        <f>Income_Statement!G17</f>
        <v>37172</v>
      </c>
    </row>
    <row r="7" spans="2:15" ht="18.75" x14ac:dyDescent="0.25">
      <c r="B7" s="12" t="str">
        <f>Balance_Sheet!B33</f>
        <v>Total Current Liabilities</v>
      </c>
      <c r="C7" s="13">
        <f>Balance_Sheet!C33</f>
        <v>52515</v>
      </c>
      <c r="D7" s="13">
        <f>Balance_Sheet!D33</f>
        <v>62332</v>
      </c>
      <c r="E7" s="13">
        <f>Balance_Sheet!E33</f>
        <v>50245</v>
      </c>
      <c r="F7" s="13">
        <f>Balance_Sheet!F33</f>
        <v>56406</v>
      </c>
      <c r="G7" s="13">
        <f>Balance_Sheet!G33</f>
        <v>58352</v>
      </c>
    </row>
    <row r="8" spans="2:15" ht="18.75" x14ac:dyDescent="0.25">
      <c r="B8" s="14" t="s">
        <v>190</v>
      </c>
      <c r="C8" s="14">
        <f>ROUND(C6/C7, 2)</f>
        <v>0.6</v>
      </c>
      <c r="D8" s="14">
        <f t="shared" ref="D8:G8" si="0">ROUND(D6/D7, 2)</f>
        <v>0.41</v>
      </c>
      <c r="E8" s="14">
        <f t="shared" si="0"/>
        <v>0.42</v>
      </c>
      <c r="F8" s="14">
        <f t="shared" si="0"/>
        <v>0.41</v>
      </c>
      <c r="G8" s="14">
        <f t="shared" si="0"/>
        <v>0.64</v>
      </c>
    </row>
  </sheetData>
  <mergeCells count="1">
    <mergeCell ref="B5:G5"/>
  </mergeCells>
  <hyperlinks>
    <hyperlink ref="F1" location="Index_Data!A1" tooltip="Hi click here To return Index page" display="Index_Data!A1" xr:uid="{D399B5BF-147A-40D0-ABED-03A0376C12E5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CAD5-21BE-48DD-AB0E-EF005B4466EA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F2BB2E2D-D784-46B7-9374-53BE64934A2A}"/>
    <hyperlink ref="A2" location="ISMInput!A1" tooltip="Hi click here to view the sheet" display="ISMInput!A1" xr:uid="{C5FEF26A-D8D9-417B-9AC1-2E8029A48926}"/>
    <hyperlink ref="A4" location="Income_Statement!A1" tooltip="Hi click here to view the sheet" display="Income_Statement!A1" xr:uid="{9F1D6A33-33F9-44CD-9F97-05855ED160C5}"/>
    <hyperlink ref="A5" location="Balance_Sheet!A1" tooltip="Hi click here to view the sheet" display="Balance_Sheet!A1" xr:uid="{5BAA460E-77EA-4492-A5CC-44A1AED4A823}"/>
    <hyperlink ref="A6" location="CashFlow_Statement!A1" tooltip="Hi click here to view the sheet" display="CashFlow_Statement!A1" xr:uid="{D67282AD-6DFB-4219-9381-323257BECB25}"/>
    <hyperlink ref="A7" location="Ratios!A1" tooltip="Hi click here to view the sheet" display="Ratios!A1" xr:uid="{62022DF4-5E0F-4252-A39E-4A0C6E6DB2B8}"/>
    <hyperlink ref="A8" location="Earning__Per_Share!A1" tooltip="Hi click here to view the sheet" display="Earning__Per_Share!A1" xr:uid="{729629E1-C434-40D2-BB37-6AD45D4C6FA5}"/>
    <hyperlink ref="A9" location="Equity_Dividend_Per_Share!A1" tooltip="Hi click here to view the sheet" display="Equity_Dividend_Per_Share!A1" xr:uid="{36E59A9D-48CB-4DD2-A927-6B20C1F26A41}"/>
    <hyperlink ref="A10" location="Book_Value__Per_Share!A1" tooltip="Hi click here to view the sheet" display="Book_Value__Per_Share!A1" xr:uid="{E250B77A-27B8-48D9-ABE8-A56185DC7FB0}"/>
    <hyperlink ref="A11" location="Dividend_Pay_Out_Ratio!A1" tooltip="Hi click here to view the sheet" display="Dividend_Pay_Out_Ratio!A1" xr:uid="{636D8168-7DD9-4BA9-B30C-DB8DD7817B04}"/>
    <hyperlink ref="A12" location="Dividend_Retention_Ratio!A1" tooltip="Hi click here to view the sheet" display="Dividend_Retention_Ratio!A1" xr:uid="{C802699C-E6AA-4ADB-BF09-FD41F5B87D02}"/>
    <hyperlink ref="A13" location="Gross_Profit!A1" tooltip="Hi click here to view the sheet" display="Gross_Profit!A1" xr:uid="{9BB8C076-420C-4AF3-99EE-1973AC8C36F3}"/>
    <hyperlink ref="A14" location="Net_Profit!A1" tooltip="Hi click here to view the sheet" display="Net_Profit!A1" xr:uid="{8FCF635B-18A0-4DCA-925A-A32300A55548}"/>
    <hyperlink ref="A15" location="Return_On_Assets!A1" tooltip="Hi click here to view the sheet" display="Return_On_Assets!A1" xr:uid="{2C09DAEF-DE5A-4F69-9180-955C886B5FF6}"/>
    <hyperlink ref="A16" location="Return_On_Capital_Employeed!A1" tooltip="Hi click here to view the sheet" display="Return_On_Capital_Employeed!A1" xr:uid="{5270C9C7-7B8C-4A4A-BFB6-F36DF8B0D06C}"/>
    <hyperlink ref="A17" location="Return_On_Equity!A1" tooltip="Hi click here to view the sheet" display="Return_On_Equity!A1" xr:uid="{27165874-DEFD-4EC5-941E-C7E0A3A5E9EF}"/>
    <hyperlink ref="A18" location="Debt_Equity_Ratio!A1" tooltip="Hi click here to view the sheet" display="Debt_Equity_Ratio!A1" xr:uid="{4E655A39-9835-4F70-BEDA-84DD89735767}"/>
    <hyperlink ref="A19" location="Current_Ratio!A1" tooltip="Hi click here to view the sheet" display="Current_Ratio!A1" xr:uid="{61619B55-E369-490A-AA4F-83D4DBBD92A8}"/>
    <hyperlink ref="A20" location="Quick_Ratio!A1" tooltip="Hi click here to view the sheet" display="Quick_Ratio!A1" xr:uid="{4A631448-F78D-445F-B164-FECE185E93FF}"/>
    <hyperlink ref="A21" location="Interest_Coverage_Ratio!A1" tooltip="Hi click here to view the sheet" display="Interest_Coverage_Ratio!A1" xr:uid="{D45DC75E-CC73-4012-A4BE-4064ED889631}"/>
    <hyperlink ref="A22" location="Material_Consumed!A1" tooltip="Hi click here to view the sheet" display="Material_Consumed!A1" xr:uid="{25CC10D6-F419-4141-86D4-FCBABA3D92D6}"/>
    <hyperlink ref="A23" location="Defensive_Interval_Ratio!A1" tooltip="Hi click here to view the sheet" display="Defensive_Interval_Ratio!A1" xr:uid="{F6658B95-ED22-4B42-88DB-96A3575977DD}"/>
    <hyperlink ref="A24" location="Purchases_Per_Day!A1" tooltip="Hi click here to view the sheet" display="Purchases_Per_Day!A1" xr:uid="{ABC33D0C-E4C2-4FC0-AC86-01583BF396F9}"/>
    <hyperlink ref="A25" location="Asset_TurnOver_Ratio!A1" tooltip="Hi click here to view the sheet" display="Asset_TurnOver_Ratio!A1" xr:uid="{E28E0D53-6F97-4D9D-A951-3FF2AF955DBD}"/>
    <hyperlink ref="A26" location="Inventory_TurnOver_Ratio!A1" tooltip="Hi click here to view the sheet" display="Inventory_TurnOver_Ratio!A1" xr:uid="{8AC45925-6403-45BB-975B-089F232422A8}"/>
    <hyperlink ref="A27" location="Debtors_TurnOver_Ratio!A1" tooltip="Hi click here to view the sheet" display="Debtors_TurnOver_Ratio!A1" xr:uid="{9F13FDF5-BA40-45C1-99AC-F3D6C61C7F0D}"/>
    <hyperlink ref="A28" location="Fixed_Assets_TurnOver_Ratio!A1" tooltip="Hi click here to view the sheet" display="Fixed_Assets_TurnOver_Ratio!A1" xr:uid="{025BBAE9-5152-471A-9BCE-A156C5A4E6D2}"/>
    <hyperlink ref="A29" location="Payable_TurnOver_Ratio!A1" tooltip="Hi click here to view the sheet" display="Payable_TurnOver_Ratio!A1" xr:uid="{3DB9BDAC-8369-4903-B1EA-3AA700111D75}"/>
    <hyperlink ref="A30" location="Inventory_Days!A1" tooltip="Hi click here to view the sheet" display="Inventory_Days!A1" xr:uid="{20958DAF-911B-44EF-91A2-FC9DEF63511B}"/>
    <hyperlink ref="A31" location="Payable_Days!A1" tooltip="Hi click here to view the sheet" display="Payable_Days!A1" xr:uid="{D0ED3D8C-D278-4ACF-9B28-BDD205F092F4}"/>
    <hyperlink ref="A32" location="Receivable_Days!A1" tooltip="Hi click here to view the sheet" display="Receivable_Days!A1" xr:uid="{0CB5087B-F8E3-4DB3-AE53-9EA13A4B95DC}"/>
    <hyperlink ref="A33" location="Operating_Cycle!A1" tooltip="Hi click here to view the sheet" display="Operating_Cycle!A1" xr:uid="{73F9AEC1-EEBE-44C8-B06B-AF324A98F901}"/>
    <hyperlink ref="A34" location="Cash_Conversion_Cycle_Days!A1" tooltip="Hi click here to view the sheet" display="Cash_Conversion_Cycle_Days!A1" xr:uid="{DAEE152F-A3CA-4BA7-9972-5B5EC39A2096}"/>
    <hyperlink ref="A35" location="NetWorthVsTotalLiabilties!A1" tooltip="Hi click here to view the sheet" display="NetWorthVsTotalLiabilties!A1" xr:uid="{A17213F1-F1CF-4966-AC16-4C93C34DD29F}"/>
    <hyperlink ref="A36" location="PBDITvsPBIT!A1" tooltip="Hi click here to view the sheet" display="PBDITvsPBIT!A1" xr:uid="{77D104E5-43AC-4AAB-9993-83D83CBC80A9}"/>
    <hyperlink ref="A37" location="CAvsCL!A1" tooltip="Hi click here to view the sheet" display="CAvsCL!A1" xr:uid="{07161702-7C40-45A8-A1D3-08C39EBE18D0}"/>
    <hyperlink ref="A38" location="Long_And_Short_Term_Provisions!A1" tooltip="Hi click here to view the sheet" display="Long_And_Short_Term_Provisions!A1" xr:uid="{EFBFE047-159C-4577-88FD-1E9E58D4850E}"/>
    <hyperlink ref="A39" location="MaterialConsumed_DirectExpenses!A1" tooltip="Hi click here to view the sheet" display="MaterialConsumed_DirectExpenses!A1" xr:uid="{2AB2F29A-392E-421E-B9E3-91A791E0A72B}"/>
    <hyperlink ref="A40" location="Gross_Sales_In_Total_Income!A1" tooltip="Hi click here to view the sheet" display="Gross_Sales_In_Total_Income!A1" xr:uid="{73958F79-4B2A-4860-BF2B-82FA7273DA54}"/>
    <hyperlink ref="A41" location="Total_Debt_In_Liabilities!A1" tooltip="Hi click here to view the sheet" display="Total_Debt_In_Liabilities!A1" xr:uid="{788AA322-AF79-48F8-921B-211414C23D54}"/>
    <hyperlink ref="A42" location="Total_CL_In_Liabilities!A1" tooltip="Hi click here to view the sheet" display="Total_CL_In_Liabilities!A1" xr:uid="{3228E07E-41D3-4667-8F1E-470B98507F4C}"/>
    <hyperlink ref="A43" location="Total_NCA_In_Assets!A1" tooltip="Hi click here to view the sheet" display="Total_NCA_In_Assets!A1" xr:uid="{4D1C7810-C462-4EF1-B87C-DD226E76A270}"/>
    <hyperlink ref="A44" location="Total_CA_In_Assets!A1" tooltip="Hi click here to view the sheet" display="Total_CA_In_Assets!A1" xr:uid="{753A9D89-33E0-4E98-9151-705F7E9FAF98}"/>
    <hyperlink ref="A45" location="TotalExpenditureVsTotalIncome!A1" tooltip="Hi click here to view the sheet" display="TotalExpenditureVsTotalIncome!A1" xr:uid="{F9C6CA5E-0C98-45D6-8866-1B92A70D0F82}"/>
    <hyperlink ref="A46" location="Net_Profit_CF_To_Balance_Sheet!A1" tooltip="Hi click here to view the sheet" display="Net_Profit_CF_To_Balance_Sheet!A1" xr:uid="{46AAD798-C854-4508-A78D-53A71F5A0106}"/>
    <hyperlink ref="A47" location="BS_Backup!A1" tooltip="Hi click here to view the sheet" display="BS_Backup!A1" xr:uid="{4050EC00-DB5F-4B25-93ED-6AB9A4C5F193}"/>
    <hyperlink ref="A48" location="ISM_Backup!A1" tooltip="Hi click here to view the sheet" display="ISM_Backup!A1" xr:uid="{87FD1C53-8A50-459F-BA60-148BC7A6858C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8D928-A6AE-4C5B-A1A7-BB07D022B3E9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Balance_Sheet!B66</f>
        <v>Inventories</v>
      </c>
      <c r="C7" s="13">
        <f>Balance_Sheet!C66</f>
        <v>11967</v>
      </c>
      <c r="D7" s="13">
        <f>Balance_Sheet!D66</f>
        <v>13198</v>
      </c>
      <c r="E7" s="13">
        <f>Balance_Sheet!E66</f>
        <v>11335</v>
      </c>
      <c r="F7" s="13">
        <f>Balance_Sheet!F66</f>
        <v>9923</v>
      </c>
      <c r="G7" s="13">
        <f>Balance_Sheet!G66</f>
        <v>14313</v>
      </c>
    </row>
    <row r="8" spans="2:15" ht="18.75" x14ac:dyDescent="0.25">
      <c r="B8" s="14" t="s">
        <v>192</v>
      </c>
      <c r="C8" s="14">
        <f>ROUND(365/C6*C7, 2)</f>
        <v>47.47</v>
      </c>
      <c r="D8" s="14">
        <f t="shared" ref="D8:G8" si="0">ROUND(365/D6*D7, 2)</f>
        <v>52.99</v>
      </c>
      <c r="E8" s="14">
        <f t="shared" si="0"/>
        <v>49.52</v>
      </c>
      <c r="F8" s="14">
        <f t="shared" si="0"/>
        <v>41.7</v>
      </c>
      <c r="G8" s="14">
        <f t="shared" si="0"/>
        <v>39.82</v>
      </c>
    </row>
  </sheetData>
  <mergeCells count="1">
    <mergeCell ref="B5:G5"/>
  </mergeCells>
  <hyperlinks>
    <hyperlink ref="F1" location="Index_Data!A1" tooltip="Hi click here To return Index page" display="Index_Data!A1" xr:uid="{25841FA9-39D6-4956-85A6-34E7BED4A671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CDE2-1150-4DB9-8BE8-1A78C55C6318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31582</v>
      </c>
      <c r="D6" s="13">
        <f>Income_Statement!D17</f>
        <v>25490</v>
      </c>
      <c r="E6" s="13">
        <f>Income_Statement!E17</f>
        <v>21261</v>
      </c>
      <c r="F6" s="13">
        <f>Income_Statement!F17</f>
        <v>22849</v>
      </c>
      <c r="G6" s="13">
        <f>Income_Statement!G17</f>
        <v>37172</v>
      </c>
    </row>
    <row r="7" spans="2:15" ht="18.75" x14ac:dyDescent="0.25">
      <c r="B7" s="12" t="str">
        <f>Balance_Sheet!B33</f>
        <v>Total Current Liabilities</v>
      </c>
      <c r="C7" s="13">
        <f>Balance_Sheet!C33</f>
        <v>52515</v>
      </c>
      <c r="D7" s="13">
        <f>Balance_Sheet!D33</f>
        <v>62332</v>
      </c>
      <c r="E7" s="13">
        <f>Balance_Sheet!E33</f>
        <v>50245</v>
      </c>
      <c r="F7" s="13">
        <f>Balance_Sheet!F33</f>
        <v>56406</v>
      </c>
      <c r="G7" s="13">
        <f>Balance_Sheet!G33</f>
        <v>58352</v>
      </c>
    </row>
    <row r="8" spans="2:15" ht="18.75" x14ac:dyDescent="0.25">
      <c r="B8" s="14" t="s">
        <v>194</v>
      </c>
      <c r="C8" s="14">
        <f>ROUND(365/C6*C7, 2)</f>
        <v>606.92999999999995</v>
      </c>
      <c r="D8" s="14">
        <f t="shared" ref="D8:G8" si="0">ROUND(365/D6*D7, 2)</f>
        <v>892.55</v>
      </c>
      <c r="E8" s="14">
        <f t="shared" si="0"/>
        <v>862.59</v>
      </c>
      <c r="F8" s="14">
        <f t="shared" si="0"/>
        <v>901.05</v>
      </c>
      <c r="G8" s="14">
        <f t="shared" si="0"/>
        <v>572.97</v>
      </c>
    </row>
  </sheetData>
  <mergeCells count="1">
    <mergeCell ref="B5:G5"/>
  </mergeCells>
  <hyperlinks>
    <hyperlink ref="F1" location="Index_Data!A1" tooltip="Hi click here To return Index page" display="Index_Data!A1" xr:uid="{7A94007B-0CEA-4745-A6FB-E5ED83EBB536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1F33-0A3E-4FDE-963E-C8601D537E5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Balance_Sheet!B68</f>
        <v>Trade Receivables</v>
      </c>
      <c r="C7" s="13">
        <f>Balance_Sheet!C68</f>
        <v>3969</v>
      </c>
      <c r="D7" s="13">
        <f>Balance_Sheet!D68</f>
        <v>3982</v>
      </c>
      <c r="E7" s="13">
        <f>Balance_Sheet!E68</f>
        <v>2697</v>
      </c>
      <c r="F7" s="13">
        <f>Balance_Sheet!F68</f>
        <v>3491</v>
      </c>
      <c r="G7" s="13">
        <f>Balance_Sheet!G68</f>
        <v>4946</v>
      </c>
    </row>
    <row r="8" spans="2:15" ht="18.75" x14ac:dyDescent="0.25">
      <c r="B8" s="14" t="s">
        <v>196</v>
      </c>
      <c r="C8" s="14">
        <f>ROUND(365/C6*C7, 2)</f>
        <v>15.74</v>
      </c>
      <c r="D8" s="14">
        <f t="shared" ref="D8:G8" si="0">ROUND(365/D6*D7, 2)</f>
        <v>15.99</v>
      </c>
      <c r="E8" s="14">
        <f t="shared" si="0"/>
        <v>11.78</v>
      </c>
      <c r="F8" s="14">
        <f t="shared" si="0"/>
        <v>14.67</v>
      </c>
      <c r="G8" s="14">
        <f t="shared" si="0"/>
        <v>13.76</v>
      </c>
    </row>
  </sheetData>
  <mergeCells count="1">
    <mergeCell ref="B5:G5"/>
  </mergeCells>
  <hyperlinks>
    <hyperlink ref="F1" location="Index_Data!A1" tooltip="Hi click here To return Index page" display="Index_Data!A1" xr:uid="{E5102D68-5E22-44CC-85DA-97D5E4BC885F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C135A-977C-424F-90BD-DA5CFE6294E1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Balance_Sheet!B66</f>
        <v>Inventories</v>
      </c>
      <c r="C7" s="13">
        <f>Balance_Sheet!C66</f>
        <v>11967</v>
      </c>
      <c r="D7" s="13">
        <f>Balance_Sheet!D66</f>
        <v>13198</v>
      </c>
      <c r="E7" s="13">
        <f>Balance_Sheet!E66</f>
        <v>11335</v>
      </c>
      <c r="F7" s="13">
        <f>Balance_Sheet!F66</f>
        <v>9923</v>
      </c>
      <c r="G7" s="13">
        <f>Balance_Sheet!G66</f>
        <v>14313</v>
      </c>
    </row>
    <row r="8" spans="2:15" ht="18.75" x14ac:dyDescent="0.25">
      <c r="B8" s="12" t="s">
        <v>192</v>
      </c>
      <c r="C8" s="13">
        <f>ROUND(365/C6*C7, 2)</f>
        <v>47.47</v>
      </c>
      <c r="D8" s="13">
        <f t="shared" ref="D8:G8" si="0">ROUND(365/D6*D7, 2)</f>
        <v>52.99</v>
      </c>
      <c r="E8" s="13">
        <f t="shared" si="0"/>
        <v>49.52</v>
      </c>
      <c r="F8" s="13">
        <f t="shared" si="0"/>
        <v>41.7</v>
      </c>
      <c r="G8" s="13">
        <f t="shared" si="0"/>
        <v>39.82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31582</v>
      </c>
      <c r="D9" s="13">
        <f>Income_Statement!D17</f>
        <v>25490</v>
      </c>
      <c r="E9" s="13">
        <f>Income_Statement!E17</f>
        <v>21261</v>
      </c>
      <c r="F9" s="13">
        <f>Income_Statement!F17</f>
        <v>22849</v>
      </c>
      <c r="G9" s="13">
        <f>Income_Statement!G17</f>
        <v>37172</v>
      </c>
    </row>
    <row r="10" spans="2:15" ht="18.75" x14ac:dyDescent="0.25">
      <c r="B10" s="12" t="str">
        <f>Balance_Sheet!B33</f>
        <v>Total Current Liabilities</v>
      </c>
      <c r="C10" s="13">
        <f>Balance_Sheet!C33</f>
        <v>52515</v>
      </c>
      <c r="D10" s="13">
        <f>Balance_Sheet!D33</f>
        <v>62332</v>
      </c>
      <c r="E10" s="13">
        <f>Balance_Sheet!E33</f>
        <v>50245</v>
      </c>
      <c r="F10" s="13">
        <f>Balance_Sheet!F33</f>
        <v>56406</v>
      </c>
      <c r="G10" s="13">
        <f>Balance_Sheet!G33</f>
        <v>58352</v>
      </c>
    </row>
    <row r="11" spans="2:15" ht="18.75" x14ac:dyDescent="0.25">
      <c r="B11" s="12" t="s">
        <v>194</v>
      </c>
      <c r="C11" s="13">
        <f>ROUND(365/C9*C10, 2)</f>
        <v>606.92999999999995</v>
      </c>
      <c r="D11" s="13">
        <f t="shared" ref="D11:G11" si="1">ROUND(365/D9*D10, 2)</f>
        <v>892.55</v>
      </c>
      <c r="E11" s="13">
        <f t="shared" si="1"/>
        <v>862.59</v>
      </c>
      <c r="F11" s="13">
        <f t="shared" si="1"/>
        <v>901.05</v>
      </c>
      <c r="G11" s="13">
        <f t="shared" si="1"/>
        <v>572.97</v>
      </c>
    </row>
    <row r="12" spans="2:15" ht="18.75" x14ac:dyDescent="0.25">
      <c r="B12" s="14" t="s">
        <v>198</v>
      </c>
      <c r="C12" s="16">
        <f>ROUND(C11+C8, 2)</f>
        <v>654.4</v>
      </c>
      <c r="D12" s="16">
        <f t="shared" ref="D12:G12" si="2">ROUND(D11+D8, 2)</f>
        <v>945.54</v>
      </c>
      <c r="E12" s="16">
        <f t="shared" si="2"/>
        <v>912.11</v>
      </c>
      <c r="F12" s="16">
        <f t="shared" si="2"/>
        <v>942.75</v>
      </c>
      <c r="G12" s="16">
        <f t="shared" si="2"/>
        <v>612.79</v>
      </c>
    </row>
  </sheetData>
  <mergeCells count="1">
    <mergeCell ref="B5:G5"/>
  </mergeCells>
  <hyperlinks>
    <hyperlink ref="F1" location="Index_Data!A1" tooltip="Hi click here To return Index page" display="Index_Data!A1" xr:uid="{5AB78913-87B9-45E9-B714-06D1CB4524AE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B883F-0997-4045-B916-29808076105A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92011</v>
      </c>
      <c r="D6" s="13">
        <f>Income_Statement!D5</f>
        <v>90901</v>
      </c>
      <c r="E6" s="13">
        <f>Income_Statement!E5</f>
        <v>83545</v>
      </c>
      <c r="F6" s="13">
        <f>Income_Statement!F5</f>
        <v>86863</v>
      </c>
      <c r="G6" s="13">
        <f>Income_Statement!G5</f>
        <v>131192</v>
      </c>
    </row>
    <row r="7" spans="2:15" ht="18.75" x14ac:dyDescent="0.25">
      <c r="B7" s="12" t="str">
        <f>Balance_Sheet!B66</f>
        <v>Inventories</v>
      </c>
      <c r="C7" s="13">
        <f>Balance_Sheet!C66</f>
        <v>11967</v>
      </c>
      <c r="D7" s="13">
        <f>Balance_Sheet!D66</f>
        <v>13198</v>
      </c>
      <c r="E7" s="13">
        <f>Balance_Sheet!E66</f>
        <v>11335</v>
      </c>
      <c r="F7" s="13">
        <f>Balance_Sheet!F66</f>
        <v>9923</v>
      </c>
      <c r="G7" s="13">
        <f>Balance_Sheet!G66</f>
        <v>14313</v>
      </c>
    </row>
    <row r="8" spans="2:15" ht="18.75" x14ac:dyDescent="0.25">
      <c r="B8" s="12" t="s">
        <v>192</v>
      </c>
      <c r="C8" s="13">
        <f>ROUND(365/C6*C7, 2)</f>
        <v>47.47</v>
      </c>
      <c r="D8" s="13">
        <f t="shared" ref="D8:G8" si="0">ROUND(365/D6*D7, 2)</f>
        <v>52.99</v>
      </c>
      <c r="E8" s="13">
        <f t="shared" si="0"/>
        <v>49.52</v>
      </c>
      <c r="F8" s="13">
        <f t="shared" si="0"/>
        <v>41.7</v>
      </c>
      <c r="G8" s="13">
        <f t="shared" si="0"/>
        <v>39.82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31582</v>
      </c>
      <c r="D9" s="13">
        <f>Income_Statement!D17</f>
        <v>25490</v>
      </c>
      <c r="E9" s="13">
        <f>Income_Statement!E17</f>
        <v>21261</v>
      </c>
      <c r="F9" s="13">
        <f>Income_Statement!F17</f>
        <v>22849</v>
      </c>
      <c r="G9" s="13">
        <f>Income_Statement!G17</f>
        <v>37172</v>
      </c>
    </row>
    <row r="10" spans="2:15" ht="18.75" x14ac:dyDescent="0.25">
      <c r="B10" s="12" t="str">
        <f>Balance_Sheet!B33</f>
        <v>Total Current Liabilities</v>
      </c>
      <c r="C10" s="13">
        <f>Balance_Sheet!C33</f>
        <v>52515</v>
      </c>
      <c r="D10" s="13">
        <f>Balance_Sheet!D33</f>
        <v>62332</v>
      </c>
      <c r="E10" s="13">
        <f>Balance_Sheet!E33</f>
        <v>50245</v>
      </c>
      <c r="F10" s="13">
        <f>Balance_Sheet!F33</f>
        <v>56406</v>
      </c>
      <c r="G10" s="13">
        <f>Balance_Sheet!G33</f>
        <v>58352</v>
      </c>
    </row>
    <row r="11" spans="2:15" ht="18.75" x14ac:dyDescent="0.25">
      <c r="B11" s="12" t="s">
        <v>194</v>
      </c>
      <c r="C11" s="13">
        <f>ROUND(365/C9*C10, 2)</f>
        <v>606.92999999999995</v>
      </c>
      <c r="D11" s="13">
        <f t="shared" ref="D11:G11" si="1">ROUND(365/D9*D10, 2)</f>
        <v>892.55</v>
      </c>
      <c r="E11" s="13">
        <f t="shared" si="1"/>
        <v>862.59</v>
      </c>
      <c r="F11" s="13">
        <f t="shared" si="1"/>
        <v>901.05</v>
      </c>
      <c r="G11" s="13">
        <f t="shared" si="1"/>
        <v>572.97</v>
      </c>
    </row>
    <row r="12" spans="2:15" ht="18.75" x14ac:dyDescent="0.25">
      <c r="B12" s="12" t="s">
        <v>200</v>
      </c>
      <c r="C12" s="13">
        <f>ROUND(C11+C8, 2)</f>
        <v>654.4</v>
      </c>
      <c r="D12" s="13">
        <f t="shared" ref="D12:G12" si="2">ROUND(D11+D8, 2)</f>
        <v>945.54</v>
      </c>
      <c r="E12" s="13">
        <f t="shared" si="2"/>
        <v>912.11</v>
      </c>
      <c r="F12" s="13">
        <f t="shared" si="2"/>
        <v>942.75</v>
      </c>
      <c r="G12" s="13">
        <f t="shared" si="2"/>
        <v>612.79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31582</v>
      </c>
      <c r="D13" s="13">
        <f>Income_Statement!D17</f>
        <v>25490</v>
      </c>
      <c r="E13" s="13">
        <f>Income_Statement!E17</f>
        <v>21261</v>
      </c>
      <c r="F13" s="13">
        <f>Income_Statement!F17</f>
        <v>22849</v>
      </c>
      <c r="G13" s="13">
        <f>Income_Statement!G17</f>
        <v>37172</v>
      </c>
    </row>
    <row r="14" spans="2:15" ht="18.75" x14ac:dyDescent="0.25">
      <c r="B14" s="12" t="str">
        <f>Balance_Sheet!B33</f>
        <v>Total Current Liabilities</v>
      </c>
      <c r="C14" s="13">
        <f>Balance_Sheet!C33</f>
        <v>52515</v>
      </c>
      <c r="D14" s="13">
        <f>Balance_Sheet!D33</f>
        <v>62332</v>
      </c>
      <c r="E14" s="13">
        <f>Balance_Sheet!E33</f>
        <v>50245</v>
      </c>
      <c r="F14" s="13">
        <f>Balance_Sheet!F33</f>
        <v>56406</v>
      </c>
      <c r="G14" s="13">
        <f>Balance_Sheet!G33</f>
        <v>58352</v>
      </c>
    </row>
    <row r="15" spans="2:15" ht="18.75" x14ac:dyDescent="0.25">
      <c r="B15" s="12" t="s">
        <v>194</v>
      </c>
      <c r="C15" s="13">
        <f>ROUND(365/C13*C14, 2)</f>
        <v>606.92999999999995</v>
      </c>
      <c r="D15" s="13">
        <f t="shared" ref="D15:G15" si="3">ROUND(365/D13*D14, 2)</f>
        <v>892.55</v>
      </c>
      <c r="E15" s="13">
        <f t="shared" si="3"/>
        <v>862.59</v>
      </c>
      <c r="F15" s="13">
        <f t="shared" si="3"/>
        <v>901.05</v>
      </c>
      <c r="G15" s="13">
        <f t="shared" si="3"/>
        <v>572.97</v>
      </c>
    </row>
    <row r="16" spans="2:15" ht="18.75" x14ac:dyDescent="0.25">
      <c r="B16" s="14" t="s">
        <v>201</v>
      </c>
      <c r="C16" s="16">
        <f>ROUND(C15-C12, 2)</f>
        <v>-47.47</v>
      </c>
      <c r="D16" s="16">
        <f t="shared" ref="D16:G16" si="4">ROUND(D15-D12, 2)</f>
        <v>-52.99</v>
      </c>
      <c r="E16" s="16">
        <f t="shared" si="4"/>
        <v>-49.52</v>
      </c>
      <c r="F16" s="16">
        <f t="shared" si="4"/>
        <v>-41.7</v>
      </c>
      <c r="G16" s="16">
        <f t="shared" si="4"/>
        <v>-39.82</v>
      </c>
    </row>
  </sheetData>
  <mergeCells count="1">
    <mergeCell ref="B5:G5"/>
  </mergeCells>
  <hyperlinks>
    <hyperlink ref="F1" location="Index_Data!A1" tooltip="Hi click here To return Index page" display="Index_Data!A1" xr:uid="{C3545C9A-BEE4-4A6D-A5FC-2B4F501886B2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2B2B4-6048-4461-89D7-B580D4A79CC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63508</v>
      </c>
      <c r="D5" s="13">
        <f>Balance_Sheet!D13</f>
        <v>64309.044201933968</v>
      </c>
      <c r="E5" s="13">
        <f>Balance_Sheet!E13</f>
        <v>58211.074245622993</v>
      </c>
      <c r="F5" s="13">
        <f>Balance_Sheet!F13</f>
        <v>69401.113629480329</v>
      </c>
      <c r="G5" s="13">
        <f>Balance_Sheet!G13</f>
        <v>89655.133447761938</v>
      </c>
    </row>
    <row r="6" spans="2:15" ht="18.75" x14ac:dyDescent="0.25">
      <c r="B6" s="12" t="str">
        <f>Balance_Sheet!B37</f>
        <v>Total Liabilities</v>
      </c>
      <c r="C6" s="13">
        <f>Balance_Sheet!C37</f>
        <v>184798</v>
      </c>
      <c r="D6" s="13">
        <f>Balance_Sheet!D37</f>
        <v>204053.04420193395</v>
      </c>
      <c r="E6" s="13">
        <f>Balance_Sheet!E37</f>
        <v>187196.07424562299</v>
      </c>
      <c r="F6" s="13">
        <f>Balance_Sheet!F37</f>
        <v>192818.11362948033</v>
      </c>
      <c r="G6" s="13">
        <f>Balance_Sheet!G37</f>
        <v>222872.13344776194</v>
      </c>
    </row>
  </sheetData>
  <hyperlinks>
    <hyperlink ref="F1" location="Index_Data!A1" tooltip="Hi click here To return Index page" display="Index_Data!A1" xr:uid="{E23F84BD-6858-4D74-BD64-C4018E14DAE9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F68D-4B99-4053-9791-0A93D636A91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28497.0273554249</v>
      </c>
      <c r="D5" s="13">
        <f>Income_Statement!D29</f>
        <v>26635.044201933968</v>
      </c>
      <c r="E5" s="13">
        <f>Income_Statement!E29</f>
        <v>23538.030043689025</v>
      </c>
      <c r="F5" s="13">
        <f>Income_Statement!F29</f>
        <v>30415.039383857336</v>
      </c>
      <c r="G5" s="13">
        <f>Income_Statement!G29</f>
        <v>43969.019818281609</v>
      </c>
    </row>
    <row r="6" spans="2:15" ht="18.75" x14ac:dyDescent="0.25">
      <c r="B6" s="12" t="str">
        <f>Income_Statement!B33</f>
        <v>PBIT</v>
      </c>
      <c r="C6" s="13">
        <f>Income_Statement!C33</f>
        <v>22214.0273554249</v>
      </c>
      <c r="D6" s="13">
        <f>Income_Statement!D33</f>
        <v>18443.044201933968</v>
      </c>
      <c r="E6" s="13">
        <f>Income_Statement!E33</f>
        <v>14445.030043689025</v>
      </c>
      <c r="F6" s="13">
        <f>Income_Statement!F33</f>
        <v>22777.039383857336</v>
      </c>
      <c r="G6" s="13">
        <f>Income_Statement!G33</f>
        <v>35074.019818281609</v>
      </c>
    </row>
  </sheetData>
  <hyperlinks>
    <hyperlink ref="F1" location="Index_Data!A1" tooltip="Hi click here To return Index page" display="Index_Data!A1" xr:uid="{07E341DF-0435-4909-9E10-3295C04C6082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5172D-4219-4FE1-A467-EB058156D51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43764</v>
      </c>
      <c r="D5" s="13">
        <f>Balance_Sheet!D72</f>
        <v>60547.044201933968</v>
      </c>
      <c r="E5" s="13">
        <f>Balance_Sheet!E72</f>
        <v>73987.074245622993</v>
      </c>
      <c r="F5" s="13">
        <f>Balance_Sheet!F72</f>
        <v>96731.113629480329</v>
      </c>
      <c r="G5" s="13">
        <f>Balance_Sheet!G72</f>
        <v>130054.13344776194</v>
      </c>
    </row>
    <row r="6" spans="2:15" ht="18.75" x14ac:dyDescent="0.25">
      <c r="B6" s="12" t="str">
        <f>Balance_Sheet!B33</f>
        <v>Total Current Liabilities</v>
      </c>
      <c r="C6" s="13">
        <f>Balance_Sheet!C33</f>
        <v>52515</v>
      </c>
      <c r="D6" s="13">
        <f>Balance_Sheet!D33</f>
        <v>62332</v>
      </c>
      <c r="E6" s="13">
        <f>Balance_Sheet!E33</f>
        <v>50245</v>
      </c>
      <c r="F6" s="13">
        <f>Balance_Sheet!F33</f>
        <v>56406</v>
      </c>
      <c r="G6" s="13">
        <f>Balance_Sheet!G33</f>
        <v>58352</v>
      </c>
    </row>
  </sheetData>
  <hyperlinks>
    <hyperlink ref="F1" location="Index_Data!A1" tooltip="Hi click here To return Index page" display="Index_Data!A1" xr:uid="{57128C50-6902-479E-A53E-6569ACA649DC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FC7B0-7FC7-43CF-914D-9D3FC3583F9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2361</v>
      </c>
      <c r="D5" s="13">
        <f>Balance_Sheet!D23</f>
        <v>2596</v>
      </c>
      <c r="E5" s="13">
        <f>Balance_Sheet!E23</f>
        <v>2828</v>
      </c>
      <c r="F5" s="13">
        <f>Balance_Sheet!F23</f>
        <v>3132</v>
      </c>
      <c r="G5" s="13">
        <f>Balance_Sheet!G23</f>
        <v>3386</v>
      </c>
    </row>
    <row r="6" spans="2:15" ht="18.75" x14ac:dyDescent="0.25">
      <c r="B6" s="12" t="str">
        <f>Balance_Sheet!B25</f>
        <v>Short Term Provisions</v>
      </c>
      <c r="C6" s="13">
        <f>Balance_Sheet!C25</f>
        <v>410</v>
      </c>
      <c r="D6" s="13">
        <f>Balance_Sheet!D25</f>
        <v>387</v>
      </c>
      <c r="E6" s="13">
        <f>Balance_Sheet!E25</f>
        <v>355</v>
      </c>
      <c r="F6" s="13">
        <f>Balance_Sheet!F25</f>
        <v>353</v>
      </c>
      <c r="G6" s="13">
        <f>Balance_Sheet!G25</f>
        <v>417</v>
      </c>
    </row>
  </sheetData>
  <hyperlinks>
    <hyperlink ref="F1" location="Index_Data!A1" tooltip="Hi click here To return Index page" display="Index_Data!A1" xr:uid="{6F5BF94A-1F32-4D75-B311-503407D45021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B5F5-019E-491B-8756-B34D53A21A9B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31582</v>
      </c>
      <c r="D5" s="13">
        <f>Income_Statement!D17</f>
        <v>25490</v>
      </c>
      <c r="E5" s="13">
        <f>Income_Statement!E17</f>
        <v>21261</v>
      </c>
      <c r="F5" s="13">
        <f>Income_Statement!F17</f>
        <v>22849</v>
      </c>
      <c r="G5" s="13">
        <f>Income_Statement!G17</f>
        <v>37172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14026</v>
      </c>
      <c r="D6" s="13">
        <f>Income_Statement!D19</f>
        <v>18144</v>
      </c>
      <c r="E6" s="13">
        <f>Income_Statement!E19</f>
        <v>16606</v>
      </c>
      <c r="F6" s="13">
        <f>Income_Statement!F19</f>
        <v>13674</v>
      </c>
      <c r="G6" s="13">
        <f>Income_Statement!G19</f>
        <v>0</v>
      </c>
    </row>
  </sheetData>
  <hyperlinks>
    <hyperlink ref="F1" location="Index_Data!A1" tooltip="Hi click here To return Index page" display="Index_Data!A1" xr:uid="{F68A01F7-70EC-42A5-87F6-61569142347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A0F9-843B-418B-A6E4-17587651BE64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7" width="18.85546875" bestFit="1" customWidth="1"/>
    <col min="8" max="12" width="17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92011</v>
      </c>
      <c r="D5" s="5">
        <v>90901</v>
      </c>
      <c r="E5" s="5">
        <v>83545</v>
      </c>
      <c r="F5" s="5">
        <v>86863</v>
      </c>
      <c r="G5" s="5">
        <v>131192</v>
      </c>
      <c r="H5" s="28">
        <f>GROWTH(C5:G5,C4:G4,H4)</f>
        <v>116609.68464312698</v>
      </c>
      <c r="I5" s="28">
        <f t="shared" ref="I5:L5" si="0">GROWTH(D5:H5,D4:H4,I4)</f>
        <v>133195.27760224658</v>
      </c>
      <c r="J5" s="28">
        <f t="shared" si="0"/>
        <v>156274.52051436683</v>
      </c>
      <c r="K5" s="28">
        <f t="shared" si="0"/>
        <v>175136.72035755438</v>
      </c>
      <c r="L5" s="28">
        <f t="shared" si="0"/>
        <v>183107.95822298611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1057</v>
      </c>
      <c r="D7" s="4">
        <v>0</v>
      </c>
      <c r="E7" s="4">
        <v>0</v>
      </c>
      <c r="F7" s="4">
        <v>0</v>
      </c>
      <c r="G7" s="5">
        <v>0</v>
      </c>
      <c r="H7" s="28">
        <f>H5*H8</f>
        <v>0</v>
      </c>
      <c r="I7" s="28">
        <f t="shared" ref="I7:L7" si="1">I5*I8</f>
        <v>0</v>
      </c>
      <c r="J7" s="28">
        <f t="shared" si="1"/>
        <v>0</v>
      </c>
      <c r="K7" s="28">
        <f t="shared" si="1"/>
        <v>0</v>
      </c>
      <c r="L7" s="28">
        <f t="shared" si="1"/>
        <v>0</v>
      </c>
    </row>
    <row r="8" spans="2:15" x14ac:dyDescent="0.25">
      <c r="B8" s="17" t="s">
        <v>239</v>
      </c>
      <c r="C8" s="18">
        <f>C7/Income_Statement!C5</f>
        <v>1.1487756898631685E-2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90954</v>
      </c>
      <c r="D9" s="7">
        <f t="shared" ref="D9:L9" si="3">D5 - D7</f>
        <v>90901</v>
      </c>
      <c r="E9" s="7">
        <f t="shared" si="3"/>
        <v>83545</v>
      </c>
      <c r="F9" s="7">
        <f t="shared" si="3"/>
        <v>86863</v>
      </c>
      <c r="G9" s="7">
        <f t="shared" si="3"/>
        <v>131192</v>
      </c>
      <c r="H9" s="29">
        <f t="shared" si="3"/>
        <v>116609.68464312698</v>
      </c>
      <c r="I9" s="29">
        <f t="shared" si="3"/>
        <v>133195.27760224658</v>
      </c>
      <c r="J9" s="29">
        <f t="shared" si="3"/>
        <v>156274.52051436683</v>
      </c>
      <c r="K9" s="29">
        <f t="shared" si="3"/>
        <v>175136.72035755438</v>
      </c>
      <c r="L9" s="29">
        <f t="shared" si="3"/>
        <v>183107.95822298611</v>
      </c>
    </row>
    <row r="10" spans="2:15" x14ac:dyDescent="0.25">
      <c r="B10" s="19" t="s">
        <v>240</v>
      </c>
      <c r="C10" s="21">
        <f>C9/Income_Statement!C5</f>
        <v>0.98851224310136832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5">
        <v>3574</v>
      </c>
      <c r="D11" s="5">
        <v>4018</v>
      </c>
      <c r="E11" s="5">
        <v>2510</v>
      </c>
      <c r="F11" s="5">
        <v>3421</v>
      </c>
      <c r="G11" s="5">
        <v>2600</v>
      </c>
      <c r="H11" s="28">
        <f>H5*H12</f>
        <v>4529.4911794734962</v>
      </c>
      <c r="I11" s="28">
        <f t="shared" ref="I11:L11" si="4">I5*I12</f>
        <v>5173.7283819372606</v>
      </c>
      <c r="J11" s="28">
        <f t="shared" si="4"/>
        <v>6070.1996100286606</v>
      </c>
      <c r="K11" s="28">
        <f t="shared" si="4"/>
        <v>6802.8674675625671</v>
      </c>
      <c r="L11" s="28">
        <f t="shared" si="4"/>
        <v>7112.4957090886128</v>
      </c>
    </row>
    <row r="12" spans="2:15" x14ac:dyDescent="0.25">
      <c r="B12" s="17" t="s">
        <v>241</v>
      </c>
      <c r="C12" s="18">
        <f>C11/Income_Statement!C5</f>
        <v>3.8843181793481216E-2</v>
      </c>
      <c r="D12" s="18">
        <f>D11/Income_Statement!D5</f>
        <v>4.4201933972123519E-2</v>
      </c>
      <c r="E12" s="18">
        <f>E11/Income_Statement!E5</f>
        <v>3.0043689029864144E-2</v>
      </c>
      <c r="F12" s="18">
        <f>F11/Income_Statement!F5</f>
        <v>3.9383857338567627E-2</v>
      </c>
      <c r="G12" s="18">
        <f>G11/Income_Statement!G5</f>
        <v>1.9818281602536739E-2</v>
      </c>
      <c r="H12" s="25">
        <f>MEDIAN(C12:G12)</f>
        <v>3.8843181793481216E-2</v>
      </c>
      <c r="I12" s="25">
        <f t="shared" ref="I12:L12" si="5">H12</f>
        <v>3.8843181793481216E-2</v>
      </c>
      <c r="J12" s="25">
        <f t="shared" si="5"/>
        <v>3.8843181793481216E-2</v>
      </c>
      <c r="K12" s="25">
        <f t="shared" si="5"/>
        <v>3.8843181793481216E-2</v>
      </c>
      <c r="L12" s="25">
        <f t="shared" si="5"/>
        <v>3.8843181793481216E-2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94529.0273554249</v>
      </c>
      <c r="D15" s="7">
        <f t="shared" ref="D15:L15" si="8">SUM(D9:D13)</f>
        <v>94920.044201933968</v>
      </c>
      <c r="E15" s="7">
        <f t="shared" si="8"/>
        <v>86056.030043689025</v>
      </c>
      <c r="F15" s="7">
        <f t="shared" si="8"/>
        <v>90285.039383857336</v>
      </c>
      <c r="G15" s="7">
        <f t="shared" si="8"/>
        <v>133793.01981828161</v>
      </c>
      <c r="H15" s="29">
        <f t="shared" si="8"/>
        <v>121140.21466578227</v>
      </c>
      <c r="I15" s="29">
        <f t="shared" si="8"/>
        <v>138370.04482736564</v>
      </c>
      <c r="J15" s="29">
        <f t="shared" si="8"/>
        <v>162345.75896757728</v>
      </c>
      <c r="K15" s="29">
        <f t="shared" si="8"/>
        <v>181940.62666829876</v>
      </c>
      <c r="L15" s="29">
        <f t="shared" si="8"/>
        <v>190221.49277525651</v>
      </c>
    </row>
    <row r="16" spans="2:15" x14ac:dyDescent="0.25">
      <c r="B16" s="19" t="s">
        <v>243</v>
      </c>
      <c r="C16" s="21">
        <f>C15/Income_Statement!C5</f>
        <v>1.0273665904666278</v>
      </c>
      <c r="D16" s="21">
        <f>D15/Income_Statement!D5</f>
        <v>1.0442134212157619</v>
      </c>
      <c r="E16" s="21">
        <f>E15/Income_Statement!E5</f>
        <v>1.0300560182379439</v>
      </c>
      <c r="F16" s="21">
        <f>F15/Income_Statement!F5</f>
        <v>1.0393958231221272</v>
      </c>
      <c r="G16" s="21">
        <f>G15/Income_Statement!G5</f>
        <v>1.0198260550817246</v>
      </c>
      <c r="H16" s="30">
        <f>H15/Income_Statement!H5</f>
        <v>1.0388520905147849</v>
      </c>
      <c r="I16" s="30">
        <f>I15/Income_Statement!I5</f>
        <v>1.0388509811929831</v>
      </c>
      <c r="J16" s="30">
        <f>J15/Income_Statement!J5</f>
        <v>1.0388498293466355</v>
      </c>
      <c r="K16" s="30">
        <f>K15/Income_Statement!K5</f>
        <v>1.0388491134061075</v>
      </c>
      <c r="L16" s="30">
        <f>L15/Income_Statement!L5</f>
        <v>1.0388488551852435</v>
      </c>
    </row>
    <row r="17" spans="2:12" ht="18.75" x14ac:dyDescent="0.25">
      <c r="B17" s="8" t="s">
        <v>62</v>
      </c>
      <c r="C17" s="5">
        <v>31582</v>
      </c>
      <c r="D17" s="5">
        <v>25490</v>
      </c>
      <c r="E17" s="5">
        <v>21261</v>
      </c>
      <c r="F17" s="5">
        <v>22849</v>
      </c>
      <c r="G17" s="5">
        <v>37172</v>
      </c>
      <c r="H17" s="28">
        <f>H5*H18</f>
        <v>33040.24023991033</v>
      </c>
      <c r="I17" s="28">
        <f t="shared" ref="I17:L17" si="9">I5*I18</f>
        <v>37739.609572464098</v>
      </c>
      <c r="J17" s="28">
        <f t="shared" si="9"/>
        <v>44278.8925891826</v>
      </c>
      <c r="K17" s="28">
        <f t="shared" si="9"/>
        <v>49623.316735250715</v>
      </c>
      <c r="L17" s="28">
        <f t="shared" si="9"/>
        <v>51881.890839874686</v>
      </c>
    </row>
    <row r="18" spans="2:12" x14ac:dyDescent="0.25">
      <c r="B18" s="17" t="s">
        <v>244</v>
      </c>
      <c r="C18" s="18">
        <f>C17/Income_Statement!C5</f>
        <v>0.3432415689428438</v>
      </c>
      <c r="D18" s="18">
        <f>D17/Income_Statement!D5</f>
        <v>0.28041495693116686</v>
      </c>
      <c r="E18" s="18">
        <f>E17/Income_Statement!E5</f>
        <v>0.25448560655933927</v>
      </c>
      <c r="F18" s="18">
        <f>F17/Income_Statement!F5</f>
        <v>0.26304640641009408</v>
      </c>
      <c r="G18" s="18">
        <f>G17/Income_Statement!G5</f>
        <v>0.2833404475882676</v>
      </c>
      <c r="H18" s="25">
        <f>G18</f>
        <v>0.2833404475882676</v>
      </c>
      <c r="I18" s="25">
        <f t="shared" ref="I18:L18" si="10">H18</f>
        <v>0.2833404475882676</v>
      </c>
      <c r="J18" s="25">
        <f t="shared" si="10"/>
        <v>0.2833404475882676</v>
      </c>
      <c r="K18" s="25">
        <f t="shared" si="10"/>
        <v>0.2833404475882676</v>
      </c>
      <c r="L18" s="25">
        <f t="shared" si="10"/>
        <v>0.2833404475882676</v>
      </c>
    </row>
    <row r="19" spans="2:12" ht="18.75" x14ac:dyDescent="0.25">
      <c r="B19" s="8" t="s">
        <v>64</v>
      </c>
      <c r="C19" s="4">
        <v>14026</v>
      </c>
      <c r="D19" s="5">
        <v>18144</v>
      </c>
      <c r="E19" s="5">
        <v>16606</v>
      </c>
      <c r="F19" s="5">
        <v>13674</v>
      </c>
      <c r="G19" s="5">
        <v>0</v>
      </c>
      <c r="H19" s="28">
        <f>H5*H20</f>
        <v>0</v>
      </c>
      <c r="I19" s="28">
        <f t="shared" ref="I19:L19" si="11">I5*I20</f>
        <v>0</v>
      </c>
      <c r="J19" s="28">
        <f t="shared" si="11"/>
        <v>0</v>
      </c>
      <c r="K19" s="28">
        <f t="shared" si="11"/>
        <v>0</v>
      </c>
      <c r="L19" s="28">
        <f t="shared" si="11"/>
        <v>0</v>
      </c>
    </row>
    <row r="20" spans="2:12" x14ac:dyDescent="0.25">
      <c r="B20" s="17" t="s">
        <v>245</v>
      </c>
      <c r="C20" s="18">
        <f>C19/Income_Statement!C5</f>
        <v>0.15243829542119963</v>
      </c>
      <c r="D20" s="18">
        <f>D19/Income_Statement!D5</f>
        <v>0.19960176455704556</v>
      </c>
      <c r="E20" s="18">
        <f>E19/Income_Statement!E5</f>
        <v>0.19876713148602548</v>
      </c>
      <c r="F20" s="18">
        <f>F19/Income_Statement!F5</f>
        <v>0.15742030553860678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2496</v>
      </c>
      <c r="D21" s="5">
        <v>3023</v>
      </c>
      <c r="E21" s="5">
        <v>2672</v>
      </c>
      <c r="F21" s="5">
        <v>2861</v>
      </c>
      <c r="G21" s="5">
        <v>2811</v>
      </c>
      <c r="H21" s="28">
        <f>H5*H22</f>
        <v>2498.5503958460113</v>
      </c>
      <c r="I21" s="28">
        <f t="shared" ref="I21:L21" si="13">I5*I22</f>
        <v>2853.9234506670768</v>
      </c>
      <c r="J21" s="28">
        <f t="shared" si="13"/>
        <v>3348.4334194606768</v>
      </c>
      <c r="K21" s="28">
        <f t="shared" si="13"/>
        <v>3752.5864452488363</v>
      </c>
      <c r="L21" s="28">
        <f t="shared" si="13"/>
        <v>3923.3830611989597</v>
      </c>
    </row>
    <row r="22" spans="2:12" x14ac:dyDescent="0.25">
      <c r="B22" s="17" t="s">
        <v>246</v>
      </c>
      <c r="C22" s="18">
        <f>C21/Income_Statement!C5</f>
        <v>2.7127191314082012E-2</v>
      </c>
      <c r="D22" s="18">
        <f>D21/Income_Statement!D5</f>
        <v>3.3255959780420459E-2</v>
      </c>
      <c r="E22" s="18">
        <f>E21/Income_Statement!E5</f>
        <v>3.1982763779998806E-2</v>
      </c>
      <c r="F22" s="18">
        <f>F21/Income_Statement!F5</f>
        <v>3.2936923661397832E-2</v>
      </c>
      <c r="G22" s="18">
        <f>G21/Income_Statement!G5</f>
        <v>2.1426611378742605E-2</v>
      </c>
      <c r="H22" s="25">
        <f>G22</f>
        <v>2.1426611378742605E-2</v>
      </c>
      <c r="I22" s="25">
        <f t="shared" ref="I22:L22" si="14">H22</f>
        <v>2.1426611378742605E-2</v>
      </c>
      <c r="J22" s="25">
        <f t="shared" si="14"/>
        <v>2.1426611378742605E-2</v>
      </c>
      <c r="K22" s="25">
        <f t="shared" si="14"/>
        <v>2.1426611378742605E-2</v>
      </c>
      <c r="L22" s="25">
        <f t="shared" si="14"/>
        <v>2.1426611378742605E-2</v>
      </c>
    </row>
    <row r="23" spans="2:12" ht="18.75" x14ac:dyDescent="0.25">
      <c r="B23" s="8" t="s">
        <v>69</v>
      </c>
      <c r="C23" s="5">
        <v>17928</v>
      </c>
      <c r="D23" s="5">
        <v>21628</v>
      </c>
      <c r="E23" s="5">
        <v>21979</v>
      </c>
      <c r="F23" s="5">
        <v>20486</v>
      </c>
      <c r="G23" s="5">
        <v>49841</v>
      </c>
      <c r="H23" s="28">
        <f>H5*H24</f>
        <v>30589.208875210235</v>
      </c>
      <c r="I23" s="28">
        <f t="shared" ref="I23:L23" si="15">I5*I24</f>
        <v>34939.963865230086</v>
      </c>
      <c r="J23" s="28">
        <f t="shared" si="15"/>
        <v>40994.141820355631</v>
      </c>
      <c r="K23" s="28">
        <f t="shared" si="15"/>
        <v>45942.099381642365</v>
      </c>
      <c r="L23" s="28">
        <f t="shared" si="15"/>
        <v>48033.125189712315</v>
      </c>
    </row>
    <row r="24" spans="2:12" x14ac:dyDescent="0.25">
      <c r="B24" s="17" t="s">
        <v>247</v>
      </c>
      <c r="C24" s="18">
        <f>C23/Income_Statement!C5</f>
        <v>0.19484626838095445</v>
      </c>
      <c r="D24" s="18">
        <f>D23/Income_Statement!D5</f>
        <v>0.23792917569663699</v>
      </c>
      <c r="E24" s="18">
        <f>E23/Income_Statement!E5</f>
        <v>0.26307977736549165</v>
      </c>
      <c r="F24" s="18">
        <f>F23/Income_Statement!F5</f>
        <v>0.2358426487687508</v>
      </c>
      <c r="G24" s="18">
        <f>G23/Income_Statement!G5</f>
        <v>0.37990883590462832</v>
      </c>
      <c r="H24" s="25">
        <f>AVERAGE(C24:G24)</f>
        <v>0.26232134122329243</v>
      </c>
      <c r="I24" s="25">
        <f t="shared" ref="I24:L24" si="16">H24</f>
        <v>0.26232134122329243</v>
      </c>
      <c r="J24" s="25">
        <f t="shared" si="16"/>
        <v>0.26232134122329243</v>
      </c>
      <c r="K24" s="25">
        <f t="shared" si="16"/>
        <v>0.26232134122329243</v>
      </c>
      <c r="L24" s="25">
        <f t="shared" si="16"/>
        <v>0.26232134122329243</v>
      </c>
    </row>
    <row r="25" spans="2:12" ht="18.75" x14ac:dyDescent="0.25">
      <c r="B25" s="9" t="s">
        <v>108</v>
      </c>
      <c r="C25" s="7">
        <f>C17+C19+C21+C23</f>
        <v>66032</v>
      </c>
      <c r="D25" s="7">
        <f t="shared" ref="D25:L25" si="17">D17+D19+D21+D23</f>
        <v>68285</v>
      </c>
      <c r="E25" s="7">
        <f t="shared" si="17"/>
        <v>62518</v>
      </c>
      <c r="F25" s="7">
        <f t="shared" si="17"/>
        <v>59870</v>
      </c>
      <c r="G25" s="7">
        <f t="shared" si="17"/>
        <v>89824</v>
      </c>
      <c r="H25" s="29">
        <f t="shared" si="17"/>
        <v>66127.999510966576</v>
      </c>
      <c r="I25" s="29">
        <f t="shared" si="17"/>
        <v>75533.49688836126</v>
      </c>
      <c r="J25" s="29">
        <f t="shared" si="17"/>
        <v>88621.46782899891</v>
      </c>
      <c r="K25" s="29">
        <f t="shared" si="17"/>
        <v>99318.002562141919</v>
      </c>
      <c r="L25" s="29">
        <f t="shared" si="17"/>
        <v>103838.39909078597</v>
      </c>
    </row>
    <row r="26" spans="2:12" x14ac:dyDescent="0.25">
      <c r="B26" s="19" t="s">
        <v>248</v>
      </c>
      <c r="C26" s="21">
        <f>C25/Income_Statement!C5</f>
        <v>0.71765332405907989</v>
      </c>
      <c r="D26" s="21">
        <f>D25/Income_Statement!D5</f>
        <v>0.75120185696526987</v>
      </c>
      <c r="E26" s="21">
        <f>E25/Income_Statement!E5</f>
        <v>0.74831527919085528</v>
      </c>
      <c r="F26" s="21">
        <f>F25/Income_Statement!F5</f>
        <v>0.68924628437884949</v>
      </c>
      <c r="G26" s="21">
        <f>G25/Income_Statement!G5</f>
        <v>0.68467589487163849</v>
      </c>
      <c r="H26" s="30">
        <f>H25/Income_Statement!H5</f>
        <v>0.5670884001903026</v>
      </c>
      <c r="I26" s="30">
        <f>I25/Income_Statement!I5</f>
        <v>0.5670884001903026</v>
      </c>
      <c r="J26" s="30">
        <f>J25/Income_Statement!J5</f>
        <v>0.5670884001903026</v>
      </c>
      <c r="K26" s="30">
        <f>K25/Income_Statement!K5</f>
        <v>0.5670884001903026</v>
      </c>
      <c r="L26" s="30">
        <f>L25/Income_Statement!L5</f>
        <v>0.56708840019030271</v>
      </c>
    </row>
    <row r="27" spans="2:12" ht="18.75" x14ac:dyDescent="0.25">
      <c r="B27" s="9" t="s">
        <v>109</v>
      </c>
      <c r="C27" s="7">
        <f xml:space="preserve"> C15-C25-C11</f>
        <v>24923.0273554249</v>
      </c>
      <c r="D27" s="7">
        <f t="shared" ref="D27:L27" si="18" xml:space="preserve"> D15-D25-D11</f>
        <v>22617.044201933968</v>
      </c>
      <c r="E27" s="7">
        <f t="shared" si="18"/>
        <v>21028.030043689025</v>
      </c>
      <c r="F27" s="7">
        <f t="shared" si="18"/>
        <v>26994.039383857336</v>
      </c>
      <c r="G27" s="7">
        <f t="shared" si="18"/>
        <v>41369.019818281609</v>
      </c>
      <c r="H27" s="29">
        <f t="shared" si="18"/>
        <v>50482.723975342204</v>
      </c>
      <c r="I27" s="29">
        <f t="shared" si="18"/>
        <v>57662.819557067116</v>
      </c>
      <c r="J27" s="29">
        <f t="shared" si="18"/>
        <v>67654.091528549703</v>
      </c>
      <c r="K27" s="29">
        <f t="shared" si="18"/>
        <v>75819.756638594277</v>
      </c>
      <c r="L27" s="29">
        <f t="shared" si="18"/>
        <v>79270.597975381927</v>
      </c>
    </row>
    <row r="28" spans="2:12" x14ac:dyDescent="0.25">
      <c r="B28" s="19" t="s">
        <v>249</v>
      </c>
      <c r="C28" s="21">
        <f>C27/Income_Statement!C5</f>
        <v>0.27087008461406681</v>
      </c>
      <c r="D28" s="21">
        <f>D27/Income_Statement!D5</f>
        <v>0.24880963027836842</v>
      </c>
      <c r="E28" s="21">
        <f>E27/Income_Statement!E5</f>
        <v>0.25169705001722453</v>
      </c>
      <c r="F28" s="21">
        <f>F27/Income_Statement!F5</f>
        <v>0.31076568140471011</v>
      </c>
      <c r="G28" s="21">
        <f>G27/Income_Statement!G5</f>
        <v>0.3153318786075493</v>
      </c>
      <c r="H28" s="30">
        <f>H27/Income_Statement!H5</f>
        <v>0.43292050853100111</v>
      </c>
      <c r="I28" s="30">
        <f>I27/Income_Statement!I5</f>
        <v>0.43291939920919936</v>
      </c>
      <c r="J28" s="30">
        <f>J27/Income_Statement!J5</f>
        <v>0.43291824736285173</v>
      </c>
      <c r="K28" s="30">
        <f>K27/Income_Statement!K5</f>
        <v>0.43291753142232375</v>
      </c>
      <c r="L28" s="30">
        <f>L27/Income_Statement!L5</f>
        <v>0.43291727320145956</v>
      </c>
    </row>
    <row r="29" spans="2:12" ht="18.75" x14ac:dyDescent="0.25">
      <c r="B29" s="9" t="s">
        <v>110</v>
      </c>
      <c r="C29" s="7">
        <f xml:space="preserve"> C27+C11</f>
        <v>28497.0273554249</v>
      </c>
      <c r="D29" s="7">
        <f t="shared" ref="D29:L29" si="19" xml:space="preserve"> D27+D11</f>
        <v>26635.044201933968</v>
      </c>
      <c r="E29" s="7">
        <f t="shared" si="19"/>
        <v>23538.030043689025</v>
      </c>
      <c r="F29" s="7">
        <f t="shared" si="19"/>
        <v>30415.039383857336</v>
      </c>
      <c r="G29" s="7">
        <f t="shared" si="19"/>
        <v>43969.019818281609</v>
      </c>
      <c r="H29" s="29">
        <f t="shared" si="19"/>
        <v>55012.215154815698</v>
      </c>
      <c r="I29" s="29">
        <f t="shared" si="19"/>
        <v>62836.547939004377</v>
      </c>
      <c r="J29" s="29">
        <f t="shared" si="19"/>
        <v>73724.291138578366</v>
      </c>
      <c r="K29" s="29">
        <f t="shared" si="19"/>
        <v>82622.624106156843</v>
      </c>
      <c r="L29" s="29">
        <f t="shared" si="19"/>
        <v>86383.093684470543</v>
      </c>
    </row>
    <row r="30" spans="2:12" x14ac:dyDescent="0.25">
      <c r="B30" s="19" t="s">
        <v>250</v>
      </c>
      <c r="C30" s="21">
        <f>C29/Income_Statement!C5</f>
        <v>0.30971326640754798</v>
      </c>
      <c r="D30" s="21">
        <f>D29/Income_Statement!D5</f>
        <v>0.29301156425049196</v>
      </c>
      <c r="E30" s="21">
        <f>E29/Income_Statement!E5</f>
        <v>0.28174073904708868</v>
      </c>
      <c r="F30" s="21">
        <f>F29/Income_Statement!F5</f>
        <v>0.35014953874327776</v>
      </c>
      <c r="G30" s="21">
        <f>G29/Income_Statement!G5</f>
        <v>0.33515016021008603</v>
      </c>
      <c r="H30" s="30">
        <f>H29/Income_Statement!H5</f>
        <v>0.47176369032448234</v>
      </c>
      <c r="I30" s="30">
        <f>I29/Income_Statement!I5</f>
        <v>0.47176258100268054</v>
      </c>
      <c r="J30" s="30">
        <f>J29/Income_Statement!J5</f>
        <v>0.47176142915633296</v>
      </c>
      <c r="K30" s="30">
        <f>K29/Income_Statement!K5</f>
        <v>0.47176071321580498</v>
      </c>
      <c r="L30" s="30">
        <f>L29/Income_Statement!L5</f>
        <v>0.47176045499494079</v>
      </c>
    </row>
    <row r="31" spans="2:12" ht="18.75" x14ac:dyDescent="0.25">
      <c r="B31" s="8" t="s">
        <v>68</v>
      </c>
      <c r="C31" s="5">
        <v>6283</v>
      </c>
      <c r="D31" s="5">
        <v>8192</v>
      </c>
      <c r="E31" s="5">
        <v>9093</v>
      </c>
      <c r="F31" s="5">
        <v>7638</v>
      </c>
      <c r="G31" s="5">
        <v>8895</v>
      </c>
      <c r="H31" s="28">
        <f>Balance_Sheet!H40*H62</f>
        <v>9121.559942300597</v>
      </c>
      <c r="I31" s="28">
        <f>Balance_Sheet!I40*I62</f>
        <v>9385.0094054501333</v>
      </c>
      <c r="J31" s="28">
        <f>Balance_Sheet!J40*J62</f>
        <v>10080.606418723233</v>
      </c>
      <c r="K31" s="28">
        <f>Balance_Sheet!K40*K62</f>
        <v>10496.235957910745</v>
      </c>
      <c r="L31" s="28">
        <f>Balance_Sheet!L40*L62</f>
        <v>10688.829645193393</v>
      </c>
    </row>
    <row r="32" spans="2:12" x14ac:dyDescent="0.25">
      <c r="B32" s="17" t="s">
        <v>251</v>
      </c>
      <c r="C32" s="18">
        <f>C31/Income_Statement!C5</f>
        <v>6.82853137124909E-2</v>
      </c>
      <c r="D32" s="18">
        <f>D31/Income_Statement!D5</f>
        <v>9.012002068184069E-2</v>
      </c>
      <c r="E32" s="18">
        <f>E31/Income_Statement!E5</f>
        <v>0.10883954754922497</v>
      </c>
      <c r="F32" s="18">
        <f>F31/Income_Statement!F5</f>
        <v>8.793157040396947E-2</v>
      </c>
      <c r="G32" s="18">
        <f>G31/Income_Statement!G5</f>
        <v>6.7801390328678574E-2</v>
      </c>
      <c r="H32" s="25">
        <f>H31/Income_Statement!H5</f>
        <v>7.8223004977813607E-2</v>
      </c>
      <c r="I32" s="25">
        <f>I31/Income_Statement!I5</f>
        <v>7.0460526637258478E-2</v>
      </c>
      <c r="J32" s="25">
        <f>J31/Income_Statement!J5</f>
        <v>6.4505758107870764E-2</v>
      </c>
      <c r="K32" s="25">
        <f>K31/Income_Statement!K5</f>
        <v>5.9931669021104847E-2</v>
      </c>
      <c r="L32" s="25">
        <f>L31/Income_Statement!L5</f>
        <v>5.8374467985584204E-2</v>
      </c>
    </row>
    <row r="33" spans="2:12" ht="18.75" x14ac:dyDescent="0.25">
      <c r="B33" s="9" t="s">
        <v>111</v>
      </c>
      <c r="C33" s="7">
        <f xml:space="preserve"> C29-C31</f>
        <v>22214.0273554249</v>
      </c>
      <c r="D33" s="7">
        <f t="shared" ref="D33:L33" si="20" xml:space="preserve"> D29-D31</f>
        <v>18443.044201933968</v>
      </c>
      <c r="E33" s="7">
        <f t="shared" si="20"/>
        <v>14445.030043689025</v>
      </c>
      <c r="F33" s="7">
        <f t="shared" si="20"/>
        <v>22777.039383857336</v>
      </c>
      <c r="G33" s="7">
        <f t="shared" si="20"/>
        <v>35074.019818281609</v>
      </c>
      <c r="H33" s="29">
        <f t="shared" si="20"/>
        <v>45890.655212515099</v>
      </c>
      <c r="I33" s="29">
        <f t="shared" si="20"/>
        <v>53451.538533554245</v>
      </c>
      <c r="J33" s="29">
        <f t="shared" si="20"/>
        <v>63643.684719855133</v>
      </c>
      <c r="K33" s="29">
        <f t="shared" si="20"/>
        <v>72126.3881482461</v>
      </c>
      <c r="L33" s="29">
        <f t="shared" si="20"/>
        <v>75694.264039277157</v>
      </c>
    </row>
    <row r="34" spans="2:12" x14ac:dyDescent="0.25">
      <c r="B34" s="19" t="s">
        <v>252</v>
      </c>
      <c r="C34" s="21">
        <f>C33/Income_Statement!C5</f>
        <v>0.2414279526950571</v>
      </c>
      <c r="D34" s="21">
        <f>D33/Income_Statement!D5</f>
        <v>0.20289154356865124</v>
      </c>
      <c r="E34" s="21">
        <f>E33/Income_Statement!E5</f>
        <v>0.17290119149786373</v>
      </c>
      <c r="F34" s="21">
        <f>F33/Income_Statement!F5</f>
        <v>0.26221796833930827</v>
      </c>
      <c r="G34" s="21">
        <f>G33/Income_Statement!G5</f>
        <v>0.26734876988140749</v>
      </c>
      <c r="H34" s="30">
        <f>H33/Income_Statement!H5</f>
        <v>0.39354068534666869</v>
      </c>
      <c r="I34" s="30">
        <f>I33/Income_Statement!I5</f>
        <v>0.4013020543654221</v>
      </c>
      <c r="J34" s="30">
        <f>J33/Income_Statement!J5</f>
        <v>0.40725567104846216</v>
      </c>
      <c r="K34" s="30">
        <f>K33/Income_Statement!K5</f>
        <v>0.41182904419470012</v>
      </c>
      <c r="L34" s="30">
        <f>L33/Income_Statement!L5</f>
        <v>0.41338598700935664</v>
      </c>
    </row>
    <row r="35" spans="2:12" ht="18.75" x14ac:dyDescent="0.25">
      <c r="B35" s="8" t="s">
        <v>67</v>
      </c>
      <c r="C35" s="5">
        <v>5783</v>
      </c>
      <c r="D35" s="5">
        <v>5689</v>
      </c>
      <c r="E35" s="5">
        <v>4977</v>
      </c>
      <c r="F35" s="5">
        <v>5210</v>
      </c>
      <c r="G35" s="5">
        <v>4797</v>
      </c>
      <c r="H35" s="28">
        <f>Balance_Sheet!H21*H63</f>
        <v>4685.3128621576534</v>
      </c>
      <c r="I35" s="28">
        <f>Balance_Sheet!I21*I63</f>
        <v>4820.6348783539543</v>
      </c>
      <c r="J35" s="28">
        <f>Balance_Sheet!J21*J63</f>
        <v>5177.9298500278046</v>
      </c>
      <c r="K35" s="28">
        <f>Balance_Sheet!K21*K63</f>
        <v>5391.4190245725013</v>
      </c>
      <c r="L35" s="28">
        <f>Balance_Sheet!L21*L63</f>
        <v>5490.3450620394824</v>
      </c>
    </row>
    <row r="36" spans="2:12" x14ac:dyDescent="0.25">
      <c r="B36" s="17" t="s">
        <v>253</v>
      </c>
      <c r="C36" s="18">
        <f>C35/Income_Statement!C5</f>
        <v>6.2851180837073833E-2</v>
      </c>
      <c r="D36" s="18">
        <f>D35/Income_Statement!D5</f>
        <v>6.2584570026732372E-2</v>
      </c>
      <c r="E36" s="18">
        <f>E35/Income_Statement!E5</f>
        <v>5.9572685379136993E-2</v>
      </c>
      <c r="F36" s="18">
        <f>F35/Income_Statement!F5</f>
        <v>5.9979507960811855E-2</v>
      </c>
      <c r="G36" s="18">
        <f>G35/Income_Statement!G5</f>
        <v>3.6564729556680282E-2</v>
      </c>
      <c r="H36" s="25">
        <f>H35/Income_Statement!H5</f>
        <v>4.0179448872506726E-2</v>
      </c>
      <c r="I36" s="25">
        <f>I35/Income_Statement!I5</f>
        <v>3.6192235679327459E-2</v>
      </c>
      <c r="J36" s="25">
        <f>J35/Income_Statement!J5</f>
        <v>3.3133551349157908E-2</v>
      </c>
      <c r="K36" s="25">
        <f>K35/Income_Statement!K5</f>
        <v>3.0784058383447666E-2</v>
      </c>
      <c r="L36" s="25">
        <f>L35/Income_Statement!L5</f>
        <v>2.9984196838421535E-2</v>
      </c>
    </row>
    <row r="37" spans="2:12" ht="18.75" x14ac:dyDescent="0.25">
      <c r="B37" s="9" t="s">
        <v>112</v>
      </c>
      <c r="C37" s="7">
        <f xml:space="preserve"> C33-C35</f>
        <v>16431.0273554249</v>
      </c>
      <c r="D37" s="7">
        <f t="shared" ref="D37:L37" si="21" xml:space="preserve"> D33-D35</f>
        <v>12754.044201933968</v>
      </c>
      <c r="E37" s="7">
        <f t="shared" si="21"/>
        <v>9468.0300436890248</v>
      </c>
      <c r="F37" s="7">
        <f t="shared" si="21"/>
        <v>17567.039383857336</v>
      </c>
      <c r="G37" s="7">
        <f t="shared" si="21"/>
        <v>30277.019818281609</v>
      </c>
      <c r="H37" s="29">
        <f t="shared" si="21"/>
        <v>41205.342350357445</v>
      </c>
      <c r="I37" s="29">
        <f t="shared" si="21"/>
        <v>48630.903655200294</v>
      </c>
      <c r="J37" s="29">
        <f t="shared" si="21"/>
        <v>58465.754869827331</v>
      </c>
      <c r="K37" s="29">
        <f t="shared" si="21"/>
        <v>66734.969123673596</v>
      </c>
      <c r="L37" s="29">
        <f t="shared" si="21"/>
        <v>70203.91897723767</v>
      </c>
    </row>
    <row r="38" spans="2:12" x14ac:dyDescent="0.25">
      <c r="B38" s="19" t="s">
        <v>254</v>
      </c>
      <c r="C38" s="21">
        <f>C37/Income_Statement!C5</f>
        <v>0.17857677185798329</v>
      </c>
      <c r="D38" s="21">
        <f>D37/Income_Statement!D5</f>
        <v>0.14030697354191887</v>
      </c>
      <c r="E38" s="21">
        <f>E37/Income_Statement!E5</f>
        <v>0.11332850611872673</v>
      </c>
      <c r="F38" s="21">
        <f>F37/Income_Statement!F5</f>
        <v>0.20223846037849644</v>
      </c>
      <c r="G38" s="21">
        <f>G37/Income_Statement!G5</f>
        <v>0.23078404032472719</v>
      </c>
      <c r="H38" s="30">
        <f>H37/Income_Statement!H5</f>
        <v>0.35336123647416195</v>
      </c>
      <c r="I38" s="30">
        <f>I37/Income_Statement!I5</f>
        <v>0.36510981868609466</v>
      </c>
      <c r="J38" s="30">
        <f>J37/Income_Statement!J5</f>
        <v>0.37412211969930431</v>
      </c>
      <c r="K38" s="30">
        <f>K37/Income_Statement!K5</f>
        <v>0.38104498581125246</v>
      </c>
      <c r="L38" s="30">
        <f>L37/Income_Statement!L5</f>
        <v>0.38340179017093512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16431.0273554249</v>
      </c>
      <c r="D41" s="7">
        <f t="shared" ref="D41:L41" si="24" xml:space="preserve"> D37+D39</f>
        <v>12754.044201933968</v>
      </c>
      <c r="E41" s="7">
        <f t="shared" si="24"/>
        <v>9468.0300436890248</v>
      </c>
      <c r="F41" s="7">
        <f t="shared" si="24"/>
        <v>17567.039383857336</v>
      </c>
      <c r="G41" s="7">
        <f t="shared" si="24"/>
        <v>30277.019818281609</v>
      </c>
      <c r="H41" s="29">
        <f t="shared" si="24"/>
        <v>41205.342350357445</v>
      </c>
      <c r="I41" s="29">
        <f t="shared" si="24"/>
        <v>48630.903655200294</v>
      </c>
      <c r="J41" s="29">
        <f t="shared" si="24"/>
        <v>58465.754869827331</v>
      </c>
      <c r="K41" s="29">
        <f t="shared" si="24"/>
        <v>66734.969123673596</v>
      </c>
      <c r="L41" s="29">
        <f t="shared" si="24"/>
        <v>70203.91897723767</v>
      </c>
    </row>
    <row r="42" spans="2:12" x14ac:dyDescent="0.25">
      <c r="B42" s="19" t="s">
        <v>256</v>
      </c>
      <c r="C42" s="21">
        <f>C41/Income_Statement!C5</f>
        <v>0.17857677185798329</v>
      </c>
      <c r="D42" s="21">
        <f>D41/Income_Statement!D5</f>
        <v>0.14030697354191887</v>
      </c>
      <c r="E42" s="21">
        <f>E41/Income_Statement!E5</f>
        <v>0.11332850611872673</v>
      </c>
      <c r="F42" s="21">
        <f>F41/Income_Statement!F5</f>
        <v>0.20223846037849644</v>
      </c>
      <c r="G42" s="21">
        <f>G41/Income_Statement!G5</f>
        <v>0.23078404032472719</v>
      </c>
      <c r="H42" s="30">
        <f>H41/Income_Statement!H5</f>
        <v>0.35336123647416195</v>
      </c>
      <c r="I42" s="30">
        <f>I41/Income_Statement!I5</f>
        <v>0.36510981868609466</v>
      </c>
      <c r="J42" s="30">
        <f>J41/Income_Statement!J5</f>
        <v>0.37412211969930431</v>
      </c>
      <c r="K42" s="30">
        <f>K41/Income_Statement!K5</f>
        <v>0.38104498581125246</v>
      </c>
      <c r="L42" s="30">
        <f>L41/Income_Statement!L5</f>
        <v>0.38340179017093512</v>
      </c>
    </row>
    <row r="43" spans="2:12" ht="18.75" x14ac:dyDescent="0.25">
      <c r="B43" s="8" t="s">
        <v>72</v>
      </c>
      <c r="C43" s="4">
        <v>2897</v>
      </c>
      <c r="D43" s="4">
        <v>320</v>
      </c>
      <c r="E43" s="5">
        <v>-17386</v>
      </c>
      <c r="F43" s="4">
        <v>-678</v>
      </c>
      <c r="G43" s="5">
        <v>-768</v>
      </c>
      <c r="H43" s="28">
        <f>H5*H44</f>
        <v>-682.63490003903837</v>
      </c>
      <c r="I43" s="28">
        <f t="shared" ref="I43:L43" si="25">I5*I44</f>
        <v>-779.72721811181611</v>
      </c>
      <c r="J43" s="28">
        <f t="shared" si="25"/>
        <v>-914.83346358797587</v>
      </c>
      <c r="K43" s="28">
        <f t="shared" si="25"/>
        <v>-1025.2530736218807</v>
      </c>
      <c r="L43" s="28">
        <f t="shared" si="25"/>
        <v>-1071.9168235506231</v>
      </c>
    </row>
    <row r="44" spans="2:12" x14ac:dyDescent="0.25">
      <c r="B44" s="17" t="s">
        <v>257</v>
      </c>
      <c r="C44" s="18">
        <f>C43/Income_Statement!C5</f>
        <v>3.1485365880166503E-2</v>
      </c>
      <c r="D44" s="18">
        <f>D43/Income_Statement!D5</f>
        <v>3.5203133078844017E-3</v>
      </c>
      <c r="E44" s="18">
        <f>E43/Income_Statement!E5</f>
        <v>-0.20810341732000717</v>
      </c>
      <c r="F44" s="18">
        <f>F43/Income_Statement!F5</f>
        <v>-7.8053947020020028E-3</v>
      </c>
      <c r="G44" s="18">
        <f>G43/Income_Statement!G5</f>
        <v>-5.8540154887493142E-3</v>
      </c>
      <c r="H44" s="25">
        <f>G44</f>
        <v>-5.8540154887493142E-3</v>
      </c>
      <c r="I44" s="25">
        <f t="shared" ref="I44:L44" si="26">H44</f>
        <v>-5.8540154887493142E-3</v>
      </c>
      <c r="J44" s="25">
        <f t="shared" si="26"/>
        <v>-5.8540154887493142E-3</v>
      </c>
      <c r="K44" s="25">
        <f t="shared" si="26"/>
        <v>-5.8540154887493142E-3</v>
      </c>
      <c r="L44" s="25">
        <f t="shared" si="26"/>
        <v>-5.8540154887493142E-3</v>
      </c>
    </row>
    <row r="45" spans="2:12" ht="18.75" x14ac:dyDescent="0.25">
      <c r="B45" s="9" t="s">
        <v>115</v>
      </c>
      <c r="C45" s="7">
        <f xml:space="preserve"> C41+C43</f>
        <v>19328.0273554249</v>
      </c>
      <c r="D45" s="7">
        <f t="shared" ref="D45:L45" si="27" xml:space="preserve"> D41+D43</f>
        <v>13074.044201933968</v>
      </c>
      <c r="E45" s="7">
        <f t="shared" si="27"/>
        <v>-7917.9699563109752</v>
      </c>
      <c r="F45" s="7">
        <f t="shared" si="27"/>
        <v>16889.039383857336</v>
      </c>
      <c r="G45" s="7">
        <f t="shared" si="27"/>
        <v>29509.019818281609</v>
      </c>
      <c r="H45" s="29">
        <f t="shared" si="27"/>
        <v>40522.707450318405</v>
      </c>
      <c r="I45" s="29">
        <f t="shared" si="27"/>
        <v>47851.176437088478</v>
      </c>
      <c r="J45" s="29">
        <f t="shared" si="27"/>
        <v>57550.921406239358</v>
      </c>
      <c r="K45" s="29">
        <f t="shared" si="27"/>
        <v>65709.71605005172</v>
      </c>
      <c r="L45" s="29">
        <f t="shared" si="27"/>
        <v>69132.002153687048</v>
      </c>
    </row>
    <row r="46" spans="2:12" x14ac:dyDescent="0.25">
      <c r="B46" s="19" t="s">
        <v>258</v>
      </c>
      <c r="C46" s="21">
        <f>C45/Income_Statement!C5</f>
        <v>0.21006213773814977</v>
      </c>
      <c r="D46" s="21">
        <f>D45/Income_Statement!D5</f>
        <v>0.14382728684980328</v>
      </c>
      <c r="E46" s="21">
        <f>E45/Income_Statement!E5</f>
        <v>-9.4774911201280454E-2</v>
      </c>
      <c r="F46" s="21">
        <f>F45/Income_Statement!F5</f>
        <v>0.19443306567649443</v>
      </c>
      <c r="G46" s="21">
        <f>G45/Income_Statement!G5</f>
        <v>0.22493002483597788</v>
      </c>
      <c r="H46" s="30">
        <f>H45/Income_Statement!H5</f>
        <v>0.34750722098541265</v>
      </c>
      <c r="I46" s="30">
        <f>I45/Income_Statement!I5</f>
        <v>0.35925580319734535</v>
      </c>
      <c r="J46" s="30">
        <f>J45/Income_Statement!J5</f>
        <v>0.368268104210555</v>
      </c>
      <c r="K46" s="30">
        <f>K45/Income_Statement!K5</f>
        <v>0.37519097032250315</v>
      </c>
      <c r="L46" s="30">
        <f>L45/Income_Statement!L5</f>
        <v>0.37754777468218581</v>
      </c>
    </row>
    <row r="47" spans="2:12" ht="18.75" x14ac:dyDescent="0.25">
      <c r="B47" s="8" t="s">
        <v>79</v>
      </c>
      <c r="C47" s="5">
        <v>5877</v>
      </c>
      <c r="D47" s="5">
        <v>3862</v>
      </c>
      <c r="E47" s="5">
        <v>-3516</v>
      </c>
      <c r="F47" s="5">
        <v>2180</v>
      </c>
      <c r="G47" s="5">
        <v>9255</v>
      </c>
      <c r="H47" s="28">
        <f>H45*H64</f>
        <v>12709.25499261589</v>
      </c>
      <c r="I47" s="28">
        <f t="shared" ref="I47:L47" si="28">I45*I64</f>
        <v>15007.704107165526</v>
      </c>
      <c r="J47" s="28">
        <f t="shared" si="28"/>
        <v>18049.863428020901</v>
      </c>
      <c r="K47" s="28">
        <f t="shared" si="28"/>
        <v>20608.730001477983</v>
      </c>
      <c r="L47" s="28">
        <f t="shared" si="28"/>
        <v>21682.07157921221</v>
      </c>
    </row>
    <row r="48" spans="2:12" x14ac:dyDescent="0.25">
      <c r="B48" s="17" t="s">
        <v>259</v>
      </c>
      <c r="C48" s="18">
        <f>C47/Income_Statement!C5</f>
        <v>6.3872797817652233E-2</v>
      </c>
      <c r="D48" s="18">
        <f>D47/Income_Statement!D5</f>
        <v>4.2485781234529875E-2</v>
      </c>
      <c r="E48" s="18">
        <f>E47/Income_Statement!E5</f>
        <v>-4.208510383625591E-2</v>
      </c>
      <c r="F48" s="18">
        <f>F47/Income_Statement!F5</f>
        <v>2.5096991814696705E-2</v>
      </c>
      <c r="G48" s="18">
        <f>G47/Income_Statement!G5</f>
        <v>7.0545460089029816E-2</v>
      </c>
      <c r="H48" s="25">
        <f>H47/Income_Statement!H5</f>
        <v>0.10898970382701381</v>
      </c>
      <c r="I48" s="25">
        <f>I47/Income_Statement!I5</f>
        <v>0.11267444595132098</v>
      </c>
      <c r="J48" s="25">
        <f>J47/Income_Statement!J5</f>
        <v>0.11550100021814828</v>
      </c>
      <c r="K48" s="25">
        <f>K47/Income_Statement!K5</f>
        <v>0.11767223891942112</v>
      </c>
      <c r="L48" s="25">
        <f>L47/Income_Statement!L5</f>
        <v>0.11841141034846836</v>
      </c>
    </row>
    <row r="49" spans="2:12" ht="18.75" x14ac:dyDescent="0.25">
      <c r="B49" s="9" t="s">
        <v>116</v>
      </c>
      <c r="C49" s="7">
        <f xml:space="preserve"> C45-C47</f>
        <v>13451.0273554249</v>
      </c>
      <c r="D49" s="7">
        <f t="shared" ref="D49:L49" si="29" xml:space="preserve"> D45-D47</f>
        <v>9212.044201933968</v>
      </c>
      <c r="E49" s="7">
        <f t="shared" si="29"/>
        <v>-4401.9699563109752</v>
      </c>
      <c r="F49" s="7">
        <f t="shared" si="29"/>
        <v>14709.039383857336</v>
      </c>
      <c r="G49" s="7">
        <f t="shared" si="29"/>
        <v>20254.019818281609</v>
      </c>
      <c r="H49" s="29">
        <f t="shared" si="29"/>
        <v>27813.452457702515</v>
      </c>
      <c r="I49" s="29">
        <f t="shared" si="29"/>
        <v>32843.472329922952</v>
      </c>
      <c r="J49" s="29">
        <f t="shared" si="29"/>
        <v>39501.057978218458</v>
      </c>
      <c r="K49" s="29">
        <f t="shared" si="29"/>
        <v>45100.986048573737</v>
      </c>
      <c r="L49" s="29">
        <f t="shared" si="29"/>
        <v>47449.930574474842</v>
      </c>
    </row>
    <row r="50" spans="2:12" x14ac:dyDescent="0.25">
      <c r="B50" s="19" t="s">
        <v>260</v>
      </c>
      <c r="C50" s="21">
        <f>C49/Income_Statement!C5</f>
        <v>0.14618933992049754</v>
      </c>
      <c r="D50" s="21">
        <f>D49/Income_Statement!D5</f>
        <v>0.10134150561527341</v>
      </c>
      <c r="E50" s="21">
        <f>E49/Income_Statement!E5</f>
        <v>-5.2689807365024544E-2</v>
      </c>
      <c r="F50" s="21">
        <f>F49/Income_Statement!F5</f>
        <v>0.16933607386179772</v>
      </c>
      <c r="G50" s="21">
        <f>G49/Income_Statement!G5</f>
        <v>0.15438456474694806</v>
      </c>
      <c r="H50" s="30">
        <f>H49/Income_Statement!H5</f>
        <v>0.23851751715839881</v>
      </c>
      <c r="I50" s="30">
        <f>I49/Income_Statement!I5</f>
        <v>0.24658135724602437</v>
      </c>
      <c r="J50" s="30">
        <f>J49/Income_Statement!J5</f>
        <v>0.25276710399240671</v>
      </c>
      <c r="K50" s="30">
        <f>K49/Income_Statement!K5</f>
        <v>0.25751873140308201</v>
      </c>
      <c r="L50" s="30">
        <f>L49/Income_Statement!L5</f>
        <v>0.25913636433371745</v>
      </c>
    </row>
    <row r="51" spans="2:12" ht="18.75" x14ac:dyDescent="0.25">
      <c r="B51" s="8" t="s">
        <v>88</v>
      </c>
      <c r="C51" s="4">
        <v>9462</v>
      </c>
      <c r="D51" s="5">
        <v>8411</v>
      </c>
      <c r="E51" s="5">
        <v>1696</v>
      </c>
      <c r="F51" s="5">
        <v>3519</v>
      </c>
      <c r="G51" s="5">
        <v>0</v>
      </c>
      <c r="H51" s="28">
        <f>H5*H52</f>
        <v>0</v>
      </c>
      <c r="I51" s="28">
        <f t="shared" ref="I51:L51" si="30">I5*I52</f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</row>
    <row r="52" spans="2:12" x14ac:dyDescent="0.25">
      <c r="B52" s="17" t="s">
        <v>261</v>
      </c>
      <c r="C52" s="18">
        <f>C51/Income_Statement!C5</f>
        <v>0.10283553053439262</v>
      </c>
      <c r="D52" s="18">
        <f>D51/Income_Statement!D5</f>
        <v>9.2529235101924068E-2</v>
      </c>
      <c r="E52" s="18">
        <f>E51/Income_Statement!E5</f>
        <v>2.0300436890298642E-2</v>
      </c>
      <c r="F52" s="18">
        <f>F51/Income_Statement!F5</f>
        <v>4.0512070732072344E-2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0</v>
      </c>
      <c r="E54" s="18">
        <f>E53/Income_Statement!E5</f>
        <v>0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3989.0273554248997</v>
      </c>
      <c r="D55" s="7">
        <f t="shared" ref="D55:L55" si="34" xml:space="preserve"> D49-D51-D53</f>
        <v>801.044201933968</v>
      </c>
      <c r="E55" s="7">
        <f t="shared" si="34"/>
        <v>-6097.9699563109752</v>
      </c>
      <c r="F55" s="7">
        <f t="shared" si="34"/>
        <v>11190.039383857336</v>
      </c>
      <c r="G55" s="7">
        <f t="shared" si="34"/>
        <v>20254.019818281609</v>
      </c>
      <c r="H55" s="29">
        <f t="shared" si="34"/>
        <v>27813.452457702515</v>
      </c>
      <c r="I55" s="29">
        <f t="shared" si="34"/>
        <v>32843.472329922952</v>
      </c>
      <c r="J55" s="29">
        <f t="shared" si="34"/>
        <v>39501.057978218458</v>
      </c>
      <c r="K55" s="29">
        <f t="shared" si="34"/>
        <v>45100.986048573737</v>
      </c>
      <c r="L55" s="29">
        <f t="shared" si="34"/>
        <v>47449.930574474842</v>
      </c>
    </row>
    <row r="56" spans="2:12" x14ac:dyDescent="0.25">
      <c r="B56" s="19" t="s">
        <v>263</v>
      </c>
      <c r="C56" s="21">
        <f>C55/Income_Statement!C5</f>
        <v>4.3353809386104919E-2</v>
      </c>
      <c r="D56" s="21">
        <f>D55/Income_Statement!D5</f>
        <v>8.8122705133493358E-3</v>
      </c>
      <c r="E56" s="21">
        <f>E55/Income_Statement!E5</f>
        <v>-7.2990244255323189E-2</v>
      </c>
      <c r="F56" s="21">
        <f>F55/Income_Statement!F5</f>
        <v>0.12882400312972539</v>
      </c>
      <c r="G56" s="21">
        <f>G55/Income_Statement!G5</f>
        <v>0.15438456474694806</v>
      </c>
      <c r="H56" s="30">
        <f>H55/Income_Statement!H5</f>
        <v>0.23851751715839881</v>
      </c>
      <c r="I56" s="30">
        <f>I55/Income_Statement!I5</f>
        <v>0.24658135724602437</v>
      </c>
      <c r="J56" s="30">
        <f>J55/Income_Statement!J5</f>
        <v>0.25276710399240671</v>
      </c>
      <c r="K56" s="30">
        <f>K55/Income_Statement!K5</f>
        <v>0.25751873140308201</v>
      </c>
      <c r="L56" s="30">
        <f>L55/Income_Statement!L5</f>
        <v>0.25913636433371745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28</v>
      </c>
      <c r="D60" s="4">
        <v>19</v>
      </c>
      <c r="E60" s="4">
        <v>-18</v>
      </c>
      <c r="F60" s="4">
        <v>31</v>
      </c>
      <c r="G60" s="4">
        <v>51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480.39383412231786</v>
      </c>
      <c r="D61" s="4">
        <f t="shared" ref="D61:G61" si="35">D49/D60</f>
        <v>484.84443168073517</v>
      </c>
      <c r="E61" s="4">
        <f t="shared" si="35"/>
        <v>244.55388646172085</v>
      </c>
      <c r="F61" s="4">
        <f t="shared" si="35"/>
        <v>474.48514141475277</v>
      </c>
      <c r="G61" s="4">
        <f t="shared" si="35"/>
        <v>397.13764349571784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7.9200806756586417E-2</v>
      </c>
      <c r="D62" s="23">
        <f>D31/Balance_Sheet!D40</f>
        <v>8.5766633513060769E-2</v>
      </c>
      <c r="E62" s="23">
        <f>E31/Balance_Sheet!E40</f>
        <v>0.10330371952466429</v>
      </c>
      <c r="F62" s="23">
        <f>F31/Balance_Sheet!F40</f>
        <v>8.5408536380816066E-2</v>
      </c>
      <c r="G62" s="23">
        <f>G31/Balance_Sheet!G40</f>
        <v>8.1348026887374816E-2</v>
      </c>
      <c r="H62" s="23">
        <f>MEDIAN(C62:G62)</f>
        <v>8.5408536380816066E-2</v>
      </c>
      <c r="I62" s="23">
        <f t="shared" ref="I62:L62" si="36">H62</f>
        <v>8.5408536380816066E-2</v>
      </c>
      <c r="J62" s="23">
        <f t="shared" si="36"/>
        <v>8.5408536380816066E-2</v>
      </c>
      <c r="K62" s="23">
        <f t="shared" si="36"/>
        <v>8.5408536380816066E-2</v>
      </c>
      <c r="L62" s="23">
        <f t="shared" si="36"/>
        <v>8.5408536380816066E-2</v>
      </c>
    </row>
    <row r="63" spans="2:12" x14ac:dyDescent="0.25">
      <c r="B63" t="s">
        <v>267</v>
      </c>
      <c r="C63" s="23">
        <f>C35/Balance_Sheet!C21</f>
        <v>0.1094891892915294</v>
      </c>
      <c r="D63" s="23">
        <f>D35/Balance_Sheet!D21</f>
        <v>9.148508482753076E-2</v>
      </c>
      <c r="E63" s="23">
        <f>E35/Balance_Sheet!E21</f>
        <v>8.0758746024534298E-2</v>
      </c>
      <c r="F63" s="23">
        <f>F35/Balance_Sheet!F21</f>
        <v>0.10043760723304995</v>
      </c>
      <c r="G63" s="23">
        <f>G35/Balance_Sheet!G21</f>
        <v>8.3362296677325171E-2</v>
      </c>
      <c r="H63" s="23">
        <f>G63</f>
        <v>8.3362296677325171E-2</v>
      </c>
      <c r="I63" s="23">
        <f t="shared" ref="I63:L63" si="37">H63</f>
        <v>8.3362296677325171E-2</v>
      </c>
      <c r="J63" s="23">
        <f t="shared" si="37"/>
        <v>8.3362296677325171E-2</v>
      </c>
      <c r="K63" s="23">
        <f t="shared" si="37"/>
        <v>8.3362296677325171E-2</v>
      </c>
      <c r="L63" s="23">
        <f t="shared" si="37"/>
        <v>8.3362296677325171E-2</v>
      </c>
    </row>
    <row r="64" spans="2:12" x14ac:dyDescent="0.25">
      <c r="B64" t="s">
        <v>268</v>
      </c>
      <c r="C64" s="23">
        <f>C47/Income_Statement!C45</f>
        <v>0.30406620871997425</v>
      </c>
      <c r="D64" s="23">
        <f>D47/Income_Statement!D45</f>
        <v>0.29539444263380388</v>
      </c>
      <c r="E64" s="23">
        <f>E47/Income_Statement!E45</f>
        <v>0.44405321305842937</v>
      </c>
      <c r="F64" s="23">
        <f>F47/Income_Statement!F45</f>
        <v>0.12907779717084794</v>
      </c>
      <c r="G64" s="23">
        <f>G47/Income_Statement!G45</f>
        <v>0.31363291823967276</v>
      </c>
      <c r="H64" s="23">
        <f>G64</f>
        <v>0.31363291823967276</v>
      </c>
      <c r="I64" s="23">
        <f t="shared" ref="I64:L64" si="38">H64</f>
        <v>0.31363291823967276</v>
      </c>
      <c r="J64" s="23">
        <f t="shared" si="38"/>
        <v>0.31363291823967276</v>
      </c>
      <c r="K64" s="23">
        <f t="shared" si="38"/>
        <v>0.31363291823967276</v>
      </c>
      <c r="L64" s="23">
        <f t="shared" si="38"/>
        <v>0.31363291823967276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</v>
      </c>
      <c r="E65" s="23">
        <f>E53/Income_Statement!E51</f>
        <v>0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E4F43A49-11E5-4750-9656-B378702CDFE0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665A-87D4-48FE-89CC-C5B9B5136C9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92011</v>
      </c>
      <c r="D5" s="13">
        <f>Income_Statement!D5</f>
        <v>90901</v>
      </c>
      <c r="E5" s="13">
        <f>Income_Statement!E5</f>
        <v>83545</v>
      </c>
      <c r="F5" s="13">
        <f>Income_Statement!F5</f>
        <v>86863</v>
      </c>
      <c r="G5" s="13">
        <f>Income_Statement!G5</f>
        <v>131192</v>
      </c>
    </row>
    <row r="6" spans="2:15" ht="18.75" x14ac:dyDescent="0.25">
      <c r="B6" s="12" t="str">
        <f>Income_Statement!B15</f>
        <v>Total Income</v>
      </c>
      <c r="C6" s="13">
        <f>Income_Statement!C15</f>
        <v>94529.0273554249</v>
      </c>
      <c r="D6" s="13">
        <f>Income_Statement!D15</f>
        <v>94920.044201933968</v>
      </c>
      <c r="E6" s="13">
        <f>Income_Statement!E15</f>
        <v>86056.030043689025</v>
      </c>
      <c r="F6" s="13">
        <f>Income_Statement!F15</f>
        <v>90285.039383857336</v>
      </c>
      <c r="G6" s="13">
        <f>Income_Statement!G15</f>
        <v>133793.01981828161</v>
      </c>
    </row>
  </sheetData>
  <hyperlinks>
    <hyperlink ref="F1" location="Index_Data!A1" tooltip="Hi click here To return Index page" display="Index_Data!A1" xr:uid="{323270D7-D64D-44CA-9B10-332C80B8B873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42CAF-4C11-40E3-A455-3408BD705F7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184798</v>
      </c>
      <c r="D5" s="13">
        <f>Balance_Sheet!D37</f>
        <v>204053.04420193395</v>
      </c>
      <c r="E5" s="13">
        <f>Balance_Sheet!E37</f>
        <v>187196.07424562299</v>
      </c>
      <c r="F5" s="13">
        <f>Balance_Sheet!F37</f>
        <v>192818.11362948033</v>
      </c>
      <c r="G5" s="13">
        <f>Balance_Sheet!G37</f>
        <v>222872.13344776194</v>
      </c>
    </row>
    <row r="6" spans="2:15" ht="18.75" x14ac:dyDescent="0.25">
      <c r="B6" s="12" t="str">
        <f>Balance_Sheet!B21</f>
        <v>Total Debt</v>
      </c>
      <c r="C6" s="13">
        <f>Balance_Sheet!C21</f>
        <v>52818</v>
      </c>
      <c r="D6" s="13">
        <f>Balance_Sheet!D21</f>
        <v>62185</v>
      </c>
      <c r="E6" s="13">
        <f>Balance_Sheet!E21</f>
        <v>61628</v>
      </c>
      <c r="F6" s="13">
        <f>Balance_Sheet!F21</f>
        <v>51873</v>
      </c>
      <c r="G6" s="13">
        <f>Balance_Sheet!G21</f>
        <v>57544</v>
      </c>
    </row>
  </sheetData>
  <hyperlinks>
    <hyperlink ref="F1" location="Index_Data!A1" tooltip="Hi click here To return Index page" display="Index_Data!A1" xr:uid="{88E9D122-1628-4DD0-BE8A-78D3231B1463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8FD17-9C97-4CEB-84E5-E692FC4EA7D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184798</v>
      </c>
      <c r="D5" s="13">
        <f>Balance_Sheet!D37</f>
        <v>204053.04420193395</v>
      </c>
      <c r="E5" s="13">
        <f>Balance_Sheet!E37</f>
        <v>187196.07424562299</v>
      </c>
      <c r="F5" s="13">
        <f>Balance_Sheet!F37</f>
        <v>192818.11362948033</v>
      </c>
      <c r="G5" s="13">
        <f>Balance_Sheet!G37</f>
        <v>222872.13344776194</v>
      </c>
    </row>
    <row r="6" spans="2:15" ht="18.75" x14ac:dyDescent="0.25">
      <c r="B6" s="12" t="str">
        <f>Balance_Sheet!B33</f>
        <v>Total Current Liabilities</v>
      </c>
      <c r="C6" s="13">
        <f>Balance_Sheet!C33</f>
        <v>52515</v>
      </c>
      <c r="D6" s="13">
        <f>Balance_Sheet!D33</f>
        <v>62332</v>
      </c>
      <c r="E6" s="13">
        <f>Balance_Sheet!E33</f>
        <v>50245</v>
      </c>
      <c r="F6" s="13">
        <f>Balance_Sheet!F33</f>
        <v>56406</v>
      </c>
      <c r="G6" s="13">
        <f>Balance_Sheet!G33</f>
        <v>58352</v>
      </c>
    </row>
  </sheetData>
  <hyperlinks>
    <hyperlink ref="F1" location="Index_Data!A1" tooltip="Hi click here To return Index page" display="Index_Data!A1" xr:uid="{E12D3694-AC20-47EC-85BC-5FB23CCB64E7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7BBC3-FF3D-47D9-8F05-6B67525B510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184798</v>
      </c>
      <c r="D5" s="13">
        <f>Balance_Sheet!D74</f>
        <v>204053.04420193395</v>
      </c>
      <c r="E5" s="13">
        <f>Balance_Sheet!E74</f>
        <v>187196.07424562299</v>
      </c>
      <c r="F5" s="13">
        <f>Balance_Sheet!F74</f>
        <v>192818.11362948033</v>
      </c>
      <c r="G5" s="13">
        <f>Balance_Sheet!G74</f>
        <v>222872.13344776194</v>
      </c>
    </row>
    <row r="6" spans="2:15" ht="18.75" x14ac:dyDescent="0.25">
      <c r="B6" s="12" t="str">
        <f>Balance_Sheet!B54</f>
        <v>Total Non Current Assets</v>
      </c>
      <c r="C6" s="13">
        <f>Balance_Sheet!C54</f>
        <v>141034</v>
      </c>
      <c r="D6" s="13">
        <f>Balance_Sheet!D54</f>
        <v>143506</v>
      </c>
      <c r="E6" s="13">
        <f>Balance_Sheet!E54</f>
        <v>113209</v>
      </c>
      <c r="F6" s="13">
        <f>Balance_Sheet!F54</f>
        <v>96087</v>
      </c>
      <c r="G6" s="13">
        <f>Balance_Sheet!G54</f>
        <v>92818</v>
      </c>
    </row>
  </sheetData>
  <hyperlinks>
    <hyperlink ref="F1" location="Index_Data!A1" tooltip="Hi click here To return Index page" display="Index_Data!A1" xr:uid="{466D8CDC-F344-4DB8-9873-16FD4FB2AB79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B064-BEC4-4914-B9F8-0EA98B0D3EB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184798</v>
      </c>
      <c r="D5" s="13">
        <f>Balance_Sheet!D74</f>
        <v>204053.04420193395</v>
      </c>
      <c r="E5" s="13">
        <f>Balance_Sheet!E74</f>
        <v>187196.07424562299</v>
      </c>
      <c r="F5" s="13">
        <f>Balance_Sheet!F74</f>
        <v>192818.11362948033</v>
      </c>
      <c r="G5" s="13">
        <f>Balance_Sheet!G74</f>
        <v>222872.13344776194</v>
      </c>
    </row>
    <row r="6" spans="2:15" ht="18.75" x14ac:dyDescent="0.25">
      <c r="B6" s="12" t="str">
        <f>Balance_Sheet!B72</f>
        <v>Total Current Assets</v>
      </c>
      <c r="C6" s="13">
        <f>Balance_Sheet!C72</f>
        <v>43764</v>
      </c>
      <c r="D6" s="13">
        <f>Balance_Sheet!D72</f>
        <v>60547.044201933968</v>
      </c>
      <c r="E6" s="13">
        <f>Balance_Sheet!E72</f>
        <v>73987.074245622993</v>
      </c>
      <c r="F6" s="13">
        <f>Balance_Sheet!F72</f>
        <v>96731.113629480329</v>
      </c>
      <c r="G6" s="13">
        <f>Balance_Sheet!G72</f>
        <v>130054.13344776194</v>
      </c>
    </row>
  </sheetData>
  <hyperlinks>
    <hyperlink ref="F1" location="Index_Data!A1" tooltip="Hi click here To return Index page" display="Index_Data!A1" xr:uid="{EF00EE85-BB7B-4B52-AC5D-07DB8E3F0581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E25BC-6D4D-487D-B3C6-421D519529B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66032</v>
      </c>
      <c r="D5" s="13">
        <f>Income_Statement!D25</f>
        <v>68285</v>
      </c>
      <c r="E5" s="13">
        <f>Income_Statement!E25</f>
        <v>62518</v>
      </c>
      <c r="F5" s="13">
        <f>Income_Statement!F25</f>
        <v>59870</v>
      </c>
      <c r="G5" s="13">
        <f>Income_Statement!G25</f>
        <v>89824</v>
      </c>
    </row>
    <row r="6" spans="2:15" ht="18.75" x14ac:dyDescent="0.25">
      <c r="B6" s="12" t="str">
        <f>Income_Statement!B15</f>
        <v>Total Income</v>
      </c>
      <c r="C6" s="13">
        <f>Income_Statement!C15</f>
        <v>94529.0273554249</v>
      </c>
      <c r="D6" s="13">
        <f>Income_Statement!D15</f>
        <v>94920.044201933968</v>
      </c>
      <c r="E6" s="13">
        <f>Income_Statement!E15</f>
        <v>86056.030043689025</v>
      </c>
      <c r="F6" s="13">
        <f>Income_Statement!F15</f>
        <v>90285.039383857336</v>
      </c>
      <c r="G6" s="13">
        <f>Income_Statement!G15</f>
        <v>133793.01981828161</v>
      </c>
    </row>
  </sheetData>
  <hyperlinks>
    <hyperlink ref="F1" location="Index_Data!A1" tooltip="Hi click here To return Index page" display="Index_Data!A1" xr:uid="{67C36BBE-EEDF-48E7-8078-304CA0913246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52818-2C73-4030-BB49-5C4B244DB3A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3989.0273554248997</v>
      </c>
      <c r="D5" s="13">
        <f>Income_Statement!D55</f>
        <v>801.044201933968</v>
      </c>
      <c r="E5" s="13">
        <f>Income_Statement!E55</f>
        <v>-6097.9699563109752</v>
      </c>
      <c r="F5" s="13">
        <f>Income_Statement!F55</f>
        <v>11190.039383857336</v>
      </c>
      <c r="G5" s="13">
        <f>Income_Statement!G55</f>
        <v>20254.019818281609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13451.0273554249</v>
      </c>
      <c r="D6" s="13">
        <f>Income_Statement!D49</f>
        <v>9212.044201933968</v>
      </c>
      <c r="E6" s="13">
        <f>Income_Statement!E49</f>
        <v>-4401.9699563109752</v>
      </c>
      <c r="F6" s="13">
        <f>Income_Statement!F49</f>
        <v>14709.039383857336</v>
      </c>
      <c r="G6" s="13">
        <f>Income_Statement!G49</f>
        <v>20254.019818281609</v>
      </c>
    </row>
  </sheetData>
  <hyperlinks>
    <hyperlink ref="F1" location="Index_Data!A1" tooltip="Hi click here To return Index page" display="Index_Data!A1" xr:uid="{2DFC0BBA-55F5-4451-A76D-3E41B60DE1FE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11D30-F1C9-4B97-BCE7-1ED23327E060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372</v>
      </c>
      <c r="D5" s="4">
        <v>372</v>
      </c>
      <c r="E5" s="4">
        <v>372</v>
      </c>
      <c r="F5" s="4">
        <v>372</v>
      </c>
      <c r="G5" s="4">
        <v>372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372</v>
      </c>
      <c r="D7" s="6">
        <f t="shared" ref="D7:G7" si="0">D5+D6</f>
        <v>372</v>
      </c>
      <c r="E7" s="6">
        <f t="shared" si="0"/>
        <v>372</v>
      </c>
      <c r="F7" s="6">
        <f t="shared" si="0"/>
        <v>372</v>
      </c>
      <c r="G7" s="6">
        <f t="shared" si="0"/>
        <v>372</v>
      </c>
    </row>
    <row r="8" spans="2:15" ht="18.75" x14ac:dyDescent="0.25">
      <c r="B8" s="8" t="s">
        <v>7</v>
      </c>
      <c r="C8" s="5">
        <v>63136</v>
      </c>
      <c r="D8" s="5">
        <f>Income_Statement!D55+C8</f>
        <v>63937.044201933968</v>
      </c>
      <c r="E8" s="5">
        <f>Income_Statement!E55+D8</f>
        <v>57839.074245622993</v>
      </c>
      <c r="F8" s="5">
        <f>Income_Statement!F55+E8</f>
        <v>69029.113629480329</v>
      </c>
      <c r="G8" s="5">
        <f>Income_Statement!G55+F8</f>
        <v>89283.133447761938</v>
      </c>
    </row>
    <row r="9" spans="2:15" ht="18.75" x14ac:dyDescent="0.25">
      <c r="B9" s="9" t="s">
        <v>122</v>
      </c>
      <c r="C9" s="7">
        <f>C7+C8</f>
        <v>63508</v>
      </c>
      <c r="D9" s="7">
        <f t="shared" ref="D9:G9" si="1">D7+D8</f>
        <v>64309.044201933968</v>
      </c>
      <c r="E9" s="7">
        <f t="shared" si="1"/>
        <v>58211.074245622993</v>
      </c>
      <c r="F9" s="7">
        <f t="shared" si="1"/>
        <v>69401.113629480329</v>
      </c>
      <c r="G9" s="7">
        <f t="shared" si="1"/>
        <v>89655.133447761938</v>
      </c>
    </row>
    <row r="10" spans="2:15" ht="18.75" x14ac:dyDescent="0.25">
      <c r="B10" s="8" t="s">
        <v>12</v>
      </c>
      <c r="C10" s="5">
        <v>26789</v>
      </c>
      <c r="D10" s="5">
        <v>34719</v>
      </c>
      <c r="E10" s="5">
        <v>36722</v>
      </c>
      <c r="F10" s="5">
        <v>37960</v>
      </c>
      <c r="G10" s="5">
        <v>36205</v>
      </c>
    </row>
    <row r="11" spans="2:15" ht="18.75" x14ac:dyDescent="0.25">
      <c r="B11" s="8" t="s">
        <v>13</v>
      </c>
      <c r="C11" s="5">
        <v>4078</v>
      </c>
      <c r="D11" s="5">
        <v>4484</v>
      </c>
      <c r="E11" s="5">
        <v>2885</v>
      </c>
      <c r="F11" s="5">
        <v>2215</v>
      </c>
      <c r="G11" s="5">
        <v>4435</v>
      </c>
    </row>
    <row r="12" spans="2:15" ht="18.75" x14ac:dyDescent="0.25">
      <c r="B12" s="8" t="s">
        <v>18</v>
      </c>
      <c r="C12" s="5">
        <v>21951</v>
      </c>
      <c r="D12" s="5">
        <v>22982</v>
      </c>
      <c r="E12" s="5">
        <v>22021</v>
      </c>
      <c r="F12" s="5">
        <v>11698</v>
      </c>
      <c r="G12" s="5">
        <v>16904</v>
      </c>
    </row>
    <row r="13" spans="2:15" ht="18.75" x14ac:dyDescent="0.25">
      <c r="B13" s="9" t="s">
        <v>123</v>
      </c>
      <c r="C13" s="7">
        <f>C10+C11+C12</f>
        <v>52818</v>
      </c>
      <c r="D13" s="7">
        <f t="shared" ref="D13:G13" si="2">D10+D11+D12</f>
        <v>62185</v>
      </c>
      <c r="E13" s="7">
        <f t="shared" si="2"/>
        <v>61628</v>
      </c>
      <c r="F13" s="7">
        <f t="shared" si="2"/>
        <v>51873</v>
      </c>
      <c r="G13" s="7">
        <f t="shared" si="2"/>
        <v>57544</v>
      </c>
    </row>
    <row r="14" spans="2:15" ht="18.75" x14ac:dyDescent="0.25">
      <c r="B14" s="8" t="s">
        <v>15</v>
      </c>
      <c r="C14" s="5">
        <v>2361</v>
      </c>
      <c r="D14" s="5">
        <v>2596</v>
      </c>
      <c r="E14" s="5">
        <v>2828</v>
      </c>
      <c r="F14" s="5">
        <v>3132</v>
      </c>
      <c r="G14" s="5">
        <v>3386</v>
      </c>
    </row>
    <row r="15" spans="2:15" ht="18.75" x14ac:dyDescent="0.25">
      <c r="B15" s="8" t="s">
        <v>21</v>
      </c>
      <c r="C15" s="4">
        <v>410</v>
      </c>
      <c r="D15" s="4">
        <v>387</v>
      </c>
      <c r="E15" s="4">
        <v>355</v>
      </c>
      <c r="F15" s="4">
        <v>353</v>
      </c>
      <c r="G15" s="4">
        <v>417</v>
      </c>
    </row>
    <row r="16" spans="2:15" ht="18.75" x14ac:dyDescent="0.25">
      <c r="B16" s="8" t="s">
        <v>14</v>
      </c>
      <c r="C16" s="5">
        <v>4858</v>
      </c>
      <c r="D16" s="5">
        <v>6077</v>
      </c>
      <c r="E16" s="5">
        <v>6116</v>
      </c>
      <c r="F16" s="5">
        <v>5848</v>
      </c>
      <c r="G16" s="5">
        <v>6157</v>
      </c>
    </row>
    <row r="17" spans="2:7" ht="18.75" x14ac:dyDescent="0.25">
      <c r="B17" s="8" t="s">
        <v>19</v>
      </c>
      <c r="C17" s="5">
        <v>17843</v>
      </c>
      <c r="D17" s="5">
        <v>17352</v>
      </c>
      <c r="E17" s="5">
        <v>8027</v>
      </c>
      <c r="F17" s="5">
        <v>7892</v>
      </c>
      <c r="G17" s="5">
        <v>10538</v>
      </c>
    </row>
    <row r="18" spans="2:7" ht="18.75" x14ac:dyDescent="0.25">
      <c r="B18" s="8" t="s">
        <v>20</v>
      </c>
      <c r="C18" s="5">
        <v>27043</v>
      </c>
      <c r="D18" s="5">
        <v>35920</v>
      </c>
      <c r="E18" s="5">
        <v>32919</v>
      </c>
      <c r="F18" s="5">
        <v>39181</v>
      </c>
      <c r="G18" s="5">
        <v>37854</v>
      </c>
    </row>
    <row r="19" spans="2:7" ht="18.75" x14ac:dyDescent="0.25">
      <c r="B19" s="9" t="s">
        <v>22</v>
      </c>
      <c r="C19" s="7">
        <f>C14+C15+C16+C17+C18</f>
        <v>52515</v>
      </c>
      <c r="D19" s="7">
        <f t="shared" ref="D19:G19" si="3">D14+D15+D16+D17+D18</f>
        <v>62332</v>
      </c>
      <c r="E19" s="7">
        <f t="shared" si="3"/>
        <v>50245</v>
      </c>
      <c r="F19" s="7">
        <f t="shared" si="3"/>
        <v>56406</v>
      </c>
      <c r="G19" s="7">
        <f t="shared" si="3"/>
        <v>58352</v>
      </c>
    </row>
    <row r="20" spans="2:7" ht="18.75" x14ac:dyDescent="0.25">
      <c r="B20" s="8" t="s">
        <v>10</v>
      </c>
      <c r="C20" s="5">
        <v>15957</v>
      </c>
      <c r="D20" s="5">
        <v>15227</v>
      </c>
      <c r="E20" s="5">
        <v>17112</v>
      </c>
      <c r="F20" s="5">
        <v>15138</v>
      </c>
      <c r="G20" s="5">
        <v>17321</v>
      </c>
    </row>
    <row r="21" spans="2:7" ht="18.75" x14ac:dyDescent="0.25">
      <c r="B21" s="9" t="s">
        <v>124</v>
      </c>
      <c r="C21" s="7">
        <f>C9+C13+C19+C20</f>
        <v>184798</v>
      </c>
      <c r="D21" s="7">
        <f t="shared" ref="D21:G21" si="4">D9+D13+D19+D20</f>
        <v>204053.04420193395</v>
      </c>
      <c r="E21" s="7">
        <f t="shared" si="4"/>
        <v>187196.07424562299</v>
      </c>
      <c r="F21" s="7">
        <f t="shared" si="4"/>
        <v>192818.11362948033</v>
      </c>
      <c r="G21" s="7">
        <f t="shared" si="4"/>
        <v>222872.13344776194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79330</v>
      </c>
      <c r="D23" s="5">
        <v>95515</v>
      </c>
      <c r="E23" s="5">
        <v>88022</v>
      </c>
      <c r="F23" s="5">
        <v>89429</v>
      </c>
      <c r="G23" s="5">
        <v>109345</v>
      </c>
    </row>
    <row r="24" spans="2:7" ht="18.75" x14ac:dyDescent="0.25">
      <c r="B24" s="8" t="s">
        <v>27</v>
      </c>
      <c r="C24" s="4">
        <v>949</v>
      </c>
      <c r="D24" s="5">
        <v>882</v>
      </c>
      <c r="E24" s="4">
        <v>882</v>
      </c>
      <c r="F24" s="4">
        <v>1041</v>
      </c>
      <c r="G24" s="4">
        <v>0</v>
      </c>
    </row>
    <row r="25" spans="2:7" ht="18.75" x14ac:dyDescent="0.25">
      <c r="B25" s="8" t="s">
        <v>125</v>
      </c>
      <c r="C25" s="4"/>
      <c r="D25" s="5">
        <f>Income_Statement!D31</f>
        <v>8192</v>
      </c>
      <c r="E25" s="5">
        <f>Income_Statement!E31+D25</f>
        <v>17285</v>
      </c>
      <c r="F25" s="5">
        <f>Income_Statement!F31+E25</f>
        <v>24923</v>
      </c>
      <c r="G25" s="5">
        <f>Income_Statement!G31+F25</f>
        <v>33818</v>
      </c>
    </row>
    <row r="26" spans="2:7" ht="18.75" x14ac:dyDescent="0.25">
      <c r="B26" s="9" t="s">
        <v>126</v>
      </c>
      <c r="C26" s="7">
        <f>C23+C24-C25</f>
        <v>80279</v>
      </c>
      <c r="D26" s="7">
        <f t="shared" ref="D26:G26" si="5">D23+D24-D25</f>
        <v>88205</v>
      </c>
      <c r="E26" s="7">
        <f t="shared" si="5"/>
        <v>71619</v>
      </c>
      <c r="F26" s="7">
        <f t="shared" si="5"/>
        <v>65547</v>
      </c>
      <c r="G26" s="7">
        <f t="shared" si="5"/>
        <v>75527</v>
      </c>
    </row>
    <row r="27" spans="2:7" ht="18.75" x14ac:dyDescent="0.25">
      <c r="B27" s="8" t="s">
        <v>30</v>
      </c>
      <c r="C27" s="4">
        <v>164</v>
      </c>
      <c r="D27" s="4">
        <v>4891</v>
      </c>
      <c r="E27" s="4">
        <v>95</v>
      </c>
      <c r="F27" s="5">
        <v>156</v>
      </c>
      <c r="G27" s="4">
        <v>151</v>
      </c>
    </row>
    <row r="28" spans="2:7" ht="18.75" x14ac:dyDescent="0.25">
      <c r="B28" s="8" t="s">
        <v>36</v>
      </c>
      <c r="C28" s="5">
        <v>28536</v>
      </c>
      <c r="D28" s="5">
        <v>28174</v>
      </c>
      <c r="E28" s="5">
        <v>24658</v>
      </c>
      <c r="F28" s="5">
        <v>16504</v>
      </c>
      <c r="G28" s="5">
        <v>17140</v>
      </c>
    </row>
    <row r="29" spans="2:7" ht="18.75" x14ac:dyDescent="0.25">
      <c r="B29" s="8" t="s">
        <v>28</v>
      </c>
      <c r="C29" s="4">
        <v>32055</v>
      </c>
      <c r="D29" s="5">
        <v>22236</v>
      </c>
      <c r="E29" s="5">
        <v>16837</v>
      </c>
      <c r="F29" s="5">
        <v>13880</v>
      </c>
      <c r="G29" s="5">
        <v>0</v>
      </c>
    </row>
    <row r="30" spans="2:7" ht="18.75" x14ac:dyDescent="0.25">
      <c r="B30" s="9" t="s">
        <v>127</v>
      </c>
      <c r="C30" s="7">
        <f>C26+C27+C28+C29</f>
        <v>141034</v>
      </c>
      <c r="D30" s="7">
        <f t="shared" ref="D30:G30" si="6">D26+D27+D28+D29</f>
        <v>143506</v>
      </c>
      <c r="E30" s="7">
        <f t="shared" si="6"/>
        <v>113209</v>
      </c>
      <c r="F30" s="7">
        <f t="shared" si="6"/>
        <v>96087</v>
      </c>
      <c r="G30" s="7">
        <f t="shared" si="6"/>
        <v>92818</v>
      </c>
    </row>
    <row r="31" spans="2:7" ht="18.75" x14ac:dyDescent="0.25">
      <c r="B31" s="8" t="s">
        <v>31</v>
      </c>
      <c r="C31" s="5">
        <v>4934</v>
      </c>
      <c r="D31" s="5">
        <v>3475</v>
      </c>
      <c r="E31" s="5">
        <v>6889</v>
      </c>
      <c r="F31" s="5">
        <v>5860</v>
      </c>
      <c r="G31" s="5">
        <v>5085</v>
      </c>
    </row>
    <row r="32" spans="2:7" ht="18.75" x14ac:dyDescent="0.25">
      <c r="B32" s="8" t="s">
        <v>32</v>
      </c>
      <c r="C32" s="5">
        <v>23</v>
      </c>
      <c r="D32" s="5">
        <v>20</v>
      </c>
      <c r="E32" s="4">
        <v>17</v>
      </c>
      <c r="F32" s="4">
        <v>5069</v>
      </c>
      <c r="G32" s="4">
        <v>3166</v>
      </c>
    </row>
    <row r="33" spans="2:7" ht="18.75" x14ac:dyDescent="0.25">
      <c r="B33" s="8" t="s">
        <v>33</v>
      </c>
      <c r="C33" s="5">
        <v>12229</v>
      </c>
      <c r="D33" s="5">
        <v>12473</v>
      </c>
      <c r="E33" s="5">
        <v>11612</v>
      </c>
      <c r="F33" s="5">
        <v>11636</v>
      </c>
      <c r="G33" s="5">
        <v>12278</v>
      </c>
    </row>
    <row r="34" spans="2:7" ht="18.75" x14ac:dyDescent="0.25">
      <c r="B34" s="8" t="s">
        <v>40</v>
      </c>
      <c r="C34" s="5">
        <v>82</v>
      </c>
      <c r="D34" s="5">
        <v>82</v>
      </c>
      <c r="E34" s="4">
        <v>85</v>
      </c>
      <c r="F34" s="4">
        <v>2019</v>
      </c>
      <c r="G34" s="4">
        <v>2304</v>
      </c>
    </row>
    <row r="35" spans="2:7" ht="18.75" x14ac:dyDescent="0.25">
      <c r="B35" s="8" t="s">
        <v>41</v>
      </c>
      <c r="C35" s="5">
        <v>5344</v>
      </c>
      <c r="D35" s="5">
        <v>6023</v>
      </c>
      <c r="E35" s="5">
        <v>6243</v>
      </c>
      <c r="F35" s="5">
        <v>7626</v>
      </c>
      <c r="G35" s="5">
        <v>14280</v>
      </c>
    </row>
    <row r="36" spans="2:7" ht="18.75" x14ac:dyDescent="0.25">
      <c r="B36" s="8" t="s">
        <v>37</v>
      </c>
      <c r="C36" s="5">
        <v>11967</v>
      </c>
      <c r="D36" s="5">
        <v>13198</v>
      </c>
      <c r="E36" s="5">
        <v>11335</v>
      </c>
      <c r="F36" s="5">
        <v>9923</v>
      </c>
      <c r="G36" s="5">
        <v>14313</v>
      </c>
    </row>
    <row r="37" spans="2:7" ht="18.75" x14ac:dyDescent="0.25">
      <c r="B37" s="8" t="s">
        <v>38</v>
      </c>
      <c r="C37" s="5">
        <v>3969</v>
      </c>
      <c r="D37" s="5">
        <v>3982</v>
      </c>
      <c r="E37" s="5">
        <v>2697</v>
      </c>
      <c r="F37" s="5">
        <v>3491</v>
      </c>
      <c r="G37" s="5">
        <v>4946</v>
      </c>
    </row>
    <row r="38" spans="2:7" ht="18.75" x14ac:dyDescent="0.25">
      <c r="B38" s="8" t="s">
        <v>39</v>
      </c>
      <c r="C38" s="5">
        <v>5216</v>
      </c>
      <c r="D38" s="5">
        <f>CashFlow_Statement!D48+C38</f>
        <v>21294.044201933968</v>
      </c>
      <c r="E38" s="5">
        <f>CashFlow_Statement!E48+D38</f>
        <v>35109.074245622993</v>
      </c>
      <c r="F38" s="5">
        <f>CashFlow_Statement!F48+E38</f>
        <v>51107.113629480329</v>
      </c>
      <c r="G38" s="5">
        <f>CashFlow_Statement!G48+F38</f>
        <v>73682.133447761938</v>
      </c>
    </row>
    <row r="39" spans="2:7" ht="18.75" x14ac:dyDescent="0.25">
      <c r="B39" s="9" t="s">
        <v>42</v>
      </c>
      <c r="C39" s="7">
        <f>C31+C32+C33+C34+C35+C36+C37+C38</f>
        <v>43764</v>
      </c>
      <c r="D39" s="7">
        <f t="shared" ref="D39:G39" si="7">D31+D32+D33+D34+D35+D36+D37+D38</f>
        <v>60547.044201933968</v>
      </c>
      <c r="E39" s="7">
        <f t="shared" si="7"/>
        <v>73987.074245622993</v>
      </c>
      <c r="F39" s="7">
        <f t="shared" si="7"/>
        <v>96731.113629480329</v>
      </c>
      <c r="G39" s="7">
        <f t="shared" si="7"/>
        <v>130054.13344776194</v>
      </c>
    </row>
    <row r="40" spans="2:7" ht="18.75" x14ac:dyDescent="0.25">
      <c r="B40" s="9" t="s">
        <v>43</v>
      </c>
      <c r="C40" s="7">
        <f>C30+C39</f>
        <v>184798</v>
      </c>
      <c r="D40" s="7">
        <f t="shared" ref="D40:G40" si="8">D30+D39</f>
        <v>204053.04420193395</v>
      </c>
      <c r="E40" s="7">
        <f t="shared" si="8"/>
        <v>187196.07424562299</v>
      </c>
      <c r="F40" s="7">
        <f t="shared" si="8"/>
        <v>192818.11362948033</v>
      </c>
      <c r="G40" s="7">
        <f t="shared" si="8"/>
        <v>222872.13344776194</v>
      </c>
    </row>
  </sheetData>
  <mergeCells count="1">
    <mergeCell ref="B3:G3"/>
  </mergeCells>
  <hyperlinks>
    <hyperlink ref="F1" location="Index_Data!A1" tooltip="Hi click here To return Index page" display="Index_Data!A1" xr:uid="{82545A40-EBF8-4366-9D14-0B5ED513536B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C9732-6A66-49BD-A2B6-7F392C21E1BF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92011</v>
      </c>
      <c r="D5" s="5">
        <v>90901</v>
      </c>
      <c r="E5" s="5">
        <v>83545</v>
      </c>
      <c r="F5" s="5">
        <v>86863</v>
      </c>
      <c r="G5" s="5">
        <v>131192</v>
      </c>
    </row>
    <row r="6" spans="2:15" ht="18.75" x14ac:dyDescent="0.25">
      <c r="B6" s="8" t="s">
        <v>98</v>
      </c>
      <c r="C6" s="4">
        <v>1057</v>
      </c>
      <c r="D6" s="4">
        <v>0</v>
      </c>
      <c r="E6" s="4">
        <v>0</v>
      </c>
      <c r="F6" s="4">
        <v>0</v>
      </c>
      <c r="G6" s="5">
        <v>0</v>
      </c>
    </row>
    <row r="7" spans="2:15" ht="18.75" x14ac:dyDescent="0.25">
      <c r="B7" s="9" t="s">
        <v>105</v>
      </c>
      <c r="C7" s="7">
        <f>C5 - C6</f>
        <v>90954</v>
      </c>
      <c r="D7" s="7">
        <f t="shared" ref="D7:G7" si="0">D5 - D6</f>
        <v>90901</v>
      </c>
      <c r="E7" s="7">
        <f t="shared" si="0"/>
        <v>83545</v>
      </c>
      <c r="F7" s="7">
        <f t="shared" si="0"/>
        <v>86863</v>
      </c>
      <c r="G7" s="7">
        <f t="shared" si="0"/>
        <v>131192</v>
      </c>
    </row>
    <row r="8" spans="2:15" ht="18.75" x14ac:dyDescent="0.25">
      <c r="B8" s="8" t="s">
        <v>59</v>
      </c>
      <c r="C8" s="5">
        <v>3574</v>
      </c>
      <c r="D8" s="5">
        <v>4018</v>
      </c>
      <c r="E8" s="5">
        <v>2510</v>
      </c>
      <c r="F8" s="5">
        <v>3421</v>
      </c>
      <c r="G8" s="5">
        <v>2600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94528</v>
      </c>
      <c r="D10" s="7">
        <f t="shared" ref="D10:G10" si="1">SUM(D7:D9)</f>
        <v>94919</v>
      </c>
      <c r="E10" s="7">
        <f t="shared" si="1"/>
        <v>86055</v>
      </c>
      <c r="F10" s="7">
        <f t="shared" si="1"/>
        <v>90284</v>
      </c>
      <c r="G10" s="7">
        <f t="shared" si="1"/>
        <v>133792</v>
      </c>
    </row>
    <row r="11" spans="2:15" ht="18.75" x14ac:dyDescent="0.25">
      <c r="B11" s="8" t="s">
        <v>62</v>
      </c>
      <c r="C11" s="5">
        <v>31582</v>
      </c>
      <c r="D11" s="5">
        <v>25490</v>
      </c>
      <c r="E11" s="5">
        <v>21261</v>
      </c>
      <c r="F11" s="5">
        <v>22849</v>
      </c>
      <c r="G11" s="5">
        <v>37172</v>
      </c>
    </row>
    <row r="12" spans="2:15" ht="18.75" x14ac:dyDescent="0.25">
      <c r="B12" s="8" t="s">
        <v>64</v>
      </c>
      <c r="C12" s="4">
        <v>14026</v>
      </c>
      <c r="D12" s="5">
        <v>18144</v>
      </c>
      <c r="E12" s="5">
        <v>16606</v>
      </c>
      <c r="F12" s="5">
        <v>13674</v>
      </c>
      <c r="G12" s="5">
        <v>0</v>
      </c>
    </row>
    <row r="13" spans="2:15" ht="18.75" x14ac:dyDescent="0.25">
      <c r="B13" s="8" t="s">
        <v>66</v>
      </c>
      <c r="C13" s="5">
        <v>2496</v>
      </c>
      <c r="D13" s="5">
        <v>3023</v>
      </c>
      <c r="E13" s="5">
        <v>2672</v>
      </c>
      <c r="F13" s="5">
        <v>2861</v>
      </c>
      <c r="G13" s="5">
        <v>2811</v>
      </c>
    </row>
    <row r="14" spans="2:15" ht="18.75" x14ac:dyDescent="0.25">
      <c r="B14" s="8" t="s">
        <v>69</v>
      </c>
      <c r="C14" s="5">
        <v>17928</v>
      </c>
      <c r="D14" s="5">
        <v>21628</v>
      </c>
      <c r="E14" s="5">
        <v>21979</v>
      </c>
      <c r="F14" s="5">
        <v>20486</v>
      </c>
      <c r="G14" s="5">
        <v>49841</v>
      </c>
    </row>
    <row r="15" spans="2:15" ht="18.75" x14ac:dyDescent="0.25">
      <c r="B15" s="9" t="s">
        <v>108</v>
      </c>
      <c r="C15" s="7">
        <f>C11+C12+C13+C14</f>
        <v>66032</v>
      </c>
      <c r="D15" s="7">
        <f t="shared" ref="D15:G15" si="2">D11+D12+D13+D14</f>
        <v>68285</v>
      </c>
      <c r="E15" s="7">
        <f t="shared" si="2"/>
        <v>62518</v>
      </c>
      <c r="F15" s="7">
        <f t="shared" si="2"/>
        <v>59870</v>
      </c>
      <c r="G15" s="7">
        <f t="shared" si="2"/>
        <v>89824</v>
      </c>
    </row>
    <row r="16" spans="2:15" ht="18.75" x14ac:dyDescent="0.25">
      <c r="B16" s="9" t="s">
        <v>109</v>
      </c>
      <c r="C16" s="7">
        <f xml:space="preserve"> C10-C15-C8</f>
        <v>24922</v>
      </c>
      <c r="D16" s="7">
        <f t="shared" ref="D16:G16" si="3" xml:space="preserve"> D10-D15-D8</f>
        <v>22616</v>
      </c>
      <c r="E16" s="7">
        <f t="shared" si="3"/>
        <v>21027</v>
      </c>
      <c r="F16" s="7">
        <f t="shared" si="3"/>
        <v>26993</v>
      </c>
      <c r="G16" s="7">
        <f t="shared" si="3"/>
        <v>41368</v>
      </c>
    </row>
    <row r="17" spans="2:7" ht="18.75" x14ac:dyDescent="0.25">
      <c r="B17" s="9" t="s">
        <v>110</v>
      </c>
      <c r="C17" s="7">
        <f xml:space="preserve"> C16+C8</f>
        <v>28496</v>
      </c>
      <c r="D17" s="7">
        <f t="shared" ref="D17:G17" si="4" xml:space="preserve"> D16+D8</f>
        <v>26634</v>
      </c>
      <c r="E17" s="7">
        <f t="shared" si="4"/>
        <v>23537</v>
      </c>
      <c r="F17" s="7">
        <f t="shared" si="4"/>
        <v>30414</v>
      </c>
      <c r="G17" s="7">
        <f t="shared" si="4"/>
        <v>43968</v>
      </c>
    </row>
    <row r="18" spans="2:7" ht="18.75" x14ac:dyDescent="0.25">
      <c r="B18" s="8" t="s">
        <v>68</v>
      </c>
      <c r="C18" s="5">
        <v>6283</v>
      </c>
      <c r="D18" s="5">
        <v>8192</v>
      </c>
      <c r="E18" s="5">
        <v>9093</v>
      </c>
      <c r="F18" s="5">
        <v>7638</v>
      </c>
      <c r="G18" s="5">
        <v>8895</v>
      </c>
    </row>
    <row r="19" spans="2:7" ht="18.75" x14ac:dyDescent="0.25">
      <c r="B19" s="9" t="s">
        <v>111</v>
      </c>
      <c r="C19" s="7">
        <f xml:space="preserve"> C17-C18</f>
        <v>22213</v>
      </c>
      <c r="D19" s="7">
        <f t="shared" ref="D19:G19" si="5" xml:space="preserve"> D17-D18</f>
        <v>18442</v>
      </c>
      <c r="E19" s="7">
        <f t="shared" si="5"/>
        <v>14444</v>
      </c>
      <c r="F19" s="7">
        <f t="shared" si="5"/>
        <v>22776</v>
      </c>
      <c r="G19" s="7">
        <f t="shared" si="5"/>
        <v>35073</v>
      </c>
    </row>
    <row r="20" spans="2:7" ht="18.75" x14ac:dyDescent="0.25">
      <c r="B20" s="8" t="s">
        <v>67</v>
      </c>
      <c r="C20" s="5">
        <v>5783</v>
      </c>
      <c r="D20" s="5">
        <v>5689</v>
      </c>
      <c r="E20" s="5">
        <v>4977</v>
      </c>
      <c r="F20" s="5">
        <v>5210</v>
      </c>
      <c r="G20" s="5">
        <v>4797</v>
      </c>
    </row>
    <row r="21" spans="2:7" ht="18.75" x14ac:dyDescent="0.25">
      <c r="B21" s="9" t="s">
        <v>112</v>
      </c>
      <c r="C21" s="7">
        <f xml:space="preserve"> C19-C20</f>
        <v>16430</v>
      </c>
      <c r="D21" s="7">
        <f t="shared" ref="D21:G21" si="6" xml:space="preserve"> D19-D20</f>
        <v>12753</v>
      </c>
      <c r="E21" s="7">
        <f t="shared" si="6"/>
        <v>9467</v>
      </c>
      <c r="F21" s="7">
        <f t="shared" si="6"/>
        <v>17566</v>
      </c>
      <c r="G21" s="7">
        <f t="shared" si="6"/>
        <v>30276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16430</v>
      </c>
      <c r="D23" s="7">
        <f t="shared" ref="D23:G23" si="7" xml:space="preserve"> D21+D22</f>
        <v>12753</v>
      </c>
      <c r="E23" s="7">
        <f t="shared" si="7"/>
        <v>9467</v>
      </c>
      <c r="F23" s="7">
        <f t="shared" si="7"/>
        <v>17566</v>
      </c>
      <c r="G23" s="7">
        <f t="shared" si="7"/>
        <v>30276</v>
      </c>
    </row>
    <row r="24" spans="2:7" ht="18.75" x14ac:dyDescent="0.25">
      <c r="B24" s="8" t="s">
        <v>72</v>
      </c>
      <c r="C24" s="4">
        <v>2897</v>
      </c>
      <c r="D24" s="4">
        <v>320</v>
      </c>
      <c r="E24" s="5">
        <v>-17386</v>
      </c>
      <c r="F24" s="4">
        <v>-678</v>
      </c>
      <c r="G24" s="5">
        <v>-768</v>
      </c>
    </row>
    <row r="25" spans="2:7" ht="18.75" x14ac:dyDescent="0.25">
      <c r="B25" s="9" t="s">
        <v>115</v>
      </c>
      <c r="C25" s="7">
        <f xml:space="preserve"> C23+C24</f>
        <v>19327</v>
      </c>
      <c r="D25" s="7">
        <f t="shared" ref="D25:G25" si="8" xml:space="preserve"> D23+D24</f>
        <v>13073</v>
      </c>
      <c r="E25" s="7">
        <f t="shared" si="8"/>
        <v>-7919</v>
      </c>
      <c r="F25" s="7">
        <f t="shared" si="8"/>
        <v>16888</v>
      </c>
      <c r="G25" s="7">
        <f t="shared" si="8"/>
        <v>29508</v>
      </c>
    </row>
    <row r="26" spans="2:7" ht="18.75" x14ac:dyDescent="0.25">
      <c r="B26" s="8" t="s">
        <v>79</v>
      </c>
      <c r="C26" s="5">
        <v>5877</v>
      </c>
      <c r="D26" s="5">
        <v>3862</v>
      </c>
      <c r="E26" s="5">
        <v>-3516</v>
      </c>
      <c r="F26" s="5">
        <v>2180</v>
      </c>
      <c r="G26" s="5">
        <v>9255</v>
      </c>
    </row>
    <row r="27" spans="2:7" ht="18.75" x14ac:dyDescent="0.25">
      <c r="B27" s="9" t="s">
        <v>116</v>
      </c>
      <c r="C27" s="7">
        <f xml:space="preserve"> C25-C26</f>
        <v>13450</v>
      </c>
      <c r="D27" s="7">
        <f t="shared" ref="D27:G27" si="9" xml:space="preserve"> D25-D26</f>
        <v>9211</v>
      </c>
      <c r="E27" s="7">
        <f t="shared" si="9"/>
        <v>-4403</v>
      </c>
      <c r="F27" s="7">
        <f t="shared" si="9"/>
        <v>14708</v>
      </c>
      <c r="G27" s="7">
        <f t="shared" si="9"/>
        <v>20253</v>
      </c>
    </row>
    <row r="28" spans="2:7" ht="18.75" x14ac:dyDescent="0.25">
      <c r="B28" s="8" t="s">
        <v>88</v>
      </c>
      <c r="C28" s="4">
        <v>9462</v>
      </c>
      <c r="D28" s="5">
        <v>8411</v>
      </c>
      <c r="E28" s="5">
        <v>1696</v>
      </c>
      <c r="F28" s="5">
        <v>3519</v>
      </c>
      <c r="G28" s="5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3988</v>
      </c>
      <c r="D30" s="7">
        <f t="shared" ref="D30:G30" si="10" xml:space="preserve"> D27-D28-D29</f>
        <v>800</v>
      </c>
      <c r="E30" s="7">
        <f t="shared" si="10"/>
        <v>-6099</v>
      </c>
      <c r="F30" s="7">
        <f t="shared" si="10"/>
        <v>11189</v>
      </c>
      <c r="G30" s="7">
        <f t="shared" si="10"/>
        <v>20253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28</v>
      </c>
      <c r="D34" s="4">
        <v>19</v>
      </c>
      <c r="E34" s="4">
        <v>-18</v>
      </c>
      <c r="F34" s="4">
        <v>31</v>
      </c>
      <c r="G34" s="4">
        <v>51</v>
      </c>
    </row>
    <row r="35" spans="2:7" ht="18.75" x14ac:dyDescent="0.25">
      <c r="B35" s="8" t="s">
        <v>118</v>
      </c>
      <c r="C35" s="4">
        <f>C27/C34</f>
        <v>480.35714285714283</v>
      </c>
      <c r="D35" s="4">
        <f t="shared" ref="D35:G35" si="11">D27/D34</f>
        <v>484.78947368421052</v>
      </c>
      <c r="E35" s="4">
        <f t="shared" si="11"/>
        <v>244.61111111111111</v>
      </c>
      <c r="F35" s="4">
        <f t="shared" si="11"/>
        <v>474.45161290322579</v>
      </c>
      <c r="G35" s="4">
        <f t="shared" si="11"/>
        <v>397.11764705882354</v>
      </c>
    </row>
  </sheetData>
  <mergeCells count="1">
    <mergeCell ref="B3:G3"/>
  </mergeCells>
  <hyperlinks>
    <hyperlink ref="F1" location="Index_Data!A1" tooltip="Hi click here To return Index page" display="Index_Data!A1" xr:uid="{FDE26164-4A28-4D43-A92A-BF23BDC1EEA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2EF4-97AC-453C-9D8C-49A51B5A557B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372</v>
      </c>
      <c r="D5" s="4">
        <v>372</v>
      </c>
      <c r="E5" s="4">
        <v>372</v>
      </c>
      <c r="F5" s="4">
        <v>372</v>
      </c>
      <c r="G5" s="4">
        <v>372</v>
      </c>
      <c r="H5" s="24">
        <f>G5</f>
        <v>372</v>
      </c>
      <c r="I5" s="24">
        <f t="shared" ref="I5:L5" si="0">H5</f>
        <v>372</v>
      </c>
      <c r="J5" s="24">
        <f t="shared" si="0"/>
        <v>372</v>
      </c>
      <c r="K5" s="24">
        <f t="shared" si="0"/>
        <v>372</v>
      </c>
      <c r="L5" s="24">
        <f t="shared" si="0"/>
        <v>372</v>
      </c>
    </row>
    <row r="6" spans="2:15" x14ac:dyDescent="0.25">
      <c r="B6" s="17" t="s">
        <v>203</v>
      </c>
      <c r="C6" s="18">
        <f>C5/Balance_Sheet!C74</f>
        <v>2.0130087987965239E-3</v>
      </c>
      <c r="D6" s="18">
        <f>D5/Balance_Sheet!D74</f>
        <v>1.8230553798151779E-3</v>
      </c>
      <c r="E6" s="18">
        <f>E5/Balance_Sheet!E74</f>
        <v>1.9872211610158703E-3</v>
      </c>
      <c r="F6" s="18">
        <f>F5/Balance_Sheet!F74</f>
        <v>1.9292793244250689E-3</v>
      </c>
      <c r="G6" s="18">
        <f>G5/Balance_Sheet!G74</f>
        <v>1.6691184951894917E-3</v>
      </c>
      <c r="H6" s="25">
        <f>G6</f>
        <v>1.6691184951894917E-3</v>
      </c>
      <c r="I6" s="25">
        <f t="shared" ref="I6:L6" si="1">H6</f>
        <v>1.6691184951894917E-3</v>
      </c>
      <c r="J6" s="25">
        <f t="shared" si="1"/>
        <v>1.6691184951894917E-3</v>
      </c>
      <c r="K6" s="25">
        <f t="shared" si="1"/>
        <v>1.6691184951894917E-3</v>
      </c>
      <c r="L6" s="25">
        <f t="shared" si="1"/>
        <v>1.6691184951894917E-3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372</v>
      </c>
      <c r="D9" s="6">
        <f t="shared" ref="D9:L9" si="4">D5+D7</f>
        <v>372</v>
      </c>
      <c r="E9" s="6">
        <f t="shared" si="4"/>
        <v>372</v>
      </c>
      <c r="F9" s="6">
        <f t="shared" si="4"/>
        <v>372</v>
      </c>
      <c r="G9" s="6">
        <f t="shared" si="4"/>
        <v>372</v>
      </c>
      <c r="H9" s="26">
        <f t="shared" si="4"/>
        <v>372</v>
      </c>
      <c r="I9" s="26">
        <f t="shared" si="4"/>
        <v>372</v>
      </c>
      <c r="J9" s="26">
        <f t="shared" si="4"/>
        <v>372</v>
      </c>
      <c r="K9" s="26">
        <f t="shared" si="4"/>
        <v>372</v>
      </c>
      <c r="L9" s="26">
        <f t="shared" si="4"/>
        <v>372</v>
      </c>
    </row>
    <row r="10" spans="2:15" x14ac:dyDescent="0.25">
      <c r="B10" s="19" t="s">
        <v>205</v>
      </c>
      <c r="C10" s="20">
        <f>C9/Balance_Sheet!C74</f>
        <v>2.0130087987965239E-3</v>
      </c>
      <c r="D10" s="20">
        <f>D9/Balance_Sheet!D74</f>
        <v>1.8230553798151779E-3</v>
      </c>
      <c r="E10" s="20">
        <f>E9/Balance_Sheet!E74</f>
        <v>1.9872211610158703E-3</v>
      </c>
      <c r="F10" s="20">
        <f>F9/Balance_Sheet!F74</f>
        <v>1.9292793244250689E-3</v>
      </c>
      <c r="G10" s="20">
        <f>G9/Balance_Sheet!G74</f>
        <v>1.6691184951894917E-3</v>
      </c>
      <c r="H10" s="27">
        <f>H9/Balance_Sheet!H74</f>
        <v>1.7089063984068922E-3</v>
      </c>
      <c r="I10" s="27">
        <f>I9/Balance_Sheet!I74</f>
        <v>1.6609350980471326E-3</v>
      </c>
      <c r="J10" s="27">
        <f>J9/Balance_Sheet!J74</f>
        <v>1.5463247586384261E-3</v>
      </c>
      <c r="K10" s="27">
        <f>K9/Balance_Sheet!K74</f>
        <v>1.4850934856408809E-3</v>
      </c>
      <c r="L10" s="27">
        <f>L9/Balance_Sheet!L74</f>
        <v>1.4583347560851989E-3</v>
      </c>
    </row>
    <row r="11" spans="2:15" ht="18.75" x14ac:dyDescent="0.25">
      <c r="B11" s="8" t="s">
        <v>7</v>
      </c>
      <c r="C11" s="5">
        <v>63136</v>
      </c>
      <c r="D11" s="5">
        <f>Income_Statement!D55+C11</f>
        <v>63937.044201933968</v>
      </c>
      <c r="E11" s="5">
        <f>Income_Statement!E55+D11</f>
        <v>57839.074245622993</v>
      </c>
      <c r="F11" s="5">
        <f>Income_Statement!F55+E11</f>
        <v>69029.113629480329</v>
      </c>
      <c r="G11" s="5">
        <f>Income_Statement!G55+F11</f>
        <v>89283.133447761938</v>
      </c>
      <c r="H11" s="28">
        <f>H74-H9-H21-H33-H35</f>
        <v>85728.809575334919</v>
      </c>
      <c r="I11" s="28">
        <f t="shared" ref="I11:L11" si="5">I74-I9-I21-I33-I35</f>
        <v>88215.575114751817</v>
      </c>
      <c r="J11" s="28">
        <f t="shared" si="5"/>
        <v>94781.506704187515</v>
      </c>
      <c r="K11" s="28">
        <f t="shared" si="5"/>
        <v>98704.745838174567</v>
      </c>
      <c r="L11" s="28">
        <f t="shared" si="5"/>
        <v>100522.6825151215</v>
      </c>
    </row>
    <row r="12" spans="2:15" x14ac:dyDescent="0.25">
      <c r="B12" s="17" t="s">
        <v>206</v>
      </c>
      <c r="C12" s="18">
        <f>C11/Balance_Sheet!C74</f>
        <v>0.34164871914198208</v>
      </c>
      <c r="D12" s="18">
        <f>D11/Balance_Sheet!D74</f>
        <v>0.31333540968230256</v>
      </c>
      <c r="E12" s="18">
        <f>E11/Balance_Sheet!E74</f>
        <v>0.30897589321094099</v>
      </c>
      <c r="F12" s="18">
        <f>F11/Balance_Sheet!F74</f>
        <v>0.35800118738909981</v>
      </c>
      <c r="G12" s="18">
        <f>G11/Balance_Sheet!G74</f>
        <v>0.40060249824228761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63508</v>
      </c>
      <c r="D13" s="7">
        <f t="shared" ref="D13:L13" si="6">D9+D11</f>
        <v>64309.044201933968</v>
      </c>
      <c r="E13" s="7">
        <f t="shared" si="6"/>
        <v>58211.074245622993</v>
      </c>
      <c r="F13" s="7">
        <f t="shared" si="6"/>
        <v>69401.113629480329</v>
      </c>
      <c r="G13" s="7">
        <f t="shared" si="6"/>
        <v>89655.133447761938</v>
      </c>
      <c r="H13" s="29">
        <f t="shared" si="6"/>
        <v>86100.809575334919</v>
      </c>
      <c r="I13" s="29">
        <f t="shared" si="6"/>
        <v>88587.575114751817</v>
      </c>
      <c r="J13" s="29">
        <f t="shared" si="6"/>
        <v>95153.506704187515</v>
      </c>
      <c r="K13" s="29">
        <f t="shared" si="6"/>
        <v>99076.745838174567</v>
      </c>
      <c r="L13" s="29">
        <f t="shared" si="6"/>
        <v>100894.6825151215</v>
      </c>
    </row>
    <row r="14" spans="2:15" x14ac:dyDescent="0.25">
      <c r="B14" s="19" t="s">
        <v>207</v>
      </c>
      <c r="C14" s="20">
        <f>C13/Balance_Sheet!C74</f>
        <v>0.34366172794077859</v>
      </c>
      <c r="D14" s="20">
        <f>D13/Balance_Sheet!D74</f>
        <v>0.31515846506211775</v>
      </c>
      <c r="E14" s="20">
        <f>E13/Balance_Sheet!E74</f>
        <v>0.31096311437195689</v>
      </c>
      <c r="F14" s="20">
        <f>F13/Balance_Sheet!F74</f>
        <v>0.35993046671352491</v>
      </c>
      <c r="G14" s="20">
        <f>G13/Balance_Sheet!G74</f>
        <v>0.40227161673747708</v>
      </c>
      <c r="H14" s="27">
        <f>H13/Balance_Sheet!H74</f>
        <v>0.3955328612669442</v>
      </c>
      <c r="I14" s="27">
        <f>I13/Balance_Sheet!I74</f>
        <v>0.39553282999725276</v>
      </c>
      <c r="J14" s="27">
        <f>J13/Balance_Sheet!J74</f>
        <v>0.39553285830094792</v>
      </c>
      <c r="K14" s="27">
        <f>K13/Balance_Sheet!K74</f>
        <v>0.39553287586766211</v>
      </c>
      <c r="L14" s="27">
        <f>L13/Balance_Sheet!L74</f>
        <v>0.39553285541930994</v>
      </c>
    </row>
    <row r="15" spans="2:15" ht="18.75" x14ac:dyDescent="0.25">
      <c r="B15" s="8" t="s">
        <v>12</v>
      </c>
      <c r="C15" s="5">
        <v>26789</v>
      </c>
      <c r="D15" s="5">
        <v>34719</v>
      </c>
      <c r="E15" s="5">
        <v>36722</v>
      </c>
      <c r="F15" s="5">
        <v>37960</v>
      </c>
      <c r="G15" s="5">
        <v>36205</v>
      </c>
      <c r="H15" s="28">
        <f>ROUND(H74*H16,2)</f>
        <v>35362.050000000003</v>
      </c>
      <c r="I15" s="28">
        <f t="shared" ref="I15:L15" si="7">ROUND(I74*I16,2)</f>
        <v>36383.379999999997</v>
      </c>
      <c r="J15" s="28">
        <f t="shared" si="7"/>
        <v>39080.04</v>
      </c>
      <c r="K15" s="28">
        <f t="shared" si="7"/>
        <v>40691.33</v>
      </c>
      <c r="L15" s="28">
        <f t="shared" si="7"/>
        <v>41437.97</v>
      </c>
    </row>
    <row r="16" spans="2:15" x14ac:dyDescent="0.25">
      <c r="B16" s="17" t="s">
        <v>208</v>
      </c>
      <c r="C16" s="18">
        <f>C15/Balance_Sheet!C74</f>
        <v>0.14496369008322602</v>
      </c>
      <c r="D16" s="18">
        <f>D15/Balance_Sheet!D74</f>
        <v>0.17014693476291173</v>
      </c>
      <c r="E16" s="18">
        <f>E15/Balance_Sheet!E74</f>
        <v>0.19616864374952903</v>
      </c>
      <c r="F16" s="18">
        <f>F15/Balance_Sheet!F74</f>
        <v>0.19686947084724629</v>
      </c>
      <c r="G16" s="18">
        <f>G15/Balance_Sheet!G74</f>
        <v>0.16244740623208481</v>
      </c>
      <c r="H16" s="25">
        <f>G16</f>
        <v>0.16244740623208481</v>
      </c>
      <c r="I16" s="25">
        <f t="shared" ref="I16:L16" si="8">H16</f>
        <v>0.16244740623208481</v>
      </c>
      <c r="J16" s="25">
        <f t="shared" si="8"/>
        <v>0.16244740623208481</v>
      </c>
      <c r="K16" s="25">
        <f t="shared" si="8"/>
        <v>0.16244740623208481</v>
      </c>
      <c r="L16" s="25">
        <f t="shared" si="8"/>
        <v>0.16244740623208481</v>
      </c>
    </row>
    <row r="17" spans="2:12" ht="18.75" x14ac:dyDescent="0.25">
      <c r="B17" s="8" t="s">
        <v>13</v>
      </c>
      <c r="C17" s="5">
        <v>4078</v>
      </c>
      <c r="D17" s="5">
        <v>4484</v>
      </c>
      <c r="E17" s="5">
        <v>2885</v>
      </c>
      <c r="F17" s="5">
        <v>2215</v>
      </c>
      <c r="G17" s="5">
        <v>4435</v>
      </c>
      <c r="H17" s="28">
        <f>H74*H18</f>
        <v>4331.7413598932781</v>
      </c>
      <c r="I17" s="28">
        <f t="shared" ref="I17:L17" si="9">I74*I18</f>
        <v>4456.8511646656361</v>
      </c>
      <c r="J17" s="28">
        <f t="shared" si="9"/>
        <v>4787.1836008649952</v>
      </c>
      <c r="K17" s="28">
        <f t="shared" si="9"/>
        <v>4984.5619806021068</v>
      </c>
      <c r="L17" s="28">
        <f t="shared" si="9"/>
        <v>5076.0228371961839</v>
      </c>
    </row>
    <row r="18" spans="2:12" x14ac:dyDescent="0.25">
      <c r="B18" s="17" t="s">
        <v>209</v>
      </c>
      <c r="C18" s="18">
        <f>C17/Balance_Sheet!C74</f>
        <v>2.2067338391108127E-2</v>
      </c>
      <c r="D18" s="18">
        <f>D17/Balance_Sheet!D74</f>
        <v>2.1974678287879724E-2</v>
      </c>
      <c r="E18" s="18">
        <f>E17/Balance_Sheet!E74</f>
        <v>1.541164798260964E-2</v>
      </c>
      <c r="F18" s="18">
        <f>F17/Balance_Sheet!F74</f>
        <v>1.1487509955918086E-2</v>
      </c>
      <c r="G18" s="18">
        <f>G17/Balance_Sheet!G74</f>
        <v>1.9899302489691923E-2</v>
      </c>
      <c r="H18" s="25">
        <f>MEDIAN(C18:G18)</f>
        <v>1.9899302489691923E-2</v>
      </c>
      <c r="I18" s="25">
        <f t="shared" ref="I18:L18" si="10">H18</f>
        <v>1.9899302489691923E-2</v>
      </c>
      <c r="J18" s="25">
        <f t="shared" si="10"/>
        <v>1.9899302489691923E-2</v>
      </c>
      <c r="K18" s="25">
        <f t="shared" si="10"/>
        <v>1.9899302489691923E-2</v>
      </c>
      <c r="L18" s="25">
        <f t="shared" si="10"/>
        <v>1.9899302489691923E-2</v>
      </c>
    </row>
    <row r="19" spans="2:12" ht="18.75" x14ac:dyDescent="0.25">
      <c r="B19" s="8" t="s">
        <v>18</v>
      </c>
      <c r="C19" s="5">
        <v>21951</v>
      </c>
      <c r="D19" s="5">
        <v>22982</v>
      </c>
      <c r="E19" s="5">
        <v>22021</v>
      </c>
      <c r="F19" s="5">
        <v>11698</v>
      </c>
      <c r="G19" s="5">
        <v>16904</v>
      </c>
      <c r="H19" s="28">
        <f>ROUND(H74*H20,2)</f>
        <v>16510.43</v>
      </c>
      <c r="I19" s="28">
        <f t="shared" ref="I19:L19" si="11">ROUND(I74*I20,2)</f>
        <v>16987.29</v>
      </c>
      <c r="J19" s="28">
        <f t="shared" si="11"/>
        <v>18246.349999999999</v>
      </c>
      <c r="K19" s="28">
        <f t="shared" si="11"/>
        <v>18998.66</v>
      </c>
      <c r="L19" s="28">
        <f t="shared" si="11"/>
        <v>19347.259999999998</v>
      </c>
    </row>
    <row r="20" spans="2:12" x14ac:dyDescent="0.25">
      <c r="B20" s="17" t="s">
        <v>210</v>
      </c>
      <c r="C20" s="18">
        <f>C19/Balance_Sheet!C74</f>
        <v>0.11878375307092068</v>
      </c>
      <c r="D20" s="18">
        <f>D19/Balance_Sheet!D74</f>
        <v>0.11262757725514091</v>
      </c>
      <c r="E20" s="18">
        <f>E19/Balance_Sheet!E74</f>
        <v>0.11763601394282387</v>
      </c>
      <c r="F20" s="18">
        <f>F19/Balance_Sheet!F74</f>
        <v>6.0668574024528112E-2</v>
      </c>
      <c r="G20" s="18">
        <f>G19/Balance_Sheet!G74</f>
        <v>7.5846180222266579E-2</v>
      </c>
      <c r="H20" s="25">
        <f>G20</f>
        <v>7.5846180222266579E-2</v>
      </c>
      <c r="I20" s="25">
        <f t="shared" ref="I20:L20" si="12">H20</f>
        <v>7.5846180222266579E-2</v>
      </c>
      <c r="J20" s="25">
        <f t="shared" si="12"/>
        <v>7.5846180222266579E-2</v>
      </c>
      <c r="K20" s="25">
        <f t="shared" si="12"/>
        <v>7.5846180222266579E-2</v>
      </c>
      <c r="L20" s="25">
        <f t="shared" si="12"/>
        <v>7.5846180222266579E-2</v>
      </c>
    </row>
    <row r="21" spans="2:12" ht="18.75" x14ac:dyDescent="0.25">
      <c r="B21" s="9" t="s">
        <v>123</v>
      </c>
      <c r="C21" s="7">
        <f>C15+C17+C19</f>
        <v>52818</v>
      </c>
      <c r="D21" s="7">
        <f t="shared" ref="D21:G21" si="13">D15+D17+D19</f>
        <v>62185</v>
      </c>
      <c r="E21" s="7">
        <f t="shared" si="13"/>
        <v>61628</v>
      </c>
      <c r="F21" s="7">
        <f t="shared" si="13"/>
        <v>51873</v>
      </c>
      <c r="G21" s="7">
        <f t="shared" si="13"/>
        <v>57544</v>
      </c>
      <c r="H21" s="29">
        <f>ROUND(H74*H22,2)</f>
        <v>56204.22</v>
      </c>
      <c r="I21" s="29">
        <f t="shared" ref="I21:L21" si="14">ROUND(I74*I22,2)</f>
        <v>57827.519999999997</v>
      </c>
      <c r="J21" s="29">
        <f t="shared" si="14"/>
        <v>62113.57</v>
      </c>
      <c r="K21" s="29">
        <f t="shared" si="14"/>
        <v>64674.55</v>
      </c>
      <c r="L21" s="29">
        <f t="shared" si="14"/>
        <v>65861.25</v>
      </c>
    </row>
    <row r="22" spans="2:12" x14ac:dyDescent="0.25">
      <c r="B22" s="19" t="s">
        <v>211</v>
      </c>
      <c r="C22" s="20">
        <f>C21/Balance_Sheet!C74</f>
        <v>0.2858147815452548</v>
      </c>
      <c r="D22" s="20">
        <f>D21/Balance_Sheet!D74</f>
        <v>0.30474919030593239</v>
      </c>
      <c r="E22" s="20">
        <f>E21/Balance_Sheet!E74</f>
        <v>0.32921630567496252</v>
      </c>
      <c r="F22" s="20">
        <f>F21/Balance_Sheet!F74</f>
        <v>0.26902555482769247</v>
      </c>
      <c r="G22" s="20">
        <f>G21/Balance_Sheet!G74</f>
        <v>0.2581928889440433</v>
      </c>
      <c r="H22" s="27">
        <f>G22</f>
        <v>0.2581928889440433</v>
      </c>
      <c r="I22" s="27">
        <f t="shared" ref="I22:L22" si="15">H22</f>
        <v>0.2581928889440433</v>
      </c>
      <c r="J22" s="27">
        <f t="shared" si="15"/>
        <v>0.2581928889440433</v>
      </c>
      <c r="K22" s="27">
        <f t="shared" si="15"/>
        <v>0.2581928889440433</v>
      </c>
      <c r="L22" s="27">
        <f t="shared" si="15"/>
        <v>0.2581928889440433</v>
      </c>
    </row>
    <row r="23" spans="2:12" ht="18.75" x14ac:dyDescent="0.25">
      <c r="B23" s="8" t="s">
        <v>15</v>
      </c>
      <c r="C23" s="5">
        <v>2361</v>
      </c>
      <c r="D23" s="5">
        <v>2596</v>
      </c>
      <c r="E23" s="5">
        <v>2828</v>
      </c>
      <c r="F23" s="5">
        <v>3132</v>
      </c>
      <c r="G23" s="5">
        <v>3386</v>
      </c>
      <c r="H23" s="28">
        <f>H74*H24</f>
        <v>3288.5718308456985</v>
      </c>
      <c r="I23" s="28">
        <f t="shared" ref="I23:L23" si="16">I74*I24</f>
        <v>3383.5527047146584</v>
      </c>
      <c r="J23" s="28">
        <f t="shared" si="16"/>
        <v>3634.3345160568315</v>
      </c>
      <c r="K23" s="28">
        <f t="shared" si="16"/>
        <v>3784.1802537620538</v>
      </c>
      <c r="L23" s="28">
        <f t="shared" si="16"/>
        <v>3853.615515849749</v>
      </c>
    </row>
    <row r="24" spans="2:12" x14ac:dyDescent="0.25">
      <c r="B24" s="17" t="s">
        <v>212</v>
      </c>
      <c r="C24" s="18">
        <f>C23/Balance_Sheet!C74</f>
        <v>1.2776112295587614E-2</v>
      </c>
      <c r="D24" s="18">
        <f>D23/Balance_Sheet!D74</f>
        <v>1.272218216666721E-2</v>
      </c>
      <c r="E24" s="18">
        <f>E23/Balance_Sheet!E74</f>
        <v>1.5107154417615273E-2</v>
      </c>
      <c r="F24" s="18">
        <f>F23/Balance_Sheet!F74</f>
        <v>1.6243287215320742E-2</v>
      </c>
      <c r="G24" s="18">
        <f>G23/Balance_Sheet!G74</f>
        <v>1.5192567808364567E-2</v>
      </c>
      <c r="H24" s="25">
        <f>MEDIAN(C24:G24)</f>
        <v>1.5107154417615273E-2</v>
      </c>
      <c r="I24" s="25">
        <f t="shared" ref="I24:L24" si="17">H24</f>
        <v>1.5107154417615273E-2</v>
      </c>
      <c r="J24" s="25">
        <f t="shared" si="17"/>
        <v>1.5107154417615273E-2</v>
      </c>
      <c r="K24" s="25">
        <f t="shared" si="17"/>
        <v>1.5107154417615273E-2</v>
      </c>
      <c r="L24" s="25">
        <f t="shared" si="17"/>
        <v>1.5107154417615273E-2</v>
      </c>
    </row>
    <row r="25" spans="2:12" ht="18.75" x14ac:dyDescent="0.25">
      <c r="B25" s="8" t="s">
        <v>21</v>
      </c>
      <c r="C25" s="4">
        <v>410</v>
      </c>
      <c r="D25" s="4">
        <v>387</v>
      </c>
      <c r="E25" s="4">
        <v>355</v>
      </c>
      <c r="F25" s="4">
        <v>353</v>
      </c>
      <c r="G25" s="4">
        <v>417</v>
      </c>
      <c r="H25" s="24">
        <f>H74*H26</f>
        <v>412.81577084519904</v>
      </c>
      <c r="I25" s="24">
        <f t="shared" ref="I25:L25" si="18">I74*I26</f>
        <v>424.73875890159252</v>
      </c>
      <c r="J25" s="24">
        <f t="shared" si="18"/>
        <v>456.21950254603081</v>
      </c>
      <c r="K25" s="24">
        <f t="shared" si="18"/>
        <v>475.0296994644728</v>
      </c>
      <c r="L25" s="24">
        <f t="shared" si="18"/>
        <v>483.7459363955661</v>
      </c>
    </row>
    <row r="26" spans="2:12" x14ac:dyDescent="0.25">
      <c r="B26" s="17" t="s">
        <v>213</v>
      </c>
      <c r="C26" s="18">
        <f>C25/Balance_Sheet!C74</f>
        <v>2.2186387298563839E-3</v>
      </c>
      <c r="D26" s="18">
        <f>D25/Balance_Sheet!D74</f>
        <v>1.8965656773883707E-3</v>
      </c>
      <c r="E26" s="18">
        <f>E25/Balance_Sheet!E74</f>
        <v>1.8964072907543925E-3</v>
      </c>
      <c r="F26" s="18">
        <f>F25/Balance_Sheet!F74</f>
        <v>1.8307408643065844E-3</v>
      </c>
      <c r="G26" s="18">
        <f>G25/Balance_Sheet!G74</f>
        <v>1.8710279905753175E-3</v>
      </c>
      <c r="H26" s="25">
        <f>MEDIAN(C26:G26)</f>
        <v>1.8964072907543925E-3</v>
      </c>
      <c r="I26" s="25">
        <f t="shared" ref="I26:L26" si="19">H26</f>
        <v>1.8964072907543925E-3</v>
      </c>
      <c r="J26" s="25">
        <f t="shared" si="19"/>
        <v>1.8964072907543925E-3</v>
      </c>
      <c r="K26" s="25">
        <f t="shared" si="19"/>
        <v>1.8964072907543925E-3</v>
      </c>
      <c r="L26" s="25">
        <f t="shared" si="19"/>
        <v>1.8964072907543925E-3</v>
      </c>
    </row>
    <row r="27" spans="2:12" ht="18.75" x14ac:dyDescent="0.25">
      <c r="B27" s="8" t="s">
        <v>14</v>
      </c>
      <c r="C27" s="5">
        <v>4858</v>
      </c>
      <c r="D27" s="5">
        <v>6077</v>
      </c>
      <c r="E27" s="5">
        <v>6116</v>
      </c>
      <c r="F27" s="5">
        <v>5848</v>
      </c>
      <c r="G27" s="5">
        <v>6157</v>
      </c>
      <c r="H27" s="28">
        <f>ROUND(H74*H28,2)</f>
        <v>6013.65</v>
      </c>
      <c r="I27" s="28">
        <f t="shared" ref="I27:L27" si="20">ROUND(I74*I28,2)</f>
        <v>6187.34</v>
      </c>
      <c r="J27" s="28">
        <f t="shared" si="20"/>
        <v>6645.93</v>
      </c>
      <c r="K27" s="28">
        <f t="shared" si="20"/>
        <v>6919.94</v>
      </c>
      <c r="L27" s="28">
        <f t="shared" si="20"/>
        <v>7046.92</v>
      </c>
    </row>
    <row r="28" spans="2:12" x14ac:dyDescent="0.25">
      <c r="B28" s="17" t="s">
        <v>214</v>
      </c>
      <c r="C28" s="18">
        <f>C27/Balance_Sheet!C74</f>
        <v>2.6288163291810517E-2</v>
      </c>
      <c r="D28" s="18">
        <f>D27/Balance_Sheet!D74</f>
        <v>2.9781471890152785E-2</v>
      </c>
      <c r="E28" s="18">
        <f>E27/Balance_Sheet!E74</f>
        <v>3.2671625324658775E-2</v>
      </c>
      <c r="F28" s="18">
        <f>F27/Balance_Sheet!F74</f>
        <v>3.0329100777520976E-2</v>
      </c>
      <c r="G28" s="18">
        <f>G27/Balance_Sheet!G74</f>
        <v>2.7625705846456183E-2</v>
      </c>
      <c r="H28" s="25">
        <f>G28</f>
        <v>2.7625705846456183E-2</v>
      </c>
      <c r="I28" s="25">
        <f t="shared" ref="I28:L28" si="21">H28</f>
        <v>2.7625705846456183E-2</v>
      </c>
      <c r="J28" s="25">
        <f t="shared" si="21"/>
        <v>2.7625705846456183E-2</v>
      </c>
      <c r="K28" s="25">
        <f t="shared" si="21"/>
        <v>2.7625705846456183E-2</v>
      </c>
      <c r="L28" s="25">
        <f t="shared" si="21"/>
        <v>2.7625705846456183E-2</v>
      </c>
    </row>
    <row r="29" spans="2:12" ht="18.75" x14ac:dyDescent="0.25">
      <c r="B29" s="8" t="s">
        <v>19</v>
      </c>
      <c r="C29" s="5">
        <v>17843</v>
      </c>
      <c r="D29" s="5">
        <v>17352</v>
      </c>
      <c r="E29" s="5">
        <v>8027</v>
      </c>
      <c r="F29" s="5">
        <v>7892</v>
      </c>
      <c r="G29" s="5">
        <v>10538</v>
      </c>
      <c r="H29" s="28">
        <f>H74*H30</f>
        <v>10292.647226731764</v>
      </c>
      <c r="I29" s="28">
        <f t="shared" ref="I29:L29" si="22">I74*I30</f>
        <v>10589.920535117582</v>
      </c>
      <c r="J29" s="28">
        <f t="shared" si="22"/>
        <v>11374.823176080117</v>
      </c>
      <c r="K29" s="28">
        <f t="shared" si="22"/>
        <v>11843.813788406991</v>
      </c>
      <c r="L29" s="28">
        <f t="shared" si="22"/>
        <v>12061.133857581373</v>
      </c>
    </row>
    <row r="30" spans="2:12" x14ac:dyDescent="0.25">
      <c r="B30" s="17" t="s">
        <v>215</v>
      </c>
      <c r="C30" s="18">
        <f>C29/Balance_Sheet!C74</f>
        <v>9.6554075260554761E-2</v>
      </c>
      <c r="D30" s="18">
        <f>D29/Balance_Sheet!D74</f>
        <v>8.5036712232669273E-2</v>
      </c>
      <c r="E30" s="18">
        <f>E29/Balance_Sheet!E74</f>
        <v>4.2880172740522561E-2</v>
      </c>
      <c r="F30" s="18">
        <f>F29/Balance_Sheet!F74</f>
        <v>4.09297645923727E-2</v>
      </c>
      <c r="G30" s="18">
        <f>G29/Balance_Sheet!G74</f>
        <v>4.7282716941685121E-2</v>
      </c>
      <c r="H30" s="25">
        <f>MEDIAN(C30:G30)</f>
        <v>4.7282716941685121E-2</v>
      </c>
      <c r="I30" s="25">
        <f t="shared" ref="I30:L30" si="23">H30</f>
        <v>4.7282716941685121E-2</v>
      </c>
      <c r="J30" s="25">
        <f t="shared" si="23"/>
        <v>4.7282716941685121E-2</v>
      </c>
      <c r="K30" s="25">
        <f t="shared" si="23"/>
        <v>4.7282716941685121E-2</v>
      </c>
      <c r="L30" s="25">
        <f t="shared" si="23"/>
        <v>4.7282716941685121E-2</v>
      </c>
    </row>
    <row r="31" spans="2:12" ht="18.75" x14ac:dyDescent="0.25">
      <c r="B31" s="8" t="s">
        <v>20</v>
      </c>
      <c r="C31" s="5">
        <v>27043</v>
      </c>
      <c r="D31" s="5">
        <v>35920</v>
      </c>
      <c r="E31" s="5">
        <v>32919</v>
      </c>
      <c r="F31" s="5">
        <v>39181</v>
      </c>
      <c r="G31" s="5">
        <v>37854</v>
      </c>
      <c r="H31" s="28">
        <f>H74*H32</f>
        <v>38280.232001276359</v>
      </c>
      <c r="I31" s="28">
        <f t="shared" ref="I31:L31" si="24">I74*I32</f>
        <v>39385.845645863446</v>
      </c>
      <c r="J31" s="28">
        <f t="shared" si="24"/>
        <v>42305.041702289542</v>
      </c>
      <c r="K31" s="28">
        <f t="shared" si="24"/>
        <v>44049.303314566139</v>
      </c>
      <c r="L31" s="28">
        <f t="shared" si="24"/>
        <v>44857.556282269405</v>
      </c>
    </row>
    <row r="32" spans="2:12" x14ac:dyDescent="0.25">
      <c r="B32" s="17" t="s">
        <v>216</v>
      </c>
      <c r="C32" s="18">
        <f>C31/Balance_Sheet!C74</f>
        <v>0.1463381638329419</v>
      </c>
      <c r="D32" s="18">
        <f>D31/Balance_Sheet!D74</f>
        <v>0.17603265925527203</v>
      </c>
      <c r="E32" s="18">
        <f>E31/Balance_Sheet!E74</f>
        <v>0.17585304677279956</v>
      </c>
      <c r="F32" s="18">
        <f>F31/Balance_Sheet!F74</f>
        <v>0.20320186346854471</v>
      </c>
      <c r="G32" s="18">
        <f>G31/Balance_Sheet!G74</f>
        <v>0.1698462675185565</v>
      </c>
      <c r="H32" s="25">
        <f>MEDIAN(C32:G32)</f>
        <v>0.17585304677279956</v>
      </c>
      <c r="I32" s="25">
        <f t="shared" ref="I32:L32" si="25">H32</f>
        <v>0.17585304677279956</v>
      </c>
      <c r="J32" s="25">
        <f t="shared" si="25"/>
        <v>0.17585304677279956</v>
      </c>
      <c r="K32" s="25">
        <f t="shared" si="25"/>
        <v>0.17585304677279956</v>
      </c>
      <c r="L32" s="25">
        <f t="shared" si="25"/>
        <v>0.17585304677279956</v>
      </c>
    </row>
    <row r="33" spans="2:12" ht="18.75" x14ac:dyDescent="0.25">
      <c r="B33" s="9" t="s">
        <v>22</v>
      </c>
      <c r="C33" s="7">
        <f>C23+C25+C27+C29+C31</f>
        <v>52515</v>
      </c>
      <c r="D33" s="7">
        <f t="shared" ref="D33:L33" si="26">D23+D25+D27+D29+D31</f>
        <v>62332</v>
      </c>
      <c r="E33" s="7">
        <f t="shared" si="26"/>
        <v>50245</v>
      </c>
      <c r="F33" s="7">
        <f t="shared" si="26"/>
        <v>56406</v>
      </c>
      <c r="G33" s="7">
        <f t="shared" si="26"/>
        <v>58352</v>
      </c>
      <c r="H33" s="29">
        <f t="shared" si="26"/>
        <v>58287.916829699025</v>
      </c>
      <c r="I33" s="29">
        <f t="shared" si="26"/>
        <v>59971.39764459728</v>
      </c>
      <c r="J33" s="29">
        <f t="shared" si="26"/>
        <v>64416.348896972522</v>
      </c>
      <c r="K33" s="29">
        <f t="shared" si="26"/>
        <v>67072.267056199664</v>
      </c>
      <c r="L33" s="29">
        <f t="shared" si="26"/>
        <v>68302.971592096088</v>
      </c>
    </row>
    <row r="34" spans="2:12" x14ac:dyDescent="0.25">
      <c r="B34" s="19" t="s">
        <v>217</v>
      </c>
      <c r="C34" s="20">
        <f>C33/Balance_Sheet!C74</f>
        <v>0.28417515341075122</v>
      </c>
      <c r="D34" s="20">
        <f>D33/Balance_Sheet!D74</f>
        <v>0.30546959122214967</v>
      </c>
      <c r="E34" s="20">
        <f>E33/Balance_Sheet!E74</f>
        <v>0.26840840654635056</v>
      </c>
      <c r="F34" s="20">
        <f>F33/Balance_Sheet!F74</f>
        <v>0.29253475691806569</v>
      </c>
      <c r="G34" s="20">
        <f>G33/Balance_Sheet!G74</f>
        <v>0.26181828610563768</v>
      </c>
      <c r="H34" s="27">
        <f>H33/Balance_Sheet!H74</f>
        <v>0.26776503768839094</v>
      </c>
      <c r="I34" s="27">
        <f>I33/Balance_Sheet!I74</f>
        <v>0.26776505168508807</v>
      </c>
      <c r="J34" s="27">
        <f>J33/Balance_Sheet!J74</f>
        <v>0.26776504075397767</v>
      </c>
      <c r="K34" s="27">
        <f>K33/Balance_Sheet!K74</f>
        <v>0.26776501847399886</v>
      </c>
      <c r="L34" s="27">
        <f>L33/Balance_Sheet!L74</f>
        <v>0.26776504681896157</v>
      </c>
    </row>
    <row r="35" spans="2:12" ht="18.75" x14ac:dyDescent="0.25">
      <c r="B35" s="8" t="s">
        <v>10</v>
      </c>
      <c r="C35" s="5">
        <v>15957</v>
      </c>
      <c r="D35" s="5">
        <v>15227</v>
      </c>
      <c r="E35" s="5">
        <v>17112</v>
      </c>
      <c r="F35" s="5">
        <v>15138</v>
      </c>
      <c r="G35" s="5">
        <v>17321</v>
      </c>
      <c r="H35" s="28">
        <f>H74*H36</f>
        <v>17090.128774971592</v>
      </c>
      <c r="I35" s="28">
        <f t="shared" ref="I35:L35" si="27">I74*I36</f>
        <v>17583.727652865775</v>
      </c>
      <c r="J35" s="28">
        <f t="shared" si="27"/>
        <v>18886.996570411724</v>
      </c>
      <c r="K35" s="28">
        <f t="shared" si="27"/>
        <v>19665.718485421348</v>
      </c>
      <c r="L35" s="28">
        <f t="shared" si="27"/>
        <v>20026.561316790321</v>
      </c>
    </row>
    <row r="36" spans="2:12" x14ac:dyDescent="0.25">
      <c r="B36" s="17" t="s">
        <v>218</v>
      </c>
      <c r="C36" s="18">
        <f>C35/Balance_Sheet!C74</f>
        <v>8.6348337103215406E-2</v>
      </c>
      <c r="D36" s="18">
        <f>D35/Balance_Sheet!D74</f>
        <v>7.4622753409800305E-2</v>
      </c>
      <c r="E36" s="18">
        <f>E35/Balance_Sheet!E74</f>
        <v>9.1412173406730038E-2</v>
      </c>
      <c r="F36" s="18">
        <f>F35/Balance_Sheet!F74</f>
        <v>7.850922154071692E-2</v>
      </c>
      <c r="G36" s="18">
        <f>G35/Balance_Sheet!G74</f>
        <v>7.7717208212841907E-2</v>
      </c>
      <c r="H36" s="25">
        <f>MEDIAN(C36:G36)</f>
        <v>7.850922154071692E-2</v>
      </c>
      <c r="I36" s="25">
        <f t="shared" ref="I36:L36" si="28">H36</f>
        <v>7.850922154071692E-2</v>
      </c>
      <c r="J36" s="25">
        <f t="shared" si="28"/>
        <v>7.850922154071692E-2</v>
      </c>
      <c r="K36" s="25">
        <f t="shared" si="28"/>
        <v>7.850922154071692E-2</v>
      </c>
      <c r="L36" s="25">
        <f t="shared" si="28"/>
        <v>7.850922154071692E-2</v>
      </c>
    </row>
    <row r="37" spans="2:12" ht="18.75" x14ac:dyDescent="0.25">
      <c r="B37" s="9" t="s">
        <v>124</v>
      </c>
      <c r="C37" s="7">
        <f>C13+C21+C33+C35</f>
        <v>184798</v>
      </c>
      <c r="D37" s="7">
        <f t="shared" ref="D37:L37" si="29">D13+D21+D33+D35</f>
        <v>204053.04420193395</v>
      </c>
      <c r="E37" s="7">
        <f t="shared" si="29"/>
        <v>187196.07424562299</v>
      </c>
      <c r="F37" s="7">
        <f t="shared" si="29"/>
        <v>192818.11362948033</v>
      </c>
      <c r="G37" s="7">
        <f t="shared" si="29"/>
        <v>222872.13344776194</v>
      </c>
      <c r="H37" s="29">
        <f t="shared" si="29"/>
        <v>217683.07518000551</v>
      </c>
      <c r="I37" s="29">
        <f t="shared" si="29"/>
        <v>223970.22041221487</v>
      </c>
      <c r="J37" s="29">
        <f t="shared" si="29"/>
        <v>240570.42217157176</v>
      </c>
      <c r="K37" s="29">
        <f t="shared" si="29"/>
        <v>250489.2813797956</v>
      </c>
      <c r="L37" s="29">
        <f t="shared" si="29"/>
        <v>255085.46542400791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1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7">
        <f>H37/Balance_Sheet!H74</f>
        <v>0.99999999999999989</v>
      </c>
      <c r="I38" s="27">
        <f>I37/Balance_Sheet!I74</f>
        <v>1</v>
      </c>
      <c r="J38" s="27">
        <f>J37/Balance_Sheet!J74</f>
        <v>1</v>
      </c>
      <c r="K38" s="27">
        <f>K37/Balance_Sheet!K74</f>
        <v>1.0000000000000002</v>
      </c>
      <c r="L38" s="27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79330</v>
      </c>
      <c r="D40" s="5">
        <v>95515</v>
      </c>
      <c r="E40" s="5">
        <v>88022</v>
      </c>
      <c r="F40" s="5">
        <v>89429</v>
      </c>
      <c r="G40" s="5">
        <v>109345</v>
      </c>
      <c r="H40" s="28">
        <f>ROUND(H74*H41,2)</f>
        <v>106799.16</v>
      </c>
      <c r="I40" s="28">
        <f t="shared" ref="I40:L40" si="30">ROUND(I74*I41,2)</f>
        <v>109883.74</v>
      </c>
      <c r="J40" s="28">
        <f t="shared" si="30"/>
        <v>118028.09</v>
      </c>
      <c r="K40" s="28">
        <f t="shared" si="30"/>
        <v>122894.46</v>
      </c>
      <c r="L40" s="28">
        <f t="shared" si="30"/>
        <v>125149.43</v>
      </c>
    </row>
    <row r="41" spans="2:12" x14ac:dyDescent="0.25">
      <c r="B41" s="17" t="s">
        <v>220</v>
      </c>
      <c r="C41" s="18">
        <f>C40/Balance_Sheet!C74</f>
        <v>0.42927953765733395</v>
      </c>
      <c r="D41" s="18">
        <f>D40/Balance_Sheet!D74</f>
        <v>0.46808907151356643</v>
      </c>
      <c r="E41" s="18">
        <f>E40/Balance_Sheet!E74</f>
        <v>0.47021285224445952</v>
      </c>
      <c r="F41" s="18">
        <f>F40/Balance_Sheet!F74</f>
        <v>0.46379978683873518</v>
      </c>
      <c r="G41" s="18">
        <f>G40/Balance_Sheet!G74</f>
        <v>0.49061763939918002</v>
      </c>
      <c r="H41" s="25">
        <f>G41</f>
        <v>0.49061763939918002</v>
      </c>
      <c r="I41" s="25">
        <f t="shared" ref="I41:L41" si="31">H41</f>
        <v>0.49061763939918002</v>
      </c>
      <c r="J41" s="25">
        <f t="shared" si="31"/>
        <v>0.49061763939918002</v>
      </c>
      <c r="K41" s="25">
        <f t="shared" si="31"/>
        <v>0.49061763939918002</v>
      </c>
      <c r="L41" s="25">
        <f t="shared" si="31"/>
        <v>0.49061763939918002</v>
      </c>
    </row>
    <row r="42" spans="2:12" ht="18.75" x14ac:dyDescent="0.25">
      <c r="B42" s="8" t="s">
        <v>27</v>
      </c>
      <c r="C42" s="4">
        <v>949</v>
      </c>
      <c r="D42" s="5">
        <v>882</v>
      </c>
      <c r="E42" s="4">
        <v>882</v>
      </c>
      <c r="F42" s="4">
        <v>1041</v>
      </c>
      <c r="G42" s="4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5.1353369625212397E-3</v>
      </c>
      <c r="D43" s="18">
        <f>D42/Balance_Sheet!D74</f>
        <v>4.3224054973037282E-3</v>
      </c>
      <c r="E43" s="18">
        <f>E42/Balance_Sheet!E74</f>
        <v>4.7116372688602087E-3</v>
      </c>
      <c r="F43" s="18">
        <f>F42/Balance_Sheet!F74</f>
        <v>5.3988703675443466E-3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8192</v>
      </c>
      <c r="E44" s="5">
        <f>Income_Statement!E31+D44</f>
        <v>17285</v>
      </c>
      <c r="F44" s="5">
        <f>Income_Statement!F31+E44</f>
        <v>24923</v>
      </c>
      <c r="G44" s="5">
        <f>Income_Statement!G31+F44</f>
        <v>33818</v>
      </c>
      <c r="H44" s="28">
        <f>Income_Statement!H31+G44</f>
        <v>42939.559942300599</v>
      </c>
      <c r="I44" s="28">
        <f>Income_Statement!I31+H44</f>
        <v>52324.56934775073</v>
      </c>
      <c r="J44" s="28">
        <f>Income_Statement!J31+I44</f>
        <v>62405.175766473963</v>
      </c>
      <c r="K44" s="28">
        <f>Income_Statement!K31+J44</f>
        <v>72901.411724384714</v>
      </c>
      <c r="L44" s="28">
        <f>Income_Statement!L31+K44</f>
        <v>83590.241369578114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4.0146423847972949E-2</v>
      </c>
      <c r="E45" s="18">
        <f>E44/Balance_Sheet!E74</f>
        <v>9.2336338086449782E-2</v>
      </c>
      <c r="F45" s="18">
        <f>F44/Balance_Sheet!F74</f>
        <v>0.12925652850173655</v>
      </c>
      <c r="G45" s="18">
        <f>G44/Balance_Sheet!G74</f>
        <v>0.15173722922128557</v>
      </c>
      <c r="H45" s="25">
        <f>H44/Balance_Sheet!H74</f>
        <v>0.19725722776928434</v>
      </c>
      <c r="I45" s="25">
        <f>I44/Balance_Sheet!I74</f>
        <v>0.23362288634376438</v>
      </c>
      <c r="J45" s="25">
        <f>J44/Balance_Sheet!J74</f>
        <v>0.25940502245935865</v>
      </c>
      <c r="K45" s="25">
        <f>K44/Balance_Sheet!K74</f>
        <v>0.29103605281157924</v>
      </c>
      <c r="L45" s="25">
        <f>L44/Balance_Sheet!L74</f>
        <v>0.32769503833012525</v>
      </c>
    </row>
    <row r="46" spans="2:12" ht="18.75" x14ac:dyDescent="0.25">
      <c r="B46" s="9" t="s">
        <v>126</v>
      </c>
      <c r="C46" s="7">
        <f>C40+C42-C44</f>
        <v>80279</v>
      </c>
      <c r="D46" s="7">
        <f t="shared" ref="D46:L46" si="34">D40+D42-D44</f>
        <v>88205</v>
      </c>
      <c r="E46" s="7">
        <f t="shared" si="34"/>
        <v>71619</v>
      </c>
      <c r="F46" s="7">
        <f t="shared" si="34"/>
        <v>65547</v>
      </c>
      <c r="G46" s="7">
        <f t="shared" si="34"/>
        <v>75527</v>
      </c>
      <c r="H46" s="29">
        <f t="shared" si="34"/>
        <v>63859.600057699405</v>
      </c>
      <c r="I46" s="29">
        <f t="shared" si="34"/>
        <v>57559.170652249275</v>
      </c>
      <c r="J46" s="29">
        <f t="shared" si="34"/>
        <v>55622.914233526033</v>
      </c>
      <c r="K46" s="29">
        <f t="shared" si="34"/>
        <v>49993.048275615292</v>
      </c>
      <c r="L46" s="29">
        <f t="shared" si="34"/>
        <v>41559.188630421879</v>
      </c>
    </row>
    <row r="47" spans="2:12" x14ac:dyDescent="0.25">
      <c r="B47" s="19" t="s">
        <v>223</v>
      </c>
      <c r="C47" s="20">
        <f>C46/Balance_Sheet!C74</f>
        <v>0.43441487461985517</v>
      </c>
      <c r="D47" s="20">
        <f>D46/Balance_Sheet!D74</f>
        <v>0.43226505316289726</v>
      </c>
      <c r="E47" s="20">
        <f>E46/Balance_Sheet!E74</f>
        <v>0.38258815142686997</v>
      </c>
      <c r="F47" s="20">
        <f>F46/Balance_Sheet!F74</f>
        <v>0.33994212870454299</v>
      </c>
      <c r="G47" s="20">
        <f>G46/Balance_Sheet!G74</f>
        <v>0.3388804101778945</v>
      </c>
      <c r="H47" s="27">
        <f>H46/Balance_Sheet!H74</f>
        <v>0.29336042779114957</v>
      </c>
      <c r="I47" s="27">
        <f>I46/Balance_Sheet!I74</f>
        <v>0.25699474933012173</v>
      </c>
      <c r="J47" s="27">
        <f>J46/Balance_Sheet!J74</f>
        <v>0.23121260598635221</v>
      </c>
      <c r="K47" s="27">
        <f>K46/Balance_Sheet!K74</f>
        <v>0.19958158688560845</v>
      </c>
      <c r="L47" s="27">
        <f>L46/Balance_Sheet!L74</f>
        <v>0.16292260541517489</v>
      </c>
    </row>
    <row r="48" spans="2:12" ht="18.75" x14ac:dyDescent="0.25">
      <c r="B48" s="8" t="s">
        <v>30</v>
      </c>
      <c r="C48" s="4">
        <v>164</v>
      </c>
      <c r="D48" s="4">
        <v>4891</v>
      </c>
      <c r="E48" s="4">
        <v>95</v>
      </c>
      <c r="F48" s="5">
        <v>156</v>
      </c>
      <c r="G48" s="4">
        <v>151</v>
      </c>
      <c r="H48" s="24">
        <f>H74*H49</f>
        <v>176.11706228666722</v>
      </c>
      <c r="I48" s="24">
        <f t="shared" ref="I48:L48" si="35">I74*I49</f>
        <v>181.20369360860491</v>
      </c>
      <c r="J48" s="24">
        <f t="shared" si="35"/>
        <v>194.63413033321635</v>
      </c>
      <c r="K48" s="24">
        <f t="shared" si="35"/>
        <v>202.65900936224935</v>
      </c>
      <c r="L48" s="24">
        <f t="shared" si="35"/>
        <v>206.37756410485471</v>
      </c>
    </row>
    <row r="49" spans="2:12" x14ac:dyDescent="0.25">
      <c r="B49" s="17" t="s">
        <v>224</v>
      </c>
      <c r="C49" s="18">
        <f>C48/Balance_Sheet!C74</f>
        <v>8.8745549194255353E-4</v>
      </c>
      <c r="D49" s="18">
        <f>D48/Balance_Sheet!D74</f>
        <v>2.3969257695365686E-2</v>
      </c>
      <c r="E49" s="18">
        <f>E48/Balance_Sheet!E74</f>
        <v>5.0748927499061206E-4</v>
      </c>
      <c r="F49" s="18">
        <f>F48/Balance_Sheet!F74</f>
        <v>8.0905261992019026E-4</v>
      </c>
      <c r="G49" s="18">
        <f>G48/Balance_Sheet!G74</f>
        <v>6.7751852896132591E-4</v>
      </c>
      <c r="H49" s="25">
        <f>MEDIAN(C49:G49)</f>
        <v>8.0905261992019026E-4</v>
      </c>
      <c r="I49" s="25">
        <f t="shared" ref="I49:L49" si="36">H49</f>
        <v>8.0905261992019026E-4</v>
      </c>
      <c r="J49" s="25">
        <f t="shared" si="36"/>
        <v>8.0905261992019026E-4</v>
      </c>
      <c r="K49" s="25">
        <f t="shared" si="36"/>
        <v>8.0905261992019026E-4</v>
      </c>
      <c r="L49" s="25">
        <f t="shared" si="36"/>
        <v>8.0905261992019026E-4</v>
      </c>
    </row>
    <row r="50" spans="2:12" ht="18.75" x14ac:dyDescent="0.25">
      <c r="B50" s="8" t="s">
        <v>36</v>
      </c>
      <c r="C50" s="5">
        <v>28536</v>
      </c>
      <c r="D50" s="5">
        <v>28174</v>
      </c>
      <c r="E50" s="5">
        <v>24658</v>
      </c>
      <c r="F50" s="5">
        <v>16504</v>
      </c>
      <c r="G50" s="5">
        <v>17140</v>
      </c>
      <c r="H50" s="28">
        <f>H74*H51</f>
        <v>28673.834584509626</v>
      </c>
      <c r="I50" s="28">
        <f t="shared" ref="I50:L50" si="37">I74*I51</f>
        <v>29501.995259142164</v>
      </c>
      <c r="J50" s="28">
        <f t="shared" si="37"/>
        <v>31688.621109239513</v>
      </c>
      <c r="K50" s="28">
        <f t="shared" si="37"/>
        <v>32995.161491253435</v>
      </c>
      <c r="L50" s="28">
        <f t="shared" si="37"/>
        <v>33600.583942653153</v>
      </c>
    </row>
    <row r="51" spans="2:12" x14ac:dyDescent="0.25">
      <c r="B51" s="17" t="s">
        <v>225</v>
      </c>
      <c r="C51" s="18">
        <f>C50/Balance_Sheet!C74</f>
        <v>0.15441725559800432</v>
      </c>
      <c r="D51" s="18">
        <f>D50/Balance_Sheet!D74</f>
        <v>0.13807194158847533</v>
      </c>
      <c r="E51" s="18">
        <f>E50/Balance_Sheet!E74</f>
        <v>0.1317228478180896</v>
      </c>
      <c r="F51" s="18">
        <f>F50/Balance_Sheet!F74</f>
        <v>8.5593618199761662E-2</v>
      </c>
      <c r="G51" s="18">
        <f>G50/Balance_Sheet!G74</f>
        <v>7.6905083353623352E-2</v>
      </c>
      <c r="H51" s="25">
        <f>MEDIAN(C51:G51)</f>
        <v>0.1317228478180896</v>
      </c>
      <c r="I51" s="25">
        <f t="shared" ref="I51:L51" si="38">H51</f>
        <v>0.1317228478180896</v>
      </c>
      <c r="J51" s="25">
        <f t="shared" si="38"/>
        <v>0.1317228478180896</v>
      </c>
      <c r="K51" s="25">
        <f t="shared" si="38"/>
        <v>0.1317228478180896</v>
      </c>
      <c r="L51" s="25">
        <f t="shared" si="38"/>
        <v>0.1317228478180896</v>
      </c>
    </row>
    <row r="52" spans="2:12" ht="18.75" x14ac:dyDescent="0.25">
      <c r="B52" s="8" t="s">
        <v>28</v>
      </c>
      <c r="C52" s="4">
        <v>32055</v>
      </c>
      <c r="D52" s="5">
        <v>22236</v>
      </c>
      <c r="E52" s="5">
        <v>16837</v>
      </c>
      <c r="F52" s="5">
        <v>13880</v>
      </c>
      <c r="G52" s="5">
        <v>0</v>
      </c>
      <c r="H52" s="28">
        <f>H74*H53</f>
        <v>19579.096151325681</v>
      </c>
      <c r="I52" s="28">
        <f t="shared" ref="I52:L52" si="39">I74*I53</f>
        <v>20144.58164401722</v>
      </c>
      <c r="J52" s="28">
        <f t="shared" si="39"/>
        <v>21637.655674274705</v>
      </c>
      <c r="K52" s="28">
        <f t="shared" si="39"/>
        <v>22529.788872910784</v>
      </c>
      <c r="L52" s="28">
        <f t="shared" si="39"/>
        <v>22943.184031245481</v>
      </c>
    </row>
    <row r="53" spans="2:12" x14ac:dyDescent="0.25">
      <c r="B53" s="17" t="s">
        <v>226</v>
      </c>
      <c r="C53" s="18">
        <f>C52/Balance_Sheet!C74</f>
        <v>0.17345966947694239</v>
      </c>
      <c r="D53" s="18">
        <f>D52/Balance_Sheet!D74</f>
        <v>0.1089716651225008</v>
      </c>
      <c r="E53" s="18">
        <f>E52/Balance_Sheet!E74</f>
        <v>8.9943125505441424E-2</v>
      </c>
      <c r="F53" s="18">
        <f>F52/Balance_Sheet!F74</f>
        <v>7.1984938233924614E-2</v>
      </c>
      <c r="G53" s="18">
        <f>G52/Balance_Sheet!G74</f>
        <v>0</v>
      </c>
      <c r="H53" s="25">
        <f>MEDIAN(C53:G53)</f>
        <v>8.9943125505441424E-2</v>
      </c>
      <c r="I53" s="25">
        <f t="shared" ref="I53:L53" si="40">H53</f>
        <v>8.9943125505441424E-2</v>
      </c>
      <c r="J53" s="25">
        <f t="shared" si="40"/>
        <v>8.9943125505441424E-2</v>
      </c>
      <c r="K53" s="25">
        <f t="shared" si="40"/>
        <v>8.9943125505441424E-2</v>
      </c>
      <c r="L53" s="25">
        <f t="shared" si="40"/>
        <v>8.9943125505441424E-2</v>
      </c>
    </row>
    <row r="54" spans="2:12" ht="18.75" x14ac:dyDescent="0.25">
      <c r="B54" s="9" t="s">
        <v>127</v>
      </c>
      <c r="C54" s="7">
        <f>C46+C48+C50+C52</f>
        <v>141034</v>
      </c>
      <c r="D54" s="7">
        <f t="shared" ref="D54:L54" si="41">D46+D48+D50+D52</f>
        <v>143506</v>
      </c>
      <c r="E54" s="7">
        <f t="shared" si="41"/>
        <v>113209</v>
      </c>
      <c r="F54" s="7">
        <f t="shared" si="41"/>
        <v>96087</v>
      </c>
      <c r="G54" s="7">
        <f t="shared" si="41"/>
        <v>92818</v>
      </c>
      <c r="H54" s="29">
        <f t="shared" si="41"/>
        <v>112288.64785582139</v>
      </c>
      <c r="I54" s="29">
        <f t="shared" si="41"/>
        <v>107386.95124901726</v>
      </c>
      <c r="J54" s="29">
        <f t="shared" si="41"/>
        <v>109143.82514737347</v>
      </c>
      <c r="K54" s="29">
        <f t="shared" si="41"/>
        <v>105720.65764914177</v>
      </c>
      <c r="L54" s="29">
        <f t="shared" si="41"/>
        <v>98309.334168425354</v>
      </c>
    </row>
    <row r="55" spans="2:12" x14ac:dyDescent="0.25">
      <c r="B55" s="19" t="s">
        <v>227</v>
      </c>
      <c r="C55" s="20">
        <f>C54/Balance_Sheet!C74</f>
        <v>0.76317925518674445</v>
      </c>
      <c r="D55" s="20">
        <f>D54/Balance_Sheet!D74</f>
        <v>0.70327791756923907</v>
      </c>
      <c r="E55" s="20">
        <f>E54/Balance_Sheet!E74</f>
        <v>0.60476161402539164</v>
      </c>
      <c r="F55" s="20">
        <f>F54/Balance_Sheet!F74</f>
        <v>0.49832973775814948</v>
      </c>
      <c r="G55" s="20">
        <f>G54/Balance_Sheet!G74</f>
        <v>0.41646301206047914</v>
      </c>
      <c r="H55" s="27">
        <f>H54/Balance_Sheet!H74</f>
        <v>0.51583545373460082</v>
      </c>
      <c r="I55" s="27">
        <f>I54/Balance_Sheet!I74</f>
        <v>0.47946977527357293</v>
      </c>
      <c r="J55" s="27">
        <f>J54/Balance_Sheet!J74</f>
        <v>0.45368763192980344</v>
      </c>
      <c r="K55" s="27">
        <f>K54/Balance_Sheet!K74</f>
        <v>0.42205661282905965</v>
      </c>
      <c r="L55" s="27">
        <f>L54/Balance_Sheet!L74</f>
        <v>0.38539763135862604</v>
      </c>
    </row>
    <row r="56" spans="2:12" ht="18.75" x14ac:dyDescent="0.25">
      <c r="B56" s="8" t="s">
        <v>31</v>
      </c>
      <c r="C56" s="5">
        <v>4934</v>
      </c>
      <c r="D56" s="5">
        <v>3475</v>
      </c>
      <c r="E56" s="5">
        <v>6889</v>
      </c>
      <c r="F56" s="5">
        <v>5860</v>
      </c>
      <c r="G56" s="5">
        <v>5085</v>
      </c>
      <c r="H56" s="28">
        <f>H74*H57</f>
        <v>5812.012537679776</v>
      </c>
      <c r="I56" s="28">
        <f t="shared" ref="I56:L56" si="42">I74*I57</f>
        <v>5979.8756886647479</v>
      </c>
      <c r="J56" s="28">
        <f t="shared" si="42"/>
        <v>6423.0914998784347</v>
      </c>
      <c r="K56" s="28">
        <f t="shared" si="42"/>
        <v>6687.9193190830601</v>
      </c>
      <c r="L56" s="28">
        <f t="shared" si="42"/>
        <v>6810.6347817728274</v>
      </c>
    </row>
    <row r="57" spans="2:12" x14ac:dyDescent="0.25">
      <c r="B57" s="17" t="s">
        <v>228</v>
      </c>
      <c r="C57" s="18">
        <f>C56/Balance_Sheet!C74</f>
        <v>2.6699423153930237E-2</v>
      </c>
      <c r="D57" s="18">
        <f>D56/Balance_Sheet!D74</f>
        <v>1.7029885604456299E-2</v>
      </c>
      <c r="E57" s="18">
        <f>E56/Balance_Sheet!E74</f>
        <v>3.6800985425371857E-2</v>
      </c>
      <c r="F57" s="18">
        <f>F56/Balance_Sheet!F74</f>
        <v>3.0391335594437914E-2</v>
      </c>
      <c r="G57" s="18">
        <f>G56/Balance_Sheet!G74</f>
        <v>2.2815772978598294E-2</v>
      </c>
      <c r="H57" s="25">
        <f>MEDIAN(C57:G57)</f>
        <v>2.6699423153930237E-2</v>
      </c>
      <c r="I57" s="25">
        <f t="shared" ref="I57:L57" si="43">H57</f>
        <v>2.6699423153930237E-2</v>
      </c>
      <c r="J57" s="25">
        <f t="shared" si="43"/>
        <v>2.6699423153930237E-2</v>
      </c>
      <c r="K57" s="25">
        <f t="shared" si="43"/>
        <v>2.6699423153930237E-2</v>
      </c>
      <c r="L57" s="25">
        <f t="shared" si="43"/>
        <v>2.6699423153930237E-2</v>
      </c>
    </row>
    <row r="58" spans="2:12" ht="18.75" x14ac:dyDescent="0.25">
      <c r="B58" s="8" t="s">
        <v>32</v>
      </c>
      <c r="C58" s="5">
        <v>23</v>
      </c>
      <c r="D58" s="5">
        <v>20</v>
      </c>
      <c r="E58" s="4">
        <v>17</v>
      </c>
      <c r="F58" s="4">
        <v>5069</v>
      </c>
      <c r="G58" s="4">
        <v>3166</v>
      </c>
      <c r="H58" s="24">
        <f>ROUND(H74*H59,2)</f>
        <v>3092.29</v>
      </c>
      <c r="I58" s="24">
        <f t="shared" ref="I58:L58" si="44">ROUND(I74*I59,2)</f>
        <v>3181.6</v>
      </c>
      <c r="J58" s="24">
        <f t="shared" si="44"/>
        <v>3417.41</v>
      </c>
      <c r="K58" s="24">
        <f t="shared" si="44"/>
        <v>3558.31</v>
      </c>
      <c r="L58" s="24">
        <f t="shared" si="44"/>
        <v>3623.61</v>
      </c>
    </row>
    <row r="59" spans="2:12" x14ac:dyDescent="0.25">
      <c r="B59" s="17" t="s">
        <v>229</v>
      </c>
      <c r="C59" s="18">
        <f>C58/Balance_Sheet!C74</f>
        <v>1.2446022143096787E-4</v>
      </c>
      <c r="D59" s="18">
        <f>D58/Balance_Sheet!D74</f>
        <v>9.8013730097590212E-5</v>
      </c>
      <c r="E59" s="18">
        <f>E58/Balance_Sheet!E74</f>
        <v>9.0813870261477952E-5</v>
      </c>
      <c r="F59" s="18">
        <f>F58/Balance_Sheet!F74</f>
        <v>2.6289023912663103E-2</v>
      </c>
      <c r="G59" s="18">
        <f>G58/Balance_Sheet!G74</f>
        <v>1.4205454719811642E-2</v>
      </c>
      <c r="H59" s="25">
        <f>G59</f>
        <v>1.4205454719811642E-2</v>
      </c>
      <c r="I59" s="25">
        <f t="shared" ref="I59:L59" si="45">H59</f>
        <v>1.4205454719811642E-2</v>
      </c>
      <c r="J59" s="25">
        <f t="shared" si="45"/>
        <v>1.4205454719811642E-2</v>
      </c>
      <c r="K59" s="25">
        <f t="shared" si="45"/>
        <v>1.4205454719811642E-2</v>
      </c>
      <c r="L59" s="25">
        <f t="shared" si="45"/>
        <v>1.4205454719811642E-2</v>
      </c>
    </row>
    <row r="60" spans="2:12" ht="18.75" x14ac:dyDescent="0.25">
      <c r="B60" s="8" t="s">
        <v>33</v>
      </c>
      <c r="C60" s="5">
        <v>12229</v>
      </c>
      <c r="D60" s="5">
        <v>12473</v>
      </c>
      <c r="E60" s="5">
        <v>11612</v>
      </c>
      <c r="F60" s="5">
        <v>11636</v>
      </c>
      <c r="G60" s="5">
        <v>12278</v>
      </c>
      <c r="H60" s="28"/>
      <c r="I60" s="28"/>
      <c r="J60" s="28"/>
      <c r="K60" s="28"/>
      <c r="L60" s="28"/>
    </row>
    <row r="61" spans="2:12" x14ac:dyDescent="0.25">
      <c r="B61" s="17" t="s">
        <v>230</v>
      </c>
      <c r="C61" s="18">
        <f>C60/Balance_Sheet!C74</f>
        <v>6.6174958603448089E-2</v>
      </c>
      <c r="D61" s="18">
        <f>D60/Balance_Sheet!D74</f>
        <v>6.1126262775362136E-2</v>
      </c>
      <c r="E61" s="18">
        <f>E60/Balance_Sheet!E74</f>
        <v>6.2031215380957759E-2</v>
      </c>
      <c r="F61" s="18">
        <f>F60/Balance_Sheet!F74</f>
        <v>6.0347027470457268E-2</v>
      </c>
      <c r="G61" s="18">
        <f>G60/Balance_Sheet!G74</f>
        <v>5.508988409660371E-2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5">
        <v>82</v>
      </c>
      <c r="D62" s="5">
        <v>82</v>
      </c>
      <c r="E62" s="4">
        <v>85</v>
      </c>
      <c r="F62" s="4">
        <v>2019</v>
      </c>
      <c r="G62" s="4">
        <v>2304</v>
      </c>
      <c r="H62" s="24">
        <f>ROUND(H74*H63,2)</f>
        <v>2250.36</v>
      </c>
      <c r="I62" s="24">
        <f t="shared" ref="I62:L62" si="46">ROUND(I74*I63,2)</f>
        <v>2315.35</v>
      </c>
      <c r="J62" s="24">
        <f t="shared" si="46"/>
        <v>2486.96</v>
      </c>
      <c r="K62" s="24">
        <f t="shared" si="46"/>
        <v>2589.5</v>
      </c>
      <c r="L62" s="24">
        <f t="shared" si="46"/>
        <v>2637.01</v>
      </c>
    </row>
    <row r="63" spans="2:12" x14ac:dyDescent="0.25">
      <c r="B63" s="17" t="s">
        <v>231</v>
      </c>
      <c r="C63" s="18">
        <f>C62/Balance_Sheet!C74</f>
        <v>4.4372774597127676E-4</v>
      </c>
      <c r="D63" s="18">
        <f>D62/Balance_Sheet!D74</f>
        <v>4.0185629340011987E-4</v>
      </c>
      <c r="E63" s="18">
        <f>E62/Balance_Sheet!E74</f>
        <v>4.5406935130738973E-4</v>
      </c>
      <c r="F63" s="18">
        <f>F62/Balance_Sheet!F74</f>
        <v>1.047100794627477E-2</v>
      </c>
      <c r="G63" s="18">
        <f>G62/Balance_Sheet!G74</f>
        <v>1.0337766163754272E-2</v>
      </c>
      <c r="H63" s="25">
        <f>G63</f>
        <v>1.0337766163754272E-2</v>
      </c>
      <c r="I63" s="25">
        <f t="shared" ref="I63:L63" si="47">H63</f>
        <v>1.0337766163754272E-2</v>
      </c>
      <c r="J63" s="25">
        <f t="shared" si="47"/>
        <v>1.0337766163754272E-2</v>
      </c>
      <c r="K63" s="25">
        <f t="shared" si="47"/>
        <v>1.0337766163754272E-2</v>
      </c>
      <c r="L63" s="25">
        <f t="shared" si="47"/>
        <v>1.0337766163754272E-2</v>
      </c>
    </row>
    <row r="64" spans="2:12" ht="18.75" x14ac:dyDescent="0.25">
      <c r="B64" s="8" t="s">
        <v>41</v>
      </c>
      <c r="C64" s="5">
        <v>5344</v>
      </c>
      <c r="D64" s="5">
        <v>6023</v>
      </c>
      <c r="E64" s="5">
        <v>6243</v>
      </c>
      <c r="F64" s="5">
        <v>7626</v>
      </c>
      <c r="G64" s="5">
        <v>14280</v>
      </c>
      <c r="H64" s="28">
        <f>H74*H65</f>
        <v>7259.7432602438812</v>
      </c>
      <c r="I64" s="28">
        <f t="shared" ref="I64:L64" si="48">I74*I65</f>
        <v>7469.4199206271614</v>
      </c>
      <c r="J64" s="28">
        <f t="shared" si="48"/>
        <v>8023.03761801372</v>
      </c>
      <c r="K64" s="28">
        <f t="shared" si="48"/>
        <v>8353.8321514273339</v>
      </c>
      <c r="L64" s="28">
        <f t="shared" si="48"/>
        <v>8507.1151575141394</v>
      </c>
    </row>
    <row r="65" spans="2:12" x14ac:dyDescent="0.25">
      <c r="B65" s="17" t="s">
        <v>232</v>
      </c>
      <c r="C65" s="18">
        <f>C64/Balance_Sheet!C74</f>
        <v>2.8918061883786622E-2</v>
      </c>
      <c r="D65" s="18">
        <f>D64/Balance_Sheet!D74</f>
        <v>2.9516834818889292E-2</v>
      </c>
      <c r="E65" s="18">
        <f>E64/Balance_Sheet!E74</f>
        <v>3.3350058355435697E-2</v>
      </c>
      <c r="F65" s="18">
        <f>F64/Balance_Sheet!F74</f>
        <v>3.9550226150713914E-2</v>
      </c>
      <c r="G65" s="18">
        <f>G64/Balance_Sheet!G74</f>
        <v>6.4072613202435333E-2</v>
      </c>
      <c r="H65" s="25">
        <f>MEDIAN(C65:G65)</f>
        <v>3.3350058355435697E-2</v>
      </c>
      <c r="I65" s="25">
        <f t="shared" ref="I65:L65" si="49">H65</f>
        <v>3.3350058355435697E-2</v>
      </c>
      <c r="J65" s="25">
        <f t="shared" si="49"/>
        <v>3.3350058355435697E-2</v>
      </c>
      <c r="K65" s="25">
        <f t="shared" si="49"/>
        <v>3.3350058355435697E-2</v>
      </c>
      <c r="L65" s="25">
        <f t="shared" si="49"/>
        <v>3.3350058355435697E-2</v>
      </c>
    </row>
    <row r="66" spans="2:12" ht="18.75" x14ac:dyDescent="0.25">
      <c r="B66" s="8" t="s">
        <v>37</v>
      </c>
      <c r="C66" s="5">
        <v>11967</v>
      </c>
      <c r="D66" s="5">
        <v>13198</v>
      </c>
      <c r="E66" s="5">
        <v>11335</v>
      </c>
      <c r="F66" s="5">
        <v>9923</v>
      </c>
      <c r="G66" s="5">
        <v>14313</v>
      </c>
      <c r="H66" s="28">
        <f>H74*H67</f>
        <v>13979.75514862514</v>
      </c>
      <c r="I66" s="28">
        <f t="shared" ref="I66:L66" si="50">I74*I67</f>
        <v>14383.519891738275</v>
      </c>
      <c r="J66" s="28">
        <f t="shared" si="50"/>
        <v>15449.596139612328</v>
      </c>
      <c r="K66" s="28">
        <f t="shared" si="50"/>
        <v>16086.592024432459</v>
      </c>
      <c r="L66" s="28">
        <f t="shared" si="50"/>
        <v>16381.762089918597</v>
      </c>
    </row>
    <row r="67" spans="2:12" x14ac:dyDescent="0.25">
      <c r="B67" s="17" t="s">
        <v>233</v>
      </c>
      <c r="C67" s="18">
        <f>C66/Balance_Sheet!C74</f>
        <v>6.4757194341930113E-2</v>
      </c>
      <c r="D67" s="18">
        <f>D66/Balance_Sheet!D74</f>
        <v>6.4679260491399784E-2</v>
      </c>
      <c r="E67" s="18">
        <f>E66/Balance_Sheet!E74</f>
        <v>6.0551483494932501E-2</v>
      </c>
      <c r="F67" s="18">
        <f>F66/Balance_Sheet!F74</f>
        <v>5.1463007355564409E-2</v>
      </c>
      <c r="G67" s="18">
        <f>G66/Balance_Sheet!G74</f>
        <v>6.4220680165718261E-2</v>
      </c>
      <c r="H67" s="25">
        <f>MEDIAN(C67:G67)</f>
        <v>6.4220680165718261E-2</v>
      </c>
      <c r="I67" s="25">
        <f t="shared" ref="I67:L67" si="51">H67</f>
        <v>6.4220680165718261E-2</v>
      </c>
      <c r="J67" s="25">
        <f t="shared" si="51"/>
        <v>6.4220680165718261E-2</v>
      </c>
      <c r="K67" s="25">
        <f t="shared" si="51"/>
        <v>6.4220680165718261E-2</v>
      </c>
      <c r="L67" s="25">
        <f t="shared" si="51"/>
        <v>6.4220680165718261E-2</v>
      </c>
    </row>
    <row r="68" spans="2:12" ht="18.75" x14ac:dyDescent="0.25">
      <c r="B68" s="8" t="s">
        <v>38</v>
      </c>
      <c r="C68" s="5">
        <v>3969</v>
      </c>
      <c r="D68" s="5">
        <v>3982</v>
      </c>
      <c r="E68" s="5">
        <v>2697</v>
      </c>
      <c r="F68" s="5">
        <v>3491</v>
      </c>
      <c r="G68" s="5">
        <v>4946</v>
      </c>
      <c r="H68" s="28">
        <f>H69*H74</f>
        <v>4107.4457696865475</v>
      </c>
      <c r="I68" s="28">
        <f t="shared" ref="I68:L68" si="52">I69*I74</f>
        <v>4226.0774458795113</v>
      </c>
      <c r="J68" s="28">
        <f t="shared" si="52"/>
        <v>4539.3054193268308</v>
      </c>
      <c r="K68" s="28">
        <f t="shared" si="52"/>
        <v>4726.4636366629557</v>
      </c>
      <c r="L68" s="28">
        <f t="shared" si="52"/>
        <v>4813.1886918538094</v>
      </c>
    </row>
    <row r="69" spans="2:12" x14ac:dyDescent="0.25">
      <c r="B69" s="17" t="s">
        <v>234</v>
      </c>
      <c r="C69" s="18">
        <f>C68/Balance_Sheet!C74</f>
        <v>2.1477505167804847E-2</v>
      </c>
      <c r="D69" s="18">
        <f>D68/Balance_Sheet!D74</f>
        <v>1.9514533662430212E-2</v>
      </c>
      <c r="E69" s="18">
        <f>E68/Balance_Sheet!E74</f>
        <v>1.440735341736506E-2</v>
      </c>
      <c r="F69" s="18">
        <f>F68/Balance_Sheet!F74</f>
        <v>1.8105145488085797E-2</v>
      </c>
      <c r="G69" s="18">
        <f>G68/Balance_Sheet!G74</f>
        <v>2.2192096981739854E-2</v>
      </c>
      <c r="H69" s="25">
        <f>GROWTH(C69:G69,C4:G4,H4)</f>
        <v>1.886892569066307E-2</v>
      </c>
      <c r="I69" s="25">
        <f t="shared" ref="I69:L69" si="53">H69</f>
        <v>1.886892569066307E-2</v>
      </c>
      <c r="J69" s="25">
        <f t="shared" si="53"/>
        <v>1.886892569066307E-2</v>
      </c>
      <c r="K69" s="25">
        <f t="shared" si="53"/>
        <v>1.886892569066307E-2</v>
      </c>
      <c r="L69" s="25">
        <f t="shared" si="53"/>
        <v>1.886892569066307E-2</v>
      </c>
    </row>
    <row r="70" spans="2:12" ht="18.75" x14ac:dyDescent="0.25">
      <c r="B70" s="8" t="s">
        <v>39</v>
      </c>
      <c r="C70" s="5">
        <v>5216</v>
      </c>
      <c r="D70" s="5">
        <f>CashFlow_Statement!D48+C70</f>
        <v>21294.044201933968</v>
      </c>
      <c r="E70" s="5">
        <f>CashFlow_Statement!E48+D70</f>
        <v>35109.074245622993</v>
      </c>
      <c r="F70" s="5">
        <f>CashFlow_Statement!F48+E70</f>
        <v>51107.113629480329</v>
      </c>
      <c r="G70" s="5">
        <f>CashFlow_Statement!G48+F70</f>
        <v>73682.133447761938</v>
      </c>
      <c r="H70" s="28">
        <f>CashFlow_Statement!H48+G70</f>
        <v>100260.59829797162</v>
      </c>
      <c r="I70" s="28">
        <f>CashFlow_Statement!I48+H70</f>
        <v>140751.91050158913</v>
      </c>
      <c r="J70" s="28">
        <f>CashFlow_Statement!J48+I70</f>
        <v>185746.80945765032</v>
      </c>
      <c r="K70" s="28">
        <f>CashFlow_Statement!K48+J70</f>
        <v>238603.36500365514</v>
      </c>
      <c r="L70" s="28">
        <f>CashFlow_Statement!L48+K70</f>
        <v>295472.16369325225</v>
      </c>
    </row>
    <row r="71" spans="2:12" x14ac:dyDescent="0.25">
      <c r="B71" s="17" t="s">
        <v>235</v>
      </c>
      <c r="C71" s="18">
        <f>C70/Balance_Sheet!C74</f>
        <v>2.8225413694953409E-2</v>
      </c>
      <c r="D71" s="18">
        <f>D70/Balance_Sheet!D74</f>
        <v>0.10435543505472558</v>
      </c>
      <c r="E71" s="18">
        <f>E70/Balance_Sheet!E74</f>
        <v>0.18755240667897666</v>
      </c>
      <c r="F71" s="18">
        <f>F70/Balance_Sheet!F74</f>
        <v>0.26505348832365333</v>
      </c>
      <c r="G71" s="18">
        <f>G70/Balance_Sheet!G74</f>
        <v>0.33060271963085947</v>
      </c>
      <c r="H71" s="25">
        <f>H70/Balance_Sheet!H74</f>
        <v>0.46058058585888939</v>
      </c>
      <c r="I71" s="25">
        <f>I70/Balance_Sheet!I74</f>
        <v>0.62844029104644672</v>
      </c>
      <c r="J71" s="25">
        <f>J70/Balance_Sheet!J74</f>
        <v>0.77210992016790025</v>
      </c>
      <c r="K71" s="25">
        <f>K70/Balance_Sheet!K74</f>
        <v>0.95254920166376766</v>
      </c>
      <c r="L71" s="25">
        <f>L70/Balance_Sheet!L74</f>
        <v>1.1583261445418414</v>
      </c>
    </row>
    <row r="72" spans="2:12" ht="18.75" x14ac:dyDescent="0.25">
      <c r="B72" s="9" t="s">
        <v>42</v>
      </c>
      <c r="C72" s="7">
        <f>C56+C58+C60+C62+C64+C66+C68+C70</f>
        <v>43764</v>
      </c>
      <c r="D72" s="7">
        <f t="shared" ref="D72:L72" si="54">D56+D58+D60+D62+D64+D66+D68+D70</f>
        <v>60547.044201933968</v>
      </c>
      <c r="E72" s="7">
        <f t="shared" si="54"/>
        <v>73987.074245622993</v>
      </c>
      <c r="F72" s="7">
        <f t="shared" si="54"/>
        <v>96731.113629480329</v>
      </c>
      <c r="G72" s="7">
        <f t="shared" si="54"/>
        <v>130054.13344776194</v>
      </c>
      <c r="H72" s="29">
        <f t="shared" si="54"/>
        <v>136762.20501420696</v>
      </c>
      <c r="I72" s="29">
        <f t="shared" si="54"/>
        <v>178307.75344849881</v>
      </c>
      <c r="J72" s="29">
        <f t="shared" si="54"/>
        <v>226086.21013448163</v>
      </c>
      <c r="K72" s="29">
        <f t="shared" si="54"/>
        <v>280605.98213526094</v>
      </c>
      <c r="L72" s="29">
        <f t="shared" si="54"/>
        <v>338245.48441431159</v>
      </c>
    </row>
    <row r="73" spans="2:12" x14ac:dyDescent="0.25">
      <c r="B73" s="19" t="s">
        <v>236</v>
      </c>
      <c r="C73" s="20">
        <f>C72/Balance_Sheet!C74</f>
        <v>0.23682074481325555</v>
      </c>
      <c r="D73" s="20">
        <f>D72/Balance_Sheet!D74</f>
        <v>0.29672208243076104</v>
      </c>
      <c r="E73" s="20">
        <f>E72/Balance_Sheet!E74</f>
        <v>0.39523838597460842</v>
      </c>
      <c r="F73" s="20">
        <f>F72/Balance_Sheet!F74</f>
        <v>0.50167026224185052</v>
      </c>
      <c r="G73" s="20">
        <f>G72/Balance_Sheet!G74</f>
        <v>0.5835369879395208</v>
      </c>
      <c r="H73" s="27">
        <f>H72/Balance_Sheet!H74</f>
        <v>0.62826292260487482</v>
      </c>
      <c r="I73" s="27">
        <f>I72/Balance_Sheet!I74</f>
        <v>0.79612259665738261</v>
      </c>
      <c r="J73" s="27">
        <f>J72/Balance_Sheet!J74</f>
        <v>0.93979221590773876</v>
      </c>
      <c r="K73" s="27">
        <f>K72/Balance_Sheet!K74</f>
        <v>1.120231494894993</v>
      </c>
      <c r="L73" s="27">
        <f>L72/Balance_Sheet!L74</f>
        <v>1.3260084570168416</v>
      </c>
    </row>
    <row r="74" spans="2:12" ht="18.75" x14ac:dyDescent="0.25">
      <c r="B74" s="9" t="s">
        <v>43</v>
      </c>
      <c r="C74" s="7">
        <f>C54+C72</f>
        <v>184798</v>
      </c>
      <c r="D74" s="7">
        <f t="shared" ref="D74:G74" si="55">D54+D72</f>
        <v>204053.04420193395</v>
      </c>
      <c r="E74" s="7">
        <f t="shared" si="55"/>
        <v>187196.07424562299</v>
      </c>
      <c r="F74" s="7">
        <f t="shared" si="55"/>
        <v>192818.11362948033</v>
      </c>
      <c r="G74" s="7">
        <f t="shared" si="55"/>
        <v>222872.13344776194</v>
      </c>
      <c r="H74" s="29">
        <f>Income_Statement!H5/H80</f>
        <v>217683.07518000554</v>
      </c>
      <c r="I74" s="29">
        <f>Income_Statement!I5/I80</f>
        <v>223970.22041221487</v>
      </c>
      <c r="J74" s="29">
        <f>Income_Statement!J5/J80</f>
        <v>240570.42217157176</v>
      </c>
      <c r="K74" s="29">
        <f>Income_Statement!K5/K80</f>
        <v>250489.28137979558</v>
      </c>
      <c r="L74" s="29">
        <f>Income_Statement!L5/L80</f>
        <v>255085.46542400791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0.49790041017759934</v>
      </c>
      <c r="D80">
        <f>Income_Statement!D5/D74</f>
        <v>0.44547730398005242</v>
      </c>
      <c r="E80">
        <f>Income_Statement!E5/E74</f>
        <v>0.44629675241148087</v>
      </c>
      <c r="F80">
        <f>Income_Statement!F5/F74</f>
        <v>0.4504919084879967</v>
      </c>
      <c r="G80">
        <f>Income_Statement!G5/G74</f>
        <v>0.58864245597016074</v>
      </c>
      <c r="H80">
        <f>GROWTH(C80:G80,C4:G4,H4)</f>
        <v>0.53568558119045595</v>
      </c>
      <c r="I80">
        <f t="shared" ref="I80:L80" si="56">GROWTH(D80:H80,D4:H4,I4)</f>
        <v>0.59470083726801737</v>
      </c>
      <c r="J80">
        <f t="shared" si="56"/>
        <v>0.64959989305299481</v>
      </c>
      <c r="K80">
        <f t="shared" si="56"/>
        <v>0.69917850134277593</v>
      </c>
      <c r="L80">
        <f t="shared" si="56"/>
        <v>0.71782983761391728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261EFFA9-4D87-4E55-A8B0-B37DBCC5F54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6129-BC65-4D79-BAB2-6D5C37E44C54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5.42578125" bestFit="1" customWidth="1"/>
    <col min="6" max="6" width="16.5703125" bestFit="1" customWidth="1"/>
    <col min="7" max="7" width="15.42578125" bestFit="1" customWidth="1"/>
    <col min="8" max="12" width="19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13074.044201933968</v>
      </c>
      <c r="E5" s="5">
        <f>Income_Statement!E45</f>
        <v>-7917.9699563109752</v>
      </c>
      <c r="F5" s="5">
        <f>Income_Statement!F45</f>
        <v>16889.039383857336</v>
      </c>
      <c r="G5" s="5">
        <f>Income_Statement!G45</f>
        <v>29509.019818281609</v>
      </c>
      <c r="H5" s="28">
        <f>Income_Statement!H45</f>
        <v>40522.707450318405</v>
      </c>
      <c r="I5" s="28">
        <f>Income_Statement!I45</f>
        <v>47851.176437088478</v>
      </c>
      <c r="J5" s="28">
        <f>Income_Statement!J45</f>
        <v>57550.921406239358</v>
      </c>
      <c r="K5" s="28">
        <f>Income_Statement!K45</f>
        <v>65709.71605005172</v>
      </c>
      <c r="L5" s="28">
        <f>Income_Statement!L45</f>
        <v>69132.002153687048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5">
        <f>Income_Statement!D31</f>
        <v>8192</v>
      </c>
      <c r="E7" s="5">
        <f>Income_Statement!E31</f>
        <v>9093</v>
      </c>
      <c r="F7" s="5">
        <f>Income_Statement!F31</f>
        <v>7638</v>
      </c>
      <c r="G7" s="5">
        <f>Income_Statement!G31</f>
        <v>8895</v>
      </c>
      <c r="H7" s="28">
        <f>Income_Statement!H31</f>
        <v>9121.559942300597</v>
      </c>
      <c r="I7" s="28">
        <f>Income_Statement!I31</f>
        <v>9385.0094054501333</v>
      </c>
      <c r="J7" s="28">
        <f>Income_Statement!J31</f>
        <v>10080.606418723233</v>
      </c>
      <c r="K7" s="28">
        <f>Income_Statement!K31</f>
        <v>10496.235957910745</v>
      </c>
      <c r="L7" s="28">
        <f>Income_Statement!L31</f>
        <v>10688.829645193393</v>
      </c>
    </row>
    <row r="8" spans="2:15" ht="18.75" x14ac:dyDescent="0.25">
      <c r="B8" s="8" t="s">
        <v>131</v>
      </c>
      <c r="C8" s="4"/>
      <c r="D8" s="5">
        <f>Income_Statement!D35</f>
        <v>5689</v>
      </c>
      <c r="E8" s="5">
        <f>Income_Statement!E35</f>
        <v>4977</v>
      </c>
      <c r="F8" s="5">
        <f>Income_Statement!F35</f>
        <v>5210</v>
      </c>
      <c r="G8" s="5">
        <f>Income_Statement!G35</f>
        <v>4797</v>
      </c>
      <c r="H8" s="28">
        <f>Income_Statement!H35</f>
        <v>4685.3128621576534</v>
      </c>
      <c r="I8" s="28">
        <f>Income_Statement!I35</f>
        <v>4820.6348783539543</v>
      </c>
      <c r="J8" s="28">
        <f>Income_Statement!J35</f>
        <v>5177.9298500278046</v>
      </c>
      <c r="K8" s="28">
        <f>Income_Statement!K35</f>
        <v>5391.4190245725013</v>
      </c>
      <c r="L8" s="28">
        <f>Income_Statement!L35</f>
        <v>5490.3450620394824</v>
      </c>
    </row>
    <row r="9" spans="2:15" ht="18.75" x14ac:dyDescent="0.25">
      <c r="B9" s="8" t="s">
        <v>59</v>
      </c>
      <c r="C9" s="4"/>
      <c r="D9" s="5">
        <f>Income_Statement!D11</f>
        <v>4018</v>
      </c>
      <c r="E9" s="5">
        <f>Income_Statement!E11</f>
        <v>2510</v>
      </c>
      <c r="F9" s="5">
        <f>Income_Statement!F11</f>
        <v>3421</v>
      </c>
      <c r="G9" s="5">
        <f>Income_Statement!G11</f>
        <v>2600</v>
      </c>
      <c r="H9" s="28">
        <f>Income_Statement!H11</f>
        <v>4529.4911794734962</v>
      </c>
      <c r="I9" s="28">
        <f>Income_Statement!I11</f>
        <v>5173.7283819372606</v>
      </c>
      <c r="J9" s="28">
        <f>Income_Statement!J11</f>
        <v>6070.1996100286606</v>
      </c>
      <c r="K9" s="28">
        <f>Income_Statement!K11</f>
        <v>6802.8674675625671</v>
      </c>
      <c r="L9" s="28">
        <f>Income_Statement!L11</f>
        <v>7112.4957090886128</v>
      </c>
    </row>
    <row r="10" spans="2:15" ht="18.75" x14ac:dyDescent="0.25">
      <c r="B10" s="9" t="s">
        <v>132</v>
      </c>
      <c r="C10" s="6"/>
      <c r="D10" s="7">
        <f>D7+D8-D9</f>
        <v>9863</v>
      </c>
      <c r="E10" s="7">
        <f t="shared" ref="E10:L10" si="0">E7+E8-E9</f>
        <v>11560</v>
      </c>
      <c r="F10" s="7">
        <f t="shared" si="0"/>
        <v>9427</v>
      </c>
      <c r="G10" s="7">
        <f t="shared" si="0"/>
        <v>11092</v>
      </c>
      <c r="H10" s="29">
        <f t="shared" si="0"/>
        <v>9277.3816249847532</v>
      </c>
      <c r="I10" s="29">
        <f t="shared" si="0"/>
        <v>9031.915901866827</v>
      </c>
      <c r="J10" s="29">
        <f t="shared" si="0"/>
        <v>9188.3366587223791</v>
      </c>
      <c r="K10" s="29">
        <f t="shared" si="0"/>
        <v>9084.7875149206811</v>
      </c>
      <c r="L10" s="29">
        <f t="shared" si="0"/>
        <v>9066.6789981442635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1459</v>
      </c>
      <c r="E12" s="5">
        <f>Balance_Sheet!D56-Balance_Sheet!E56</f>
        <v>-3414</v>
      </c>
      <c r="F12" s="5">
        <f>Balance_Sheet!E56-Balance_Sheet!F56</f>
        <v>1029</v>
      </c>
      <c r="G12" s="5">
        <f>Balance_Sheet!F56-Balance_Sheet!G56</f>
        <v>775</v>
      </c>
      <c r="H12" s="28">
        <f>Balance_Sheet!G56-Balance_Sheet!H56</f>
        <v>-727.01253767977596</v>
      </c>
      <c r="I12" s="28">
        <f>Balance_Sheet!H56-Balance_Sheet!I56</f>
        <v>-167.86315098497198</v>
      </c>
      <c r="J12" s="28">
        <f>Balance_Sheet!I56-Balance_Sheet!J56</f>
        <v>-443.21581121368672</v>
      </c>
      <c r="K12" s="28">
        <f>Balance_Sheet!J56-Balance_Sheet!K56</f>
        <v>-264.82781920462548</v>
      </c>
      <c r="L12" s="28">
        <f>Balance_Sheet!K56-Balance_Sheet!L56</f>
        <v>-122.71546268976726</v>
      </c>
    </row>
    <row r="13" spans="2:15" ht="18.75" x14ac:dyDescent="0.25">
      <c r="B13" s="8" t="str">
        <f>Balance_Sheet!B58</f>
        <v>Long Term Loans And Advances</v>
      </c>
      <c r="C13" s="4"/>
      <c r="D13" s="5">
        <f>Balance_Sheet!C58-Balance_Sheet!D58</f>
        <v>3</v>
      </c>
      <c r="E13" s="5">
        <f>Balance_Sheet!D58-Balance_Sheet!E58</f>
        <v>3</v>
      </c>
      <c r="F13" s="5">
        <f>Balance_Sheet!E58-Balance_Sheet!F58</f>
        <v>-5052</v>
      </c>
      <c r="G13" s="5">
        <f>Balance_Sheet!F58-Balance_Sheet!G58</f>
        <v>1903</v>
      </c>
      <c r="H13" s="28">
        <f>Balance_Sheet!G58-Balance_Sheet!H58</f>
        <v>73.710000000000036</v>
      </c>
      <c r="I13" s="28">
        <f>Balance_Sheet!H58-Balance_Sheet!I58</f>
        <v>-89.309999999999945</v>
      </c>
      <c r="J13" s="28">
        <f>Balance_Sheet!I58-Balance_Sheet!J58</f>
        <v>-235.80999999999995</v>
      </c>
      <c r="K13" s="28">
        <f>Balance_Sheet!J58-Balance_Sheet!K58</f>
        <v>-140.90000000000009</v>
      </c>
      <c r="L13" s="28">
        <f>Balance_Sheet!K58-Balance_Sheet!L58</f>
        <v>-65.300000000000182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-244</v>
      </c>
      <c r="E14" s="5">
        <f>Balance_Sheet!D60-Balance_Sheet!E60</f>
        <v>861</v>
      </c>
      <c r="F14" s="5">
        <f>Balance_Sheet!E60-Balance_Sheet!F60</f>
        <v>-24</v>
      </c>
      <c r="G14" s="5">
        <f>Balance_Sheet!F60-Balance_Sheet!G60</f>
        <v>-642</v>
      </c>
      <c r="H14" s="28">
        <f>Balance_Sheet!G60-Balance_Sheet!H60</f>
        <v>12278</v>
      </c>
      <c r="I14" s="28">
        <f>Balance_Sheet!H60-Balance_Sheet!I60</f>
        <v>0</v>
      </c>
      <c r="J14" s="28">
        <f>Balance_Sheet!I60-Balance_Sheet!J60</f>
        <v>0</v>
      </c>
      <c r="K14" s="28">
        <f>Balance_Sheet!J60-Balance_Sheet!K60</f>
        <v>0</v>
      </c>
      <c r="L14" s="28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5">
        <f>Balance_Sheet!C62-Balance_Sheet!D62</f>
        <v>0</v>
      </c>
      <c r="E15" s="5">
        <f>Balance_Sheet!D62-Balance_Sheet!E62</f>
        <v>-3</v>
      </c>
      <c r="F15" s="5">
        <f>Balance_Sheet!E62-Balance_Sheet!F62</f>
        <v>-1934</v>
      </c>
      <c r="G15" s="5">
        <f>Balance_Sheet!F62-Balance_Sheet!G62</f>
        <v>-285</v>
      </c>
      <c r="H15" s="28">
        <f>Balance_Sheet!G62-Balance_Sheet!H62</f>
        <v>53.639999999999873</v>
      </c>
      <c r="I15" s="28">
        <f>Balance_Sheet!H62-Balance_Sheet!I62</f>
        <v>-64.989999999999782</v>
      </c>
      <c r="J15" s="28">
        <f>Balance_Sheet!I62-Balance_Sheet!J62</f>
        <v>-171.61000000000013</v>
      </c>
      <c r="K15" s="28">
        <f>Balance_Sheet!J62-Balance_Sheet!K62</f>
        <v>-102.53999999999996</v>
      </c>
      <c r="L15" s="28">
        <f>Balance_Sheet!K62-Balance_Sheet!L62</f>
        <v>-47.510000000000218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-679</v>
      </c>
      <c r="E16" s="5">
        <f>Balance_Sheet!D64-Balance_Sheet!E64</f>
        <v>-220</v>
      </c>
      <c r="F16" s="5">
        <f>Balance_Sheet!E64-Balance_Sheet!F64</f>
        <v>-1383</v>
      </c>
      <c r="G16" s="5">
        <f>Balance_Sheet!F64-Balance_Sheet!G64</f>
        <v>-6654</v>
      </c>
      <c r="H16" s="28">
        <f>Balance_Sheet!G64-Balance_Sheet!H64</f>
        <v>7020.2567397561188</v>
      </c>
      <c r="I16" s="28">
        <f>Balance_Sheet!H64-Balance_Sheet!I64</f>
        <v>-209.67666038328025</v>
      </c>
      <c r="J16" s="28">
        <f>Balance_Sheet!I64-Balance_Sheet!J64</f>
        <v>-553.61769738655858</v>
      </c>
      <c r="K16" s="28">
        <f>Balance_Sheet!J64-Balance_Sheet!K64</f>
        <v>-330.79453341361386</v>
      </c>
      <c r="L16" s="28">
        <f>Balance_Sheet!K64-Balance_Sheet!L64</f>
        <v>-153.28300608680547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-1231</v>
      </c>
      <c r="E17" s="5">
        <f>Balance_Sheet!D66-Balance_Sheet!E66</f>
        <v>1863</v>
      </c>
      <c r="F17" s="5">
        <f>Balance_Sheet!E66-Balance_Sheet!F66</f>
        <v>1412</v>
      </c>
      <c r="G17" s="5">
        <f>Balance_Sheet!F66-Balance_Sheet!G66</f>
        <v>-4390</v>
      </c>
      <c r="H17" s="28">
        <f>Balance_Sheet!G66-Balance_Sheet!H66</f>
        <v>333.24485137486045</v>
      </c>
      <c r="I17" s="28">
        <f>Balance_Sheet!H66-Balance_Sheet!I66</f>
        <v>-403.76474311313541</v>
      </c>
      <c r="J17" s="28">
        <f>Balance_Sheet!I66-Balance_Sheet!J66</f>
        <v>-1066.0762478740526</v>
      </c>
      <c r="K17" s="28">
        <f>Balance_Sheet!J66-Balance_Sheet!K66</f>
        <v>-636.99588482013132</v>
      </c>
      <c r="L17" s="28">
        <f>Balance_Sheet!K66-Balance_Sheet!L66</f>
        <v>-295.1700654861379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-13</v>
      </c>
      <c r="E18" s="5">
        <f>Balance_Sheet!D68-Balance_Sheet!E68</f>
        <v>1285</v>
      </c>
      <c r="F18" s="5">
        <f>Balance_Sheet!E68-Balance_Sheet!F68</f>
        <v>-794</v>
      </c>
      <c r="G18" s="5">
        <f>Balance_Sheet!F68-Balance_Sheet!G68</f>
        <v>-1455</v>
      </c>
      <c r="H18" s="28">
        <f>Balance_Sheet!G68-Balance_Sheet!H68</f>
        <v>838.55423031345254</v>
      </c>
      <c r="I18" s="28">
        <f>Balance_Sheet!H68-Balance_Sheet!I68</f>
        <v>-118.63167619296382</v>
      </c>
      <c r="J18" s="28">
        <f>Balance_Sheet!I68-Balance_Sheet!J68</f>
        <v>-313.22797344731953</v>
      </c>
      <c r="K18" s="28">
        <f>Balance_Sheet!J68-Balance_Sheet!K68</f>
        <v>-187.15821733612484</v>
      </c>
      <c r="L18" s="28">
        <f>Balance_Sheet!K68-Balance_Sheet!L68</f>
        <v>-86.725055190853709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235</v>
      </c>
      <c r="E20" s="5">
        <f>Balance_Sheet!E23-Balance_Sheet!D23</f>
        <v>232</v>
      </c>
      <c r="F20" s="5">
        <f>Balance_Sheet!F23-Balance_Sheet!E23</f>
        <v>304</v>
      </c>
      <c r="G20" s="5">
        <f>Balance_Sheet!G23-Balance_Sheet!F23</f>
        <v>254</v>
      </c>
      <c r="H20" s="28">
        <f>Balance_Sheet!H23-Balance_Sheet!G23</f>
        <v>-97.428169154301486</v>
      </c>
      <c r="I20" s="28">
        <f>Balance_Sheet!I23-Balance_Sheet!H23</f>
        <v>94.980873868959861</v>
      </c>
      <c r="J20" s="28">
        <f>Balance_Sheet!J23-Balance_Sheet!I23</f>
        <v>250.78181134217311</v>
      </c>
      <c r="K20" s="28">
        <f>Balance_Sheet!K23-Balance_Sheet!J23</f>
        <v>149.84573770522229</v>
      </c>
      <c r="L20" s="28">
        <f>Balance_Sheet!L23-Balance_Sheet!K23</f>
        <v>69.435262087695264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-23</v>
      </c>
      <c r="E21" s="4">
        <f>Balance_Sheet!E25-Balance_Sheet!D25</f>
        <v>-32</v>
      </c>
      <c r="F21" s="4">
        <f>Balance_Sheet!F25-Balance_Sheet!E25</f>
        <v>-2</v>
      </c>
      <c r="G21" s="4">
        <f>Balance_Sheet!G25-Balance_Sheet!F25</f>
        <v>64</v>
      </c>
      <c r="H21" s="24">
        <f>Balance_Sheet!H25-Balance_Sheet!G25</f>
        <v>-4.1842291548009598</v>
      </c>
      <c r="I21" s="24">
        <f>Balance_Sheet!I25-Balance_Sheet!H25</f>
        <v>11.922988056393478</v>
      </c>
      <c r="J21" s="24">
        <f>Balance_Sheet!J25-Balance_Sheet!I25</f>
        <v>31.480743644438292</v>
      </c>
      <c r="K21" s="24">
        <f>Balance_Sheet!K25-Balance_Sheet!J25</f>
        <v>18.810196918441989</v>
      </c>
      <c r="L21" s="24">
        <f>Balance_Sheet!L25-Balance_Sheet!K25</f>
        <v>8.7162369310933059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1219</v>
      </c>
      <c r="E22" s="5">
        <f>Balance_Sheet!E27-Balance_Sheet!D27</f>
        <v>39</v>
      </c>
      <c r="F22" s="5">
        <f>Balance_Sheet!F27-Balance_Sheet!E27</f>
        <v>-268</v>
      </c>
      <c r="G22" s="5">
        <f>Balance_Sheet!G27-Balance_Sheet!F27</f>
        <v>309</v>
      </c>
      <c r="H22" s="28">
        <f>Balance_Sheet!H27-Balance_Sheet!G27</f>
        <v>-143.35000000000036</v>
      </c>
      <c r="I22" s="28">
        <f>Balance_Sheet!I27-Balance_Sheet!H27</f>
        <v>173.69000000000051</v>
      </c>
      <c r="J22" s="28">
        <f>Balance_Sheet!J27-Balance_Sheet!I27</f>
        <v>458.59000000000015</v>
      </c>
      <c r="K22" s="28">
        <f>Balance_Sheet!K27-Balance_Sheet!J27</f>
        <v>274.00999999999931</v>
      </c>
      <c r="L22" s="28">
        <f>Balance_Sheet!L27-Balance_Sheet!K27</f>
        <v>126.98000000000047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-491</v>
      </c>
      <c r="E23" s="5">
        <f>Balance_Sheet!E29-Balance_Sheet!D29</f>
        <v>-9325</v>
      </c>
      <c r="F23" s="5">
        <f>Balance_Sheet!F29-Balance_Sheet!E29</f>
        <v>-135</v>
      </c>
      <c r="G23" s="5">
        <f>Balance_Sheet!G29-Balance_Sheet!F29</f>
        <v>2646</v>
      </c>
      <c r="H23" s="28">
        <f>Balance_Sheet!H29-Balance_Sheet!G29</f>
        <v>-245.35277326823598</v>
      </c>
      <c r="I23" s="28">
        <f>Balance_Sheet!I29-Balance_Sheet!H29</f>
        <v>297.27330838581838</v>
      </c>
      <c r="J23" s="28">
        <f>Balance_Sheet!J29-Balance_Sheet!I29</f>
        <v>784.90264096253486</v>
      </c>
      <c r="K23" s="28">
        <f>Balance_Sheet!K29-Balance_Sheet!J29</f>
        <v>468.99061232687382</v>
      </c>
      <c r="L23" s="28">
        <f>Balance_Sheet!L29-Balance_Sheet!K29</f>
        <v>217.3200691743823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8877</v>
      </c>
      <c r="E24" s="5">
        <f>Balance_Sheet!E31-Balance_Sheet!D31</f>
        <v>-3001</v>
      </c>
      <c r="F24" s="5">
        <f>Balance_Sheet!F31-Balance_Sheet!E31</f>
        <v>6262</v>
      </c>
      <c r="G24" s="5">
        <f>Balance_Sheet!G31-Balance_Sheet!F31</f>
        <v>-1327</v>
      </c>
      <c r="H24" s="28">
        <f>Balance_Sheet!H31-Balance_Sheet!G31</f>
        <v>426.23200127635937</v>
      </c>
      <c r="I24" s="28">
        <f>Balance_Sheet!I31-Balance_Sheet!H31</f>
        <v>1105.613644587087</v>
      </c>
      <c r="J24" s="28">
        <f>Balance_Sheet!J31-Balance_Sheet!I31</f>
        <v>2919.1960564260953</v>
      </c>
      <c r="K24" s="28">
        <f>Balance_Sheet!K31-Balance_Sheet!J31</f>
        <v>1744.2616122765976</v>
      </c>
      <c r="L24" s="28">
        <f>Balance_Sheet!L31-Balance_Sheet!K31</f>
        <v>808.25296770326531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3862</v>
      </c>
      <c r="E26" s="5">
        <f>Income_Statement!E47</f>
        <v>-3516</v>
      </c>
      <c r="F26" s="5">
        <f>Income_Statement!F47</f>
        <v>2180</v>
      </c>
      <c r="G26" s="5">
        <f>Income_Statement!G47</f>
        <v>9255</v>
      </c>
      <c r="H26" s="28">
        <f>Income_Statement!H47</f>
        <v>12709.25499261589</v>
      </c>
      <c r="I26" s="28">
        <f>Income_Statement!I47</f>
        <v>15007.704107165526</v>
      </c>
      <c r="J26" s="28">
        <f>Income_Statement!J47</f>
        <v>18049.863428020901</v>
      </c>
      <c r="K26" s="28">
        <f>Income_Statement!K47</f>
        <v>20608.730001477983</v>
      </c>
      <c r="L26" s="28">
        <f>Income_Statement!L47</f>
        <v>21682.07157921221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28187.044201933968</v>
      </c>
      <c r="E27" s="7">
        <f t="shared" ref="E27:L27" si="1">E12+E13+E14+E15+E16+E17+E18+E20+E21+E22+E23+E24-E26+E10+E5</f>
        <v>-4553.9699563109752</v>
      </c>
      <c r="F27" s="7">
        <f t="shared" si="1"/>
        <v>23551.039383857336</v>
      </c>
      <c r="G27" s="7">
        <f t="shared" si="1"/>
        <v>22544.019818281609</v>
      </c>
      <c r="H27" s="29">
        <f t="shared" si="1"/>
        <v>56897.144196150948</v>
      </c>
      <c r="I27" s="29">
        <f t="shared" si="1"/>
        <v>42504.632816013691</v>
      </c>
      <c r="J27" s="29">
        <f t="shared" si="1"/>
        <v>50350.788159394462</v>
      </c>
      <c r="K27" s="29">
        <f t="shared" si="1"/>
        <v>55178.475267947055</v>
      </c>
      <c r="L27" s="29">
        <f t="shared" si="1"/>
        <v>56976.610519061971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-16185</v>
      </c>
      <c r="E29" s="5">
        <f>Balance_Sheet!D40-Balance_Sheet!E40</f>
        <v>7493</v>
      </c>
      <c r="F29" s="5">
        <f>Balance_Sheet!E40-Balance_Sheet!F40</f>
        <v>-1407</v>
      </c>
      <c r="G29" s="5">
        <f>Balance_Sheet!F40-Balance_Sheet!G40</f>
        <v>-19916</v>
      </c>
      <c r="H29" s="28">
        <f>Balance_Sheet!G40-Balance_Sheet!H40</f>
        <v>2545.8399999999965</v>
      </c>
      <c r="I29" s="28">
        <f>Balance_Sheet!H40-Balance_Sheet!I40</f>
        <v>-3084.5800000000017</v>
      </c>
      <c r="J29" s="28">
        <f>Balance_Sheet!I40-Balance_Sheet!J40</f>
        <v>-8144.3499999999913</v>
      </c>
      <c r="K29" s="28">
        <f>Balance_Sheet!J40-Balance_Sheet!K40</f>
        <v>-4866.3700000000099</v>
      </c>
      <c r="L29" s="28">
        <f>Balance_Sheet!K40-Balance_Sheet!L40</f>
        <v>-2254.9699999999866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67</v>
      </c>
      <c r="E30" s="5">
        <f>Balance_Sheet!D42-Balance_Sheet!E42</f>
        <v>0</v>
      </c>
      <c r="F30" s="5">
        <f>Balance_Sheet!E42-Balance_Sheet!F42</f>
        <v>-159</v>
      </c>
      <c r="G30" s="5">
        <f>Balance_Sheet!F42-Balance_Sheet!G42</f>
        <v>1041</v>
      </c>
      <c r="H30" s="28">
        <f>Balance_Sheet!G42-Balance_Sheet!H42</f>
        <v>0</v>
      </c>
      <c r="I30" s="28">
        <f>Balance_Sheet!H42-Balance_Sheet!I42</f>
        <v>0</v>
      </c>
      <c r="J30" s="28">
        <f>Balance_Sheet!I42-Balance_Sheet!J42</f>
        <v>0</v>
      </c>
      <c r="K30" s="28">
        <f>Balance_Sheet!J42-Balance_Sheet!K42</f>
        <v>0</v>
      </c>
      <c r="L30" s="28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-4727</v>
      </c>
      <c r="E31" s="4">
        <f>Balance_Sheet!D48-Balance_Sheet!E48</f>
        <v>4796</v>
      </c>
      <c r="F31" s="4">
        <f>Balance_Sheet!E48-Balance_Sheet!F48</f>
        <v>-61</v>
      </c>
      <c r="G31" s="4">
        <f>Balance_Sheet!F48-Balance_Sheet!G48</f>
        <v>5</v>
      </c>
      <c r="H31" s="24">
        <f>Balance_Sheet!G48-Balance_Sheet!H48</f>
        <v>-25.11706228666722</v>
      </c>
      <c r="I31" s="24">
        <f>Balance_Sheet!H48-Balance_Sheet!I48</f>
        <v>-5.0866313219376877</v>
      </c>
      <c r="J31" s="24">
        <f>Balance_Sheet!I48-Balance_Sheet!J48</f>
        <v>-13.43043672461144</v>
      </c>
      <c r="K31" s="24">
        <f>Balance_Sheet!J48-Balance_Sheet!K48</f>
        <v>-8.0248790290330021</v>
      </c>
      <c r="L31" s="24">
        <f>Balance_Sheet!K48-Balance_Sheet!L48</f>
        <v>-3.7185547426053631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362</v>
      </c>
      <c r="E32" s="5">
        <f>Balance_Sheet!D50-Balance_Sheet!E50</f>
        <v>3516</v>
      </c>
      <c r="F32" s="5">
        <f>Balance_Sheet!E50-Balance_Sheet!F50</f>
        <v>8154</v>
      </c>
      <c r="G32" s="5">
        <f>Balance_Sheet!F50-Balance_Sheet!G50</f>
        <v>-636</v>
      </c>
      <c r="H32" s="28">
        <f>Balance_Sheet!G50-Balance_Sheet!H50</f>
        <v>-11533.834584509626</v>
      </c>
      <c r="I32" s="28">
        <f>Balance_Sheet!H50-Balance_Sheet!I50</f>
        <v>-828.16067463253785</v>
      </c>
      <c r="J32" s="28">
        <f>Balance_Sheet!I50-Balance_Sheet!J50</f>
        <v>-2186.625850097349</v>
      </c>
      <c r="K32" s="28">
        <f>Balance_Sheet!J50-Balance_Sheet!K50</f>
        <v>-1306.5403820139218</v>
      </c>
      <c r="L32" s="28">
        <f>Balance_Sheet!K50-Balance_Sheet!L50</f>
        <v>-605.42245139971783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9819</v>
      </c>
      <c r="E33" s="5">
        <f>Balance_Sheet!D52-Balance_Sheet!E52</f>
        <v>5399</v>
      </c>
      <c r="F33" s="5">
        <f>Balance_Sheet!E52-Balance_Sheet!F52</f>
        <v>2957</v>
      </c>
      <c r="G33" s="5">
        <f>Balance_Sheet!F52-Balance_Sheet!G52</f>
        <v>13880</v>
      </c>
      <c r="H33" s="28">
        <f>Balance_Sheet!G52-Balance_Sheet!H52</f>
        <v>-19579.096151325681</v>
      </c>
      <c r="I33" s="28">
        <f>Balance_Sheet!H52-Balance_Sheet!I52</f>
        <v>-565.48549269153955</v>
      </c>
      <c r="J33" s="28">
        <f>Balance_Sheet!I52-Balance_Sheet!J52</f>
        <v>-1493.074030257485</v>
      </c>
      <c r="K33" s="28">
        <f>Balance_Sheet!J52-Balance_Sheet!K52</f>
        <v>-892.1331986360783</v>
      </c>
      <c r="L33" s="28">
        <f>Balance_Sheet!K52-Balance_Sheet!L52</f>
        <v>-413.39515833469704</v>
      </c>
    </row>
    <row r="34" spans="2:12" ht="18.75" x14ac:dyDescent="0.25">
      <c r="B34" s="8" t="s">
        <v>59</v>
      </c>
      <c r="C34" s="4"/>
      <c r="D34" s="5">
        <f>Income_Statement!D11</f>
        <v>4018</v>
      </c>
      <c r="E34" s="5">
        <f>Income_Statement!E11</f>
        <v>2510</v>
      </c>
      <c r="F34" s="5">
        <f>Income_Statement!F11</f>
        <v>3421</v>
      </c>
      <c r="G34" s="5">
        <f>Income_Statement!G11</f>
        <v>2600</v>
      </c>
      <c r="H34" s="28">
        <f>Income_Statement!H11</f>
        <v>4529.4911794734962</v>
      </c>
      <c r="I34" s="28">
        <f>Income_Statement!I11</f>
        <v>5173.7283819372606</v>
      </c>
      <c r="J34" s="28">
        <f>Income_Statement!J11</f>
        <v>6070.1996100286606</v>
      </c>
      <c r="K34" s="28">
        <f>Income_Statement!K11</f>
        <v>6802.8674675625671</v>
      </c>
      <c r="L34" s="28">
        <f>Income_Statement!L11</f>
        <v>7112.4957090886128</v>
      </c>
    </row>
    <row r="35" spans="2:12" ht="18.75" x14ac:dyDescent="0.25">
      <c r="B35" s="9" t="s">
        <v>137</v>
      </c>
      <c r="C35" s="6"/>
      <c r="D35" s="7">
        <f>D29+D30+D31+D32+D33+D34</f>
        <v>-6646</v>
      </c>
      <c r="E35" s="7">
        <f t="shared" ref="E35:L35" si="2">E29+E30+E31+E32+E33+E34</f>
        <v>23714</v>
      </c>
      <c r="F35" s="7">
        <f t="shared" si="2"/>
        <v>12905</v>
      </c>
      <c r="G35" s="7">
        <f t="shared" si="2"/>
        <v>-3026</v>
      </c>
      <c r="H35" s="29">
        <f t="shared" si="2"/>
        <v>-24062.716618648483</v>
      </c>
      <c r="I35" s="29">
        <f t="shared" si="2"/>
        <v>690.41558329124382</v>
      </c>
      <c r="J35" s="29">
        <f t="shared" si="2"/>
        <v>-5767.2807070507761</v>
      </c>
      <c r="K35" s="29">
        <f t="shared" si="2"/>
        <v>-270.2009921164763</v>
      </c>
      <c r="L35" s="29">
        <f t="shared" si="2"/>
        <v>3834.9895446116061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0</v>
      </c>
      <c r="E37" s="4">
        <f>Balance_Sheet!E5-Balance_Sheet!D5</f>
        <v>0</v>
      </c>
      <c r="F37" s="4">
        <f>Balance_Sheet!F5-Balance_Sheet!E5</f>
        <v>0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7930</v>
      </c>
      <c r="E39" s="5">
        <f>Balance_Sheet!E15-Balance_Sheet!D15</f>
        <v>2003</v>
      </c>
      <c r="F39" s="5">
        <f>Balance_Sheet!F15-Balance_Sheet!E15</f>
        <v>1238</v>
      </c>
      <c r="G39" s="5">
        <f>Balance_Sheet!G15-Balance_Sheet!F15</f>
        <v>-1755</v>
      </c>
      <c r="H39" s="28">
        <f>Balance_Sheet!H15-Balance_Sheet!G15</f>
        <v>-842.94999999999709</v>
      </c>
      <c r="I39" s="28">
        <f>Balance_Sheet!I15-Balance_Sheet!H15</f>
        <v>1021.3299999999945</v>
      </c>
      <c r="J39" s="28">
        <f>Balance_Sheet!J15-Balance_Sheet!I15</f>
        <v>2696.6600000000035</v>
      </c>
      <c r="K39" s="28">
        <f>Balance_Sheet!K15-Balance_Sheet!J15</f>
        <v>1611.2900000000009</v>
      </c>
      <c r="L39" s="28">
        <f>Balance_Sheet!L15-Balance_Sheet!K15</f>
        <v>746.63999999999942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406</v>
      </c>
      <c r="E40" s="5">
        <f>Balance_Sheet!E17-Balance_Sheet!D17</f>
        <v>-1599</v>
      </c>
      <c r="F40" s="5">
        <f>Balance_Sheet!F17-Balance_Sheet!E17</f>
        <v>-670</v>
      </c>
      <c r="G40" s="5">
        <f>Balance_Sheet!G17-Balance_Sheet!F17</f>
        <v>2220</v>
      </c>
      <c r="H40" s="28">
        <f>Balance_Sheet!H17-Balance_Sheet!G17</f>
        <v>-103.25864010672194</v>
      </c>
      <c r="I40" s="28">
        <f>Balance_Sheet!I17-Balance_Sheet!H17</f>
        <v>125.10980477235807</v>
      </c>
      <c r="J40" s="28">
        <f>Balance_Sheet!J17-Balance_Sheet!I17</f>
        <v>330.33243619935911</v>
      </c>
      <c r="K40" s="28">
        <f>Balance_Sheet!K17-Balance_Sheet!J17</f>
        <v>197.37837973711157</v>
      </c>
      <c r="L40" s="28">
        <f>Balance_Sheet!L17-Balance_Sheet!K17</f>
        <v>91.460856594077086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1031</v>
      </c>
      <c r="E41" s="5">
        <f>Balance_Sheet!E19-Balance_Sheet!D19</f>
        <v>-961</v>
      </c>
      <c r="F41" s="5">
        <f>Balance_Sheet!F19-Balance_Sheet!E19</f>
        <v>-10323</v>
      </c>
      <c r="G41" s="5">
        <f>Balance_Sheet!G19-Balance_Sheet!F19</f>
        <v>5206</v>
      </c>
      <c r="H41" s="28">
        <f>Balance_Sheet!H19-Balance_Sheet!G19</f>
        <v>-393.56999999999971</v>
      </c>
      <c r="I41" s="28">
        <f>Balance_Sheet!I19-Balance_Sheet!H19</f>
        <v>476.86000000000058</v>
      </c>
      <c r="J41" s="28">
        <f>Balance_Sheet!J19-Balance_Sheet!I19</f>
        <v>1259.0599999999977</v>
      </c>
      <c r="K41" s="28">
        <f>Balance_Sheet!K19-Balance_Sheet!J19</f>
        <v>752.31000000000131</v>
      </c>
      <c r="L41" s="28">
        <f>Balance_Sheet!L19-Balance_Sheet!K19</f>
        <v>348.59999999999854</v>
      </c>
    </row>
    <row r="42" spans="2:12" ht="18.75" x14ac:dyDescent="0.25">
      <c r="B42" s="8" t="str">
        <f>Balance_Sheet!B35:G35</f>
        <v>Minority Interest</v>
      </c>
      <c r="C42" s="4"/>
      <c r="D42" s="5">
        <f>Balance_Sheet!D35-Balance_Sheet!C35</f>
        <v>-730</v>
      </c>
      <c r="E42" s="5">
        <f>Balance_Sheet!E35-Balance_Sheet!D35</f>
        <v>1885</v>
      </c>
      <c r="F42" s="5">
        <f>Balance_Sheet!F35-Balance_Sheet!E35</f>
        <v>-1974</v>
      </c>
      <c r="G42" s="5">
        <f>Balance_Sheet!G35-Balance_Sheet!F35</f>
        <v>2183</v>
      </c>
      <c r="H42" s="28">
        <f>Balance_Sheet!H35-Balance_Sheet!G35</f>
        <v>-230.87122502840793</v>
      </c>
      <c r="I42" s="28">
        <f>Balance_Sheet!I35-Balance_Sheet!H35</f>
        <v>493.59887789418281</v>
      </c>
      <c r="J42" s="28">
        <f>Balance_Sheet!J35-Balance_Sheet!I35</f>
        <v>1303.2689175459491</v>
      </c>
      <c r="K42" s="28">
        <f>Balance_Sheet!K35-Balance_Sheet!J35</f>
        <v>778.72191500962435</v>
      </c>
      <c r="L42" s="28">
        <f>Balance_Sheet!L35-Balance_Sheet!K35</f>
        <v>360.84283136897284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8411</v>
      </c>
      <c r="E44" s="5">
        <f>Income_Statement!E51</f>
        <v>1696</v>
      </c>
      <c r="F44" s="5">
        <f>Income_Statement!F51</f>
        <v>3519</v>
      </c>
      <c r="G44" s="5">
        <f>Income_Statement!G51</f>
        <v>0</v>
      </c>
      <c r="H44" s="28">
        <f>Income_Statement!H51</f>
        <v>0</v>
      </c>
      <c r="I44" s="28">
        <f>Income_Statement!I51</f>
        <v>0</v>
      </c>
      <c r="J44" s="28">
        <f>Income_Statement!J51</f>
        <v>0</v>
      </c>
      <c r="K44" s="28">
        <f>Income_Statement!K51</f>
        <v>0</v>
      </c>
      <c r="L44" s="28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0</v>
      </c>
      <c r="E45" s="4">
        <f>Income_Statement!E53</f>
        <v>0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5689</v>
      </c>
      <c r="E46" s="5">
        <f>Income_Statement!E35</f>
        <v>4977</v>
      </c>
      <c r="F46" s="5">
        <f>Income_Statement!F35</f>
        <v>5210</v>
      </c>
      <c r="G46" s="5">
        <f>Income_Statement!G35</f>
        <v>4797</v>
      </c>
      <c r="H46" s="28">
        <f>Income_Statement!H35</f>
        <v>4685.3128621576534</v>
      </c>
      <c r="I46" s="28">
        <f>Income_Statement!I35</f>
        <v>4820.6348783539543</v>
      </c>
      <c r="J46" s="28">
        <f>Income_Statement!J35</f>
        <v>5177.9298500278046</v>
      </c>
      <c r="K46" s="28">
        <f>Income_Statement!K35</f>
        <v>5391.4190245725013</v>
      </c>
      <c r="L46" s="28">
        <f>Income_Statement!L35</f>
        <v>5490.3450620394824</v>
      </c>
    </row>
    <row r="47" spans="2:12" ht="18.75" x14ac:dyDescent="0.25">
      <c r="B47" s="9" t="s">
        <v>141</v>
      </c>
      <c r="C47" s="6"/>
      <c r="D47" s="7">
        <f>D37+D38+D39+D40+D41+D42-D44-D45-D46</f>
        <v>-5463</v>
      </c>
      <c r="E47" s="7">
        <f t="shared" ref="E47:L47" si="3">E37+E38+E39+E40+E41+E42-E44-E45-E46</f>
        <v>-5345</v>
      </c>
      <c r="F47" s="7">
        <f t="shared" si="3"/>
        <v>-20458</v>
      </c>
      <c r="G47" s="7">
        <f t="shared" si="3"/>
        <v>3057</v>
      </c>
      <c r="H47" s="29">
        <f t="shared" si="3"/>
        <v>-6255.9627272927801</v>
      </c>
      <c r="I47" s="29">
        <f t="shared" si="3"/>
        <v>-2703.7361956874183</v>
      </c>
      <c r="J47" s="29">
        <f t="shared" si="3"/>
        <v>411.39150371750475</v>
      </c>
      <c r="K47" s="29">
        <f t="shared" si="3"/>
        <v>-2051.7187298257631</v>
      </c>
      <c r="L47" s="29">
        <f t="shared" si="3"/>
        <v>-3942.8013740764345</v>
      </c>
    </row>
    <row r="48" spans="2:12" ht="18.75" x14ac:dyDescent="0.25">
      <c r="B48" s="9" t="s">
        <v>142</v>
      </c>
      <c r="C48" s="6"/>
      <c r="D48" s="7">
        <f>D27+D35+D47</f>
        <v>16078.044201933968</v>
      </c>
      <c r="E48" s="7">
        <f t="shared" ref="E48:L48" si="4">E27+E35+E47</f>
        <v>13815.030043689025</v>
      </c>
      <c r="F48" s="7">
        <f t="shared" si="4"/>
        <v>15998.039383857336</v>
      </c>
      <c r="G48" s="7">
        <f t="shared" si="4"/>
        <v>22575.019818281609</v>
      </c>
      <c r="H48" s="29">
        <f t="shared" si="4"/>
        <v>26578.464850209686</v>
      </c>
      <c r="I48" s="29">
        <f t="shared" si="4"/>
        <v>40491.312203617519</v>
      </c>
      <c r="J48" s="29">
        <f t="shared" si="4"/>
        <v>44994.898956061188</v>
      </c>
      <c r="K48" s="29">
        <f t="shared" si="4"/>
        <v>52856.555546004813</v>
      </c>
      <c r="L48" s="29">
        <f t="shared" si="4"/>
        <v>56868.798689597141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EF76D02-7A95-4F52-814F-5A59A39ABE8C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A350-ED4C-4432-9538-873B3AE4C509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4" width="15.140625" bestFit="1" customWidth="1"/>
    <col min="5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13451.0273554249</v>
      </c>
      <c r="D6" s="13">
        <f>Income_Statement!D49</f>
        <v>9212.044201933968</v>
      </c>
      <c r="E6" s="13">
        <f>Income_Statement!E49</f>
        <v>-4401.9699563109752</v>
      </c>
      <c r="F6" s="13">
        <f>Income_Statement!F49</f>
        <v>14709.039383857336</v>
      </c>
      <c r="G6" s="13">
        <f>Income_Statement!G49</f>
        <v>20254.019818281609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28</v>
      </c>
      <c r="D8" s="14">
        <f t="shared" ref="D8:G8" si="0">ROUND(D6/D7, 2)</f>
        <v>19</v>
      </c>
      <c r="E8" s="14">
        <f t="shared" si="0"/>
        <v>-18</v>
      </c>
      <c r="F8" s="14">
        <f t="shared" si="0"/>
        <v>31</v>
      </c>
      <c r="G8" s="14">
        <f t="shared" si="0"/>
        <v>51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9462</v>
      </c>
      <c r="D11" s="13">
        <f>Income_Statement!D51</f>
        <v>8411</v>
      </c>
      <c r="E11" s="13">
        <f>Income_Statement!E51</f>
        <v>1696</v>
      </c>
      <c r="F11" s="13">
        <f>Income_Statement!F51</f>
        <v>3519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480.39383412231786</v>
      </c>
      <c r="D12" s="13">
        <f>Income_Statement!D61</f>
        <v>484.84443168073517</v>
      </c>
      <c r="E12" s="13">
        <f>Income_Statement!E61</f>
        <v>244.55388646172085</v>
      </c>
      <c r="F12" s="13">
        <f>Income_Statement!F61</f>
        <v>474.48514141475277</v>
      </c>
      <c r="G12" s="13">
        <f>Income_Statement!G61</f>
        <v>397.13764349571784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19.7</v>
      </c>
      <c r="D13" s="14">
        <f t="shared" ref="D13:G13" si="1">ROUND(D11/D12, 2)</f>
        <v>17.350000000000001</v>
      </c>
      <c r="E13" s="14">
        <f t="shared" si="1"/>
        <v>6.94</v>
      </c>
      <c r="F13" s="14">
        <f t="shared" si="1"/>
        <v>7.42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63508</v>
      </c>
      <c r="D16" s="13">
        <f>Balance_Sheet!D13</f>
        <v>64309.044201933968</v>
      </c>
      <c r="E16" s="13">
        <f>Balance_Sheet!E13</f>
        <v>58211.074245622993</v>
      </c>
      <c r="F16" s="13">
        <f>Balance_Sheet!F13</f>
        <v>69401.113629480329</v>
      </c>
      <c r="G16" s="13">
        <f>Balance_Sheet!G13</f>
        <v>89655.133447761938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480.39383412231786</v>
      </c>
      <c r="D17" s="13">
        <f>Income_Statement!D61</f>
        <v>484.84443168073517</v>
      </c>
      <c r="E17" s="13">
        <f>Income_Statement!E61</f>
        <v>244.55388646172085</v>
      </c>
      <c r="F17" s="13">
        <f>Income_Statement!F61</f>
        <v>474.48514141475277</v>
      </c>
      <c r="G17" s="13">
        <f>Income_Statement!G61</f>
        <v>397.13764349571784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132.19999999999999</v>
      </c>
      <c r="D18" s="14">
        <f t="shared" ref="D18:G18" si="2">ROUND(D16/D17, 2)</f>
        <v>132.63999999999999</v>
      </c>
      <c r="E18" s="14">
        <f t="shared" si="2"/>
        <v>238.03</v>
      </c>
      <c r="F18" s="14">
        <f t="shared" si="2"/>
        <v>146.27000000000001</v>
      </c>
      <c r="G18" s="14">
        <f t="shared" si="2"/>
        <v>225.75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9462</v>
      </c>
      <c r="D21" s="13">
        <f>Income_Statement!D51</f>
        <v>8411</v>
      </c>
      <c r="E21" s="13">
        <f>Income_Statement!E51</f>
        <v>1696</v>
      </c>
      <c r="F21" s="13">
        <f>Income_Statement!F51</f>
        <v>3519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480.39383412231786</v>
      </c>
      <c r="D22" s="13">
        <f>Income_Statement!D61</f>
        <v>484.84443168073517</v>
      </c>
      <c r="E22" s="13">
        <f>Income_Statement!E61</f>
        <v>244.55388646172085</v>
      </c>
      <c r="F22" s="13">
        <f>Income_Statement!F61</f>
        <v>474.48514141475277</v>
      </c>
      <c r="G22" s="13">
        <f>Income_Statement!G61</f>
        <v>397.13764349571784</v>
      </c>
    </row>
    <row r="23" spans="2:12" ht="18.75" x14ac:dyDescent="0.25">
      <c r="B23" s="12" t="s">
        <v>148</v>
      </c>
      <c r="C23" s="13">
        <f>ROUND(C21/C22, 2)</f>
        <v>19.7</v>
      </c>
      <c r="D23" s="13">
        <f t="shared" ref="D23:G23" si="3">ROUND(D21/D22, 2)</f>
        <v>17.350000000000001</v>
      </c>
      <c r="E23" s="13">
        <f t="shared" si="3"/>
        <v>6.94</v>
      </c>
      <c r="F23" s="13">
        <f t="shared" si="3"/>
        <v>7.42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13451.0273554249</v>
      </c>
      <c r="D24" s="13">
        <f>Income_Statement!D49</f>
        <v>9212.044201933968</v>
      </c>
      <c r="E24" s="13">
        <f>Income_Statement!E49</f>
        <v>-4401.9699563109752</v>
      </c>
      <c r="F24" s="13">
        <f>Income_Statement!F49</f>
        <v>14709.039383857336</v>
      </c>
      <c r="G24" s="13">
        <f>Income_Statement!G49</f>
        <v>20254.019818281609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480.39383412231786</v>
      </c>
      <c r="D25" s="13">
        <f>Income_Statement!D61</f>
        <v>484.84443168073517</v>
      </c>
      <c r="E25" s="13">
        <f>Income_Statement!E61</f>
        <v>244.55388646172085</v>
      </c>
      <c r="F25" s="13">
        <f>Income_Statement!F61</f>
        <v>474.48514141475277</v>
      </c>
      <c r="G25" s="13">
        <f>Income_Statement!G61</f>
        <v>397.13764349571784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28</v>
      </c>
      <c r="D26" s="13">
        <f t="shared" ref="D26:G26" si="4">D24/D25</f>
        <v>19</v>
      </c>
      <c r="E26" s="13">
        <f t="shared" si="4"/>
        <v>-18</v>
      </c>
      <c r="F26" s="13">
        <f t="shared" si="4"/>
        <v>31</v>
      </c>
      <c r="G26" s="13">
        <f t="shared" si="4"/>
        <v>51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0.7</v>
      </c>
      <c r="D27" s="14">
        <f t="shared" ref="D27:G27" si="5">ROUND(D23/D26, 2)</f>
        <v>0.91</v>
      </c>
      <c r="E27" s="14">
        <f t="shared" si="5"/>
        <v>-0.39</v>
      </c>
      <c r="F27" s="14">
        <f t="shared" si="5"/>
        <v>0.24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9462</v>
      </c>
      <c r="D30" s="13">
        <f>Income_Statement!D51</f>
        <v>8411</v>
      </c>
      <c r="E30" s="13">
        <f>Income_Statement!E51</f>
        <v>1696</v>
      </c>
      <c r="F30" s="13">
        <f>Income_Statement!F51</f>
        <v>3519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480.39383412231786</v>
      </c>
      <c r="D31" s="13">
        <f>Income_Statement!D61</f>
        <v>484.84443168073517</v>
      </c>
      <c r="E31" s="13">
        <f>Income_Statement!E61</f>
        <v>244.55388646172085</v>
      </c>
      <c r="F31" s="13">
        <f>Income_Statement!F61</f>
        <v>474.48514141475277</v>
      </c>
      <c r="G31" s="13">
        <f>Income_Statement!G61</f>
        <v>397.13764349571784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19.7</v>
      </c>
      <c r="D32" s="13">
        <f t="shared" ref="D32:G32" si="6">ROUND(D30/D31, 2)</f>
        <v>17.350000000000001</v>
      </c>
      <c r="E32" s="13">
        <f t="shared" si="6"/>
        <v>6.94</v>
      </c>
      <c r="F32" s="13">
        <f t="shared" si="6"/>
        <v>7.42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-18.7</v>
      </c>
      <c r="D33" s="15">
        <f t="shared" ref="D33:G33" si="7">1-D32</f>
        <v>-16.350000000000001</v>
      </c>
      <c r="E33" s="15">
        <f t="shared" si="7"/>
        <v>-5.94</v>
      </c>
      <c r="F33" s="15">
        <f t="shared" si="7"/>
        <v>-6.42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92011</v>
      </c>
      <c r="D36" s="13">
        <f>Income_Statement!D5</f>
        <v>90901</v>
      </c>
      <c r="E36" s="13">
        <f>Income_Statement!E5</f>
        <v>83545</v>
      </c>
      <c r="F36" s="13">
        <f>Income_Statement!F5</f>
        <v>86863</v>
      </c>
      <c r="G36" s="13">
        <f>Income_Statement!G5</f>
        <v>131192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31582</v>
      </c>
      <c r="D37" s="13">
        <f>Income_Statement!D17</f>
        <v>25490</v>
      </c>
      <c r="E37" s="13">
        <f>Income_Statement!E17</f>
        <v>21261</v>
      </c>
      <c r="F37" s="13">
        <f>Income_Statement!F17</f>
        <v>22849</v>
      </c>
      <c r="G37" s="13">
        <f>Income_Statement!G17</f>
        <v>37172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60429</v>
      </c>
      <c r="D38" s="16">
        <f t="shared" ref="D38:G38" si="8">ROUND(D36- D37, 2)</f>
        <v>65411</v>
      </c>
      <c r="E38" s="16">
        <f t="shared" si="8"/>
        <v>62284</v>
      </c>
      <c r="F38" s="16">
        <f t="shared" si="8"/>
        <v>64014</v>
      </c>
      <c r="G38" s="16">
        <f t="shared" si="8"/>
        <v>94020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92011</v>
      </c>
      <c r="D41" s="13">
        <f>Income_Statement!D5</f>
        <v>90901</v>
      </c>
      <c r="E41" s="13">
        <f>Income_Statement!E5</f>
        <v>83545</v>
      </c>
      <c r="F41" s="13">
        <f>Income_Statement!F5</f>
        <v>86863</v>
      </c>
      <c r="G41" s="13">
        <f>Income_Statement!G5</f>
        <v>131192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66032</v>
      </c>
      <c r="D42" s="13">
        <f>Income_Statement!D25</f>
        <v>68285</v>
      </c>
      <c r="E42" s="13">
        <f>Income_Statement!E25</f>
        <v>62518</v>
      </c>
      <c r="F42" s="13">
        <f>Income_Statement!F25</f>
        <v>59870</v>
      </c>
      <c r="G42" s="13">
        <f>Income_Statement!G25</f>
        <v>89824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25979</v>
      </c>
      <c r="D43" s="16">
        <f t="shared" ref="D43:G43" si="9">ROUND(D41- D42, 2)</f>
        <v>22616</v>
      </c>
      <c r="E43" s="16">
        <f t="shared" si="9"/>
        <v>21027</v>
      </c>
      <c r="F43" s="16">
        <f t="shared" si="9"/>
        <v>26993</v>
      </c>
      <c r="G43" s="16">
        <f t="shared" si="9"/>
        <v>41368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13451.0273554249</v>
      </c>
      <c r="D46" s="13">
        <f>Income_Statement!D49</f>
        <v>9212.044201933968</v>
      </c>
      <c r="E46" s="13">
        <f>Income_Statement!E49</f>
        <v>-4401.9699563109752</v>
      </c>
      <c r="F46" s="13">
        <f>Income_Statement!F49</f>
        <v>14709.039383857336</v>
      </c>
      <c r="G46" s="13">
        <f>Income_Statement!G49</f>
        <v>20254.019818281609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184798</v>
      </c>
      <c r="D47" s="13">
        <f>Balance_Sheet!D74</f>
        <v>204053.04420193395</v>
      </c>
      <c r="E47" s="13">
        <f>Balance_Sheet!E74</f>
        <v>187196.07424562299</v>
      </c>
      <c r="F47" s="13">
        <f>Balance_Sheet!F74</f>
        <v>192818.11362948033</v>
      </c>
      <c r="G47" s="13">
        <f>Balance_Sheet!G74</f>
        <v>222872.13344776194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7.0000000000000007E-2</v>
      </c>
      <c r="D48" s="15">
        <f t="shared" ref="D48:G48" si="10">ROUND(D46/ D47, 2)</f>
        <v>0.05</v>
      </c>
      <c r="E48" s="15">
        <f t="shared" si="10"/>
        <v>-0.02</v>
      </c>
      <c r="F48" s="15">
        <f t="shared" si="10"/>
        <v>0.08</v>
      </c>
      <c r="G48" s="15">
        <f t="shared" si="10"/>
        <v>0.09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22214.0273554249</v>
      </c>
      <c r="D51" s="13">
        <f>Income_Statement!D33</f>
        <v>18443.044201933968</v>
      </c>
      <c r="E51" s="13">
        <f>Income_Statement!E33</f>
        <v>14445.030043689025</v>
      </c>
      <c r="F51" s="13">
        <f>Income_Statement!F33</f>
        <v>22777.039383857336</v>
      </c>
      <c r="G51" s="13">
        <f>Income_Statement!G33</f>
        <v>35074.019818281609</v>
      </c>
    </row>
    <row r="52" spans="2:12" ht="19.5" thickTop="1" x14ac:dyDescent="0.25">
      <c r="B52" s="12" t="str">
        <f>Balance_Sheet!B21</f>
        <v>Total Debt</v>
      </c>
      <c r="C52" s="13">
        <f>Balance_Sheet!C21</f>
        <v>52818</v>
      </c>
      <c r="D52" s="13">
        <f>Balance_Sheet!D21</f>
        <v>62185</v>
      </c>
      <c r="E52" s="13">
        <f>Balance_Sheet!E21</f>
        <v>61628</v>
      </c>
      <c r="F52" s="13">
        <f>Balance_Sheet!F21</f>
        <v>51873</v>
      </c>
      <c r="G52" s="13">
        <f>Balance_Sheet!G21</f>
        <v>57544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63508</v>
      </c>
      <c r="D53" s="13">
        <f>Balance_Sheet!D13</f>
        <v>64309.044201933968</v>
      </c>
      <c r="E53" s="13">
        <f>Balance_Sheet!E13</f>
        <v>58211.074245622993</v>
      </c>
      <c r="F53" s="13">
        <f>Balance_Sheet!F13</f>
        <v>69401.113629480329</v>
      </c>
      <c r="G53" s="13">
        <f>Balance_Sheet!G13</f>
        <v>89655.133447761938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0.21</v>
      </c>
      <c r="D54" s="15">
        <f t="shared" ref="D54:G54" si="11">ROUND(D51/ (D52+ D52), 2)</f>
        <v>0.15</v>
      </c>
      <c r="E54" s="15">
        <f t="shared" si="11"/>
        <v>0.12</v>
      </c>
      <c r="F54" s="15">
        <f t="shared" si="11"/>
        <v>0.22</v>
      </c>
      <c r="G54" s="15">
        <f t="shared" si="11"/>
        <v>0.3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13451.0273554249</v>
      </c>
      <c r="D57" s="13">
        <f>Income_Statement!D49</f>
        <v>9212.044201933968</v>
      </c>
      <c r="E57" s="13">
        <f>Income_Statement!E49</f>
        <v>-4401.9699563109752</v>
      </c>
      <c r="F57" s="13">
        <f>Income_Statement!F49</f>
        <v>14709.039383857336</v>
      </c>
      <c r="G57" s="13">
        <f>Income_Statement!G49</f>
        <v>20254.019818281609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63508</v>
      </c>
      <c r="D58" s="13">
        <f>Balance_Sheet!D13</f>
        <v>64309.044201933968</v>
      </c>
      <c r="E58" s="13">
        <f>Balance_Sheet!E13</f>
        <v>58211.074245622993</v>
      </c>
      <c r="F58" s="13">
        <f>Balance_Sheet!F13</f>
        <v>69401.113629480329</v>
      </c>
      <c r="G58" s="13">
        <f>Balance_Sheet!G13</f>
        <v>89655.133447761938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0.11</v>
      </c>
      <c r="D59" s="15">
        <f t="shared" ref="D59:G59" si="12">ROUND(D57/ (D58+ D58), 2)</f>
        <v>7.0000000000000007E-2</v>
      </c>
      <c r="E59" s="15">
        <f t="shared" si="12"/>
        <v>-0.04</v>
      </c>
      <c r="F59" s="15">
        <f t="shared" si="12"/>
        <v>0.11</v>
      </c>
      <c r="G59" s="15">
        <f t="shared" si="12"/>
        <v>0.11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52818</v>
      </c>
      <c r="D62" s="13">
        <f>Balance_Sheet!D21</f>
        <v>62185</v>
      </c>
      <c r="E62" s="13">
        <f>Balance_Sheet!E21</f>
        <v>61628</v>
      </c>
      <c r="F62" s="13">
        <f>Balance_Sheet!F21</f>
        <v>51873</v>
      </c>
      <c r="G62" s="13">
        <f>Balance_Sheet!G21</f>
        <v>57544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63508</v>
      </c>
      <c r="D63" s="13">
        <f>Balance_Sheet!D13</f>
        <v>64309.044201933968</v>
      </c>
      <c r="E63" s="13">
        <f>Balance_Sheet!E13</f>
        <v>58211.074245622993</v>
      </c>
      <c r="F63" s="13">
        <f>Balance_Sheet!F13</f>
        <v>69401.113629480329</v>
      </c>
      <c r="G63" s="13">
        <f>Balance_Sheet!G13</f>
        <v>89655.133447761938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0.83</v>
      </c>
      <c r="D64" s="14">
        <f t="shared" ref="D64:G64" si="13">ROUND(D62/ D63, 2)</f>
        <v>0.97</v>
      </c>
      <c r="E64" s="14">
        <f t="shared" si="13"/>
        <v>1.06</v>
      </c>
      <c r="F64" s="14">
        <f t="shared" si="13"/>
        <v>0.75</v>
      </c>
      <c r="G64" s="14">
        <f t="shared" si="13"/>
        <v>0.64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43764</v>
      </c>
      <c r="D67" s="13">
        <f>Balance_Sheet!D72</f>
        <v>60547.044201933968</v>
      </c>
      <c r="E67" s="13">
        <f>Balance_Sheet!E72</f>
        <v>73987.074245622993</v>
      </c>
      <c r="F67" s="13">
        <f>Balance_Sheet!F72</f>
        <v>96731.113629480329</v>
      </c>
      <c r="G67" s="13">
        <f>Balance_Sheet!G72</f>
        <v>130054.13344776194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52515</v>
      </c>
      <c r="D68" s="13">
        <f>Balance_Sheet!D33</f>
        <v>62332</v>
      </c>
      <c r="E68" s="13">
        <f>Balance_Sheet!E33</f>
        <v>50245</v>
      </c>
      <c r="F68" s="13">
        <f>Balance_Sheet!F33</f>
        <v>56406</v>
      </c>
      <c r="G68" s="13">
        <f>Balance_Sheet!G33</f>
        <v>58352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0.83</v>
      </c>
      <c r="D69" s="14">
        <f t="shared" ref="D69:G69" si="14">ROUND(D67/ D68, 2)</f>
        <v>0.97</v>
      </c>
      <c r="E69" s="14">
        <f t="shared" si="14"/>
        <v>1.47</v>
      </c>
      <c r="F69" s="14">
        <f t="shared" si="14"/>
        <v>1.71</v>
      </c>
      <c r="G69" s="14">
        <f t="shared" si="14"/>
        <v>2.23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43764</v>
      </c>
      <c r="D72" s="13">
        <f>Balance_Sheet!D72</f>
        <v>60547.044201933968</v>
      </c>
      <c r="E72" s="13">
        <f>Balance_Sheet!E72</f>
        <v>73987.074245622993</v>
      </c>
      <c r="F72" s="13">
        <f>Balance_Sheet!F72</f>
        <v>96731.113629480329</v>
      </c>
      <c r="G72" s="13">
        <f>Balance_Sheet!G72</f>
        <v>130054.13344776194</v>
      </c>
    </row>
    <row r="73" spans="2:12" ht="19.5" thickTop="1" x14ac:dyDescent="0.25">
      <c r="B73" s="12" t="str">
        <f>Balance_Sheet!B66</f>
        <v>Inventories</v>
      </c>
      <c r="C73" s="13">
        <f>Balance_Sheet!C66</f>
        <v>11967</v>
      </c>
      <c r="D73" s="13">
        <f>Balance_Sheet!D66</f>
        <v>13198</v>
      </c>
      <c r="E73" s="13">
        <f>Balance_Sheet!E66</f>
        <v>11335</v>
      </c>
      <c r="F73" s="13">
        <f>Balance_Sheet!F66</f>
        <v>9923</v>
      </c>
      <c r="G73" s="13">
        <f>Balance_Sheet!G66</f>
        <v>14313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52515</v>
      </c>
      <c r="D74" s="13">
        <f>Balance_Sheet!D33</f>
        <v>62332</v>
      </c>
      <c r="E74" s="13">
        <f>Balance_Sheet!E33</f>
        <v>50245</v>
      </c>
      <c r="F74" s="13">
        <f>Balance_Sheet!F33</f>
        <v>56406</v>
      </c>
      <c r="G74" s="13">
        <f>Balance_Sheet!G33</f>
        <v>58352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0.61</v>
      </c>
      <c r="D75" s="14">
        <f t="shared" ref="D75:G75" si="15">ROUND((D72-D73)/ D74, 2)</f>
        <v>0.76</v>
      </c>
      <c r="E75" s="14">
        <f t="shared" si="15"/>
        <v>1.25</v>
      </c>
      <c r="F75" s="14">
        <f t="shared" si="15"/>
        <v>1.54</v>
      </c>
      <c r="G75" s="14">
        <f t="shared" si="15"/>
        <v>1.98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22214.0273554249</v>
      </c>
      <c r="D78" s="13">
        <f>Income_Statement!D33</f>
        <v>18443.044201933968</v>
      </c>
      <c r="E78" s="13">
        <f>Income_Statement!E33</f>
        <v>14445.030043689025</v>
      </c>
      <c r="F78" s="13">
        <f>Income_Statement!F33</f>
        <v>22777.039383857336</v>
      </c>
      <c r="G78" s="13">
        <f>Income_Statement!G33</f>
        <v>35074.019818281609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5783</v>
      </c>
      <c r="D79" s="13">
        <f>Income_Statement!D35</f>
        <v>5689</v>
      </c>
      <c r="E79" s="13">
        <f>Income_Statement!E35</f>
        <v>4977</v>
      </c>
      <c r="F79" s="13">
        <f>Income_Statement!F35</f>
        <v>5210</v>
      </c>
      <c r="G79" s="13">
        <f>Income_Statement!G35</f>
        <v>4797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3.84</v>
      </c>
      <c r="D80" s="14">
        <f t="shared" ref="D80:G80" si="16">ROUND(D78/D79, 2)</f>
        <v>3.24</v>
      </c>
      <c r="E80" s="14">
        <f t="shared" si="16"/>
        <v>2.9</v>
      </c>
      <c r="F80" s="14">
        <f t="shared" si="16"/>
        <v>4.37</v>
      </c>
      <c r="G80" s="14">
        <f t="shared" si="16"/>
        <v>7.31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31582</v>
      </c>
      <c r="D83" s="13">
        <f>Income_Statement!D17</f>
        <v>25490</v>
      </c>
      <c r="E83" s="13">
        <f>Income_Statement!E17</f>
        <v>21261</v>
      </c>
      <c r="F83" s="13">
        <f>Income_Statement!F17</f>
        <v>22849</v>
      </c>
      <c r="G83" s="13">
        <f>Income_Statement!G17</f>
        <v>37172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90954</v>
      </c>
      <c r="D84" s="13">
        <f>Income_Statement!D9</f>
        <v>90901</v>
      </c>
      <c r="E84" s="13">
        <f>Income_Statement!E9</f>
        <v>83545</v>
      </c>
      <c r="F84" s="13">
        <f>Income_Statement!F9</f>
        <v>86863</v>
      </c>
      <c r="G84" s="13">
        <f>Income_Statement!G9</f>
        <v>131192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0.35</v>
      </c>
      <c r="D85" s="14">
        <f t="shared" ref="D85:G85" si="17">ROUND(D83/D84, 2)</f>
        <v>0.28000000000000003</v>
      </c>
      <c r="E85" s="14">
        <f t="shared" si="17"/>
        <v>0.25</v>
      </c>
      <c r="F85" s="14">
        <f t="shared" si="17"/>
        <v>0.26</v>
      </c>
      <c r="G85" s="14">
        <f t="shared" si="17"/>
        <v>0.28000000000000003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5216</v>
      </c>
      <c r="D88" s="13">
        <f>Balance_Sheet!D70</f>
        <v>21294.044201933968</v>
      </c>
      <c r="E88" s="13">
        <f>Balance_Sheet!E70</f>
        <v>35109.074245622993</v>
      </c>
      <c r="F88" s="13">
        <f>Balance_Sheet!F70</f>
        <v>51107.113629480329</v>
      </c>
      <c r="G88" s="13">
        <f>Balance_Sheet!G70</f>
        <v>73682.133447761938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31582</v>
      </c>
      <c r="D89" s="13">
        <f>Income_Statement!D17</f>
        <v>25490</v>
      </c>
      <c r="E89" s="13">
        <f>Income_Statement!E17</f>
        <v>21261</v>
      </c>
      <c r="F89" s="13">
        <f>Income_Statement!F17</f>
        <v>22849</v>
      </c>
      <c r="G89" s="13">
        <f>Income_Statement!G17</f>
        <v>37172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60.28</v>
      </c>
      <c r="D90" s="14">
        <f t="shared" ref="D90:G90" si="18">ROUND(D88/D89*365, 2)</f>
        <v>304.92</v>
      </c>
      <c r="E90" s="14">
        <f t="shared" si="18"/>
        <v>602.74</v>
      </c>
      <c r="F90" s="14">
        <f t="shared" si="18"/>
        <v>816.41</v>
      </c>
      <c r="G90" s="14">
        <f t="shared" si="18"/>
        <v>723.5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5216</v>
      </c>
      <c r="D93" s="13">
        <f>Balance_Sheet!D70</f>
        <v>21294.044201933968</v>
      </c>
      <c r="E93" s="13">
        <f>Balance_Sheet!E70</f>
        <v>35109.074245622993</v>
      </c>
      <c r="F93" s="13">
        <f>Balance_Sheet!F70</f>
        <v>51107.113629480329</v>
      </c>
      <c r="G93" s="13">
        <f>Balance_Sheet!G70</f>
        <v>73682.133447761938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5216</v>
      </c>
      <c r="D95" s="14">
        <f t="shared" ref="D95:G95" si="19">ROUND(D93/D94*365, 2)</f>
        <v>21294.04</v>
      </c>
      <c r="E95" s="14">
        <f t="shared" si="19"/>
        <v>35109.07</v>
      </c>
      <c r="F95" s="14">
        <f t="shared" si="19"/>
        <v>51107.11</v>
      </c>
      <c r="G95" s="14">
        <f t="shared" si="19"/>
        <v>73682.13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92011</v>
      </c>
      <c r="D98" s="13">
        <f>Income_Statement!D5</f>
        <v>90901</v>
      </c>
      <c r="E98" s="13">
        <f>Income_Statement!E5</f>
        <v>83545</v>
      </c>
      <c r="F98" s="13">
        <f>Income_Statement!F5</f>
        <v>86863</v>
      </c>
      <c r="G98" s="13">
        <f>Income_Statement!G5</f>
        <v>131192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184798</v>
      </c>
      <c r="D99" s="13">
        <f>Balance_Sheet!D74</f>
        <v>204053.04420193395</v>
      </c>
      <c r="E99" s="13">
        <f>Balance_Sheet!E74</f>
        <v>187196.07424562299</v>
      </c>
      <c r="F99" s="13">
        <f>Balance_Sheet!F74</f>
        <v>192818.11362948033</v>
      </c>
      <c r="G99" s="13">
        <f>Balance_Sheet!G74</f>
        <v>222872.13344776194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0.5</v>
      </c>
      <c r="D100" s="14">
        <f t="shared" ref="D100:G100" si="20">ROUND(D98/D99, 2)</f>
        <v>0.45</v>
      </c>
      <c r="E100" s="14">
        <f t="shared" si="20"/>
        <v>0.45</v>
      </c>
      <c r="F100" s="14">
        <f t="shared" si="20"/>
        <v>0.45</v>
      </c>
      <c r="G100" s="14">
        <f t="shared" si="20"/>
        <v>0.59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92011</v>
      </c>
      <c r="D103" s="13">
        <f>Income_Statement!D5</f>
        <v>90901</v>
      </c>
      <c r="E103" s="13">
        <f>Income_Statement!E5</f>
        <v>83545</v>
      </c>
      <c r="F103" s="13">
        <f>Income_Statement!F5</f>
        <v>86863</v>
      </c>
      <c r="G103" s="13">
        <f>Income_Statement!G5</f>
        <v>131192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11967</v>
      </c>
      <c r="D104" s="13">
        <f>Balance_Sheet!D66</f>
        <v>13198</v>
      </c>
      <c r="E104" s="13">
        <f>Balance_Sheet!E66</f>
        <v>11335</v>
      </c>
      <c r="F104" s="13">
        <f>Balance_Sheet!F66</f>
        <v>9923</v>
      </c>
      <c r="G104" s="13">
        <f>Balance_Sheet!G66</f>
        <v>14313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7.69</v>
      </c>
      <c r="D105" s="14">
        <f t="shared" ref="D105:G105" si="21">ROUND(D103/D104, 2)</f>
        <v>6.89</v>
      </c>
      <c r="E105" s="14">
        <f t="shared" si="21"/>
        <v>7.37</v>
      </c>
      <c r="F105" s="14">
        <f t="shared" si="21"/>
        <v>8.75</v>
      </c>
      <c r="G105" s="14">
        <f t="shared" si="21"/>
        <v>9.17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92011</v>
      </c>
      <c r="D108" s="13">
        <f>Income_Statement!D5</f>
        <v>90901</v>
      </c>
      <c r="E108" s="13">
        <f>Income_Statement!E5</f>
        <v>83545</v>
      </c>
      <c r="F108" s="13">
        <f>Income_Statement!F5</f>
        <v>86863</v>
      </c>
      <c r="G108" s="13">
        <f>Income_Statement!G5</f>
        <v>131192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3969</v>
      </c>
      <c r="D109" s="13">
        <f>Balance_Sheet!D68</f>
        <v>3982</v>
      </c>
      <c r="E109" s="13">
        <f>Balance_Sheet!E68</f>
        <v>2697</v>
      </c>
      <c r="F109" s="13">
        <f>Balance_Sheet!F68</f>
        <v>3491</v>
      </c>
      <c r="G109" s="13">
        <f>Balance_Sheet!G68</f>
        <v>4946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23.18</v>
      </c>
      <c r="D110" s="14">
        <f t="shared" ref="D110:G110" si="22">ROUND(D108/D109, 2)</f>
        <v>22.83</v>
      </c>
      <c r="E110" s="14">
        <f t="shared" si="22"/>
        <v>30.98</v>
      </c>
      <c r="F110" s="14">
        <f t="shared" si="22"/>
        <v>24.88</v>
      </c>
      <c r="G110" s="14">
        <f t="shared" si="22"/>
        <v>26.52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92011</v>
      </c>
      <c r="D113" s="13">
        <f>Income_Statement!D5</f>
        <v>90901</v>
      </c>
      <c r="E113" s="13">
        <f>Income_Statement!E5</f>
        <v>83545</v>
      </c>
      <c r="F113" s="13">
        <f>Income_Statement!F5</f>
        <v>86863</v>
      </c>
      <c r="G113" s="13">
        <f>Income_Statement!G5</f>
        <v>131192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79330</v>
      </c>
      <c r="D114" s="13">
        <f>Balance_Sheet!D40</f>
        <v>95515</v>
      </c>
      <c r="E114" s="13">
        <f>Balance_Sheet!E40</f>
        <v>88022</v>
      </c>
      <c r="F114" s="13">
        <f>Balance_Sheet!F40</f>
        <v>89429</v>
      </c>
      <c r="G114" s="13">
        <f>Balance_Sheet!G40</f>
        <v>109345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1.1599999999999999</v>
      </c>
      <c r="D115" s="14">
        <f t="shared" ref="D115:G115" si="23">ROUND(D113/D114, 2)</f>
        <v>0.95</v>
      </c>
      <c r="E115" s="14">
        <f t="shared" si="23"/>
        <v>0.95</v>
      </c>
      <c r="F115" s="14">
        <f t="shared" si="23"/>
        <v>0.97</v>
      </c>
      <c r="G115" s="14">
        <f t="shared" si="23"/>
        <v>1.2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31582</v>
      </c>
      <c r="D118" s="13">
        <f>Income_Statement!D17</f>
        <v>25490</v>
      </c>
      <c r="E118" s="13">
        <f>Income_Statement!E17</f>
        <v>21261</v>
      </c>
      <c r="F118" s="13">
        <f>Income_Statement!F17</f>
        <v>22849</v>
      </c>
      <c r="G118" s="13">
        <f>Income_Statement!G17</f>
        <v>37172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52515</v>
      </c>
      <c r="D119" s="13">
        <f>Balance_Sheet!D33</f>
        <v>62332</v>
      </c>
      <c r="E119" s="13">
        <f>Balance_Sheet!E33</f>
        <v>50245</v>
      </c>
      <c r="F119" s="13">
        <f>Balance_Sheet!F33</f>
        <v>56406</v>
      </c>
      <c r="G119" s="13">
        <f>Balance_Sheet!G33</f>
        <v>58352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0.6</v>
      </c>
      <c r="D120" s="14">
        <f t="shared" ref="D120:G120" si="24">ROUND(D118/D119, 2)</f>
        <v>0.41</v>
      </c>
      <c r="E120" s="14">
        <f t="shared" si="24"/>
        <v>0.42</v>
      </c>
      <c r="F120" s="14">
        <f t="shared" si="24"/>
        <v>0.41</v>
      </c>
      <c r="G120" s="14">
        <f t="shared" si="24"/>
        <v>0.64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92011</v>
      </c>
      <c r="D123" s="13">
        <f>Income_Statement!D5</f>
        <v>90901</v>
      </c>
      <c r="E123" s="13">
        <f>Income_Statement!E5</f>
        <v>83545</v>
      </c>
      <c r="F123" s="13">
        <f>Income_Statement!F5</f>
        <v>86863</v>
      </c>
      <c r="G123" s="13">
        <f>Income_Statement!G5</f>
        <v>131192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11967</v>
      </c>
      <c r="D124" s="13">
        <f>Balance_Sheet!D66</f>
        <v>13198</v>
      </c>
      <c r="E124" s="13">
        <f>Balance_Sheet!E66</f>
        <v>11335</v>
      </c>
      <c r="F124" s="13">
        <f>Balance_Sheet!F66</f>
        <v>9923</v>
      </c>
      <c r="G124" s="13">
        <f>Balance_Sheet!G66</f>
        <v>14313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47.47</v>
      </c>
      <c r="D125" s="14">
        <f t="shared" ref="D125:G125" si="25">ROUND(365/D123*D124, 2)</f>
        <v>52.99</v>
      </c>
      <c r="E125" s="14">
        <f t="shared" si="25"/>
        <v>49.52</v>
      </c>
      <c r="F125" s="14">
        <f t="shared" si="25"/>
        <v>41.7</v>
      </c>
      <c r="G125" s="14">
        <f t="shared" si="25"/>
        <v>39.82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31582</v>
      </c>
      <c r="D128" s="13">
        <f>Income_Statement!D17</f>
        <v>25490</v>
      </c>
      <c r="E128" s="13">
        <f>Income_Statement!E17</f>
        <v>21261</v>
      </c>
      <c r="F128" s="13">
        <f>Income_Statement!F17</f>
        <v>22849</v>
      </c>
      <c r="G128" s="13">
        <f>Income_Statement!G17</f>
        <v>37172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52515</v>
      </c>
      <c r="D129" s="13">
        <f>Balance_Sheet!D33</f>
        <v>62332</v>
      </c>
      <c r="E129" s="13">
        <f>Balance_Sheet!E33</f>
        <v>50245</v>
      </c>
      <c r="F129" s="13">
        <f>Balance_Sheet!F33</f>
        <v>56406</v>
      </c>
      <c r="G129" s="13">
        <f>Balance_Sheet!G33</f>
        <v>58352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606.92999999999995</v>
      </c>
      <c r="D130" s="14">
        <f t="shared" ref="D130:G130" si="26">ROUND(365/D128*D129, 2)</f>
        <v>892.55</v>
      </c>
      <c r="E130" s="14">
        <f t="shared" si="26"/>
        <v>862.59</v>
      </c>
      <c r="F130" s="14">
        <f t="shared" si="26"/>
        <v>901.05</v>
      </c>
      <c r="G130" s="14">
        <f t="shared" si="26"/>
        <v>572.97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92011</v>
      </c>
      <c r="D133" s="13">
        <f>Income_Statement!D5</f>
        <v>90901</v>
      </c>
      <c r="E133" s="13">
        <f>Income_Statement!E5</f>
        <v>83545</v>
      </c>
      <c r="F133" s="13">
        <f>Income_Statement!F5</f>
        <v>86863</v>
      </c>
      <c r="G133" s="13">
        <f>Income_Statement!G5</f>
        <v>131192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3969</v>
      </c>
      <c r="D134" s="13">
        <f>Balance_Sheet!D68</f>
        <v>3982</v>
      </c>
      <c r="E134" s="13">
        <f>Balance_Sheet!E68</f>
        <v>2697</v>
      </c>
      <c r="F134" s="13">
        <f>Balance_Sheet!F68</f>
        <v>3491</v>
      </c>
      <c r="G134" s="13">
        <f>Balance_Sheet!G68</f>
        <v>4946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15.74</v>
      </c>
      <c r="D135" s="14">
        <f t="shared" ref="D135:G135" si="27">ROUND(365/D133*D134, 2)</f>
        <v>15.99</v>
      </c>
      <c r="E135" s="14">
        <f t="shared" si="27"/>
        <v>11.78</v>
      </c>
      <c r="F135" s="14">
        <f t="shared" si="27"/>
        <v>14.67</v>
      </c>
      <c r="G135" s="14">
        <f t="shared" si="27"/>
        <v>13.76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92011</v>
      </c>
      <c r="D138" s="13">
        <f>Income_Statement!D5</f>
        <v>90901</v>
      </c>
      <c r="E138" s="13">
        <f>Income_Statement!E5</f>
        <v>83545</v>
      </c>
      <c r="F138" s="13">
        <f>Income_Statement!F5</f>
        <v>86863</v>
      </c>
      <c r="G138" s="13">
        <f>Income_Statement!G5</f>
        <v>131192</v>
      </c>
    </row>
    <row r="139" spans="2:12" ht="18.75" x14ac:dyDescent="0.25">
      <c r="B139" s="12" t="str">
        <f>Balance_Sheet!B66</f>
        <v>Inventories</v>
      </c>
      <c r="C139" s="13">
        <f>Balance_Sheet!C66</f>
        <v>11967</v>
      </c>
      <c r="D139" s="13">
        <f>Balance_Sheet!D66</f>
        <v>13198</v>
      </c>
      <c r="E139" s="13">
        <f>Balance_Sheet!E66</f>
        <v>11335</v>
      </c>
      <c r="F139" s="13">
        <f>Balance_Sheet!F66</f>
        <v>9923</v>
      </c>
      <c r="G139" s="13">
        <f>Balance_Sheet!G66</f>
        <v>14313</v>
      </c>
    </row>
    <row r="140" spans="2:12" ht="18.75" x14ac:dyDescent="0.25">
      <c r="B140" s="12" t="s">
        <v>192</v>
      </c>
      <c r="C140" s="13">
        <f>ROUND(365/C138*C139, 2)</f>
        <v>47.47</v>
      </c>
      <c r="D140" s="13">
        <f t="shared" ref="D140:G140" si="28">ROUND(365/D138*D139, 2)</f>
        <v>52.99</v>
      </c>
      <c r="E140" s="13">
        <f t="shared" si="28"/>
        <v>49.52</v>
      </c>
      <c r="F140" s="13">
        <f t="shared" si="28"/>
        <v>41.7</v>
      </c>
      <c r="G140" s="13">
        <f t="shared" si="28"/>
        <v>39.82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31582</v>
      </c>
      <c r="D141" s="13">
        <f>Income_Statement!D17</f>
        <v>25490</v>
      </c>
      <c r="E141" s="13">
        <f>Income_Statement!E17</f>
        <v>21261</v>
      </c>
      <c r="F141" s="13">
        <f>Income_Statement!F17</f>
        <v>22849</v>
      </c>
      <c r="G141" s="13">
        <f>Income_Statement!G17</f>
        <v>37172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52515</v>
      </c>
      <c r="D142" s="13">
        <f>Balance_Sheet!D33</f>
        <v>62332</v>
      </c>
      <c r="E142" s="13">
        <f>Balance_Sheet!E33</f>
        <v>50245</v>
      </c>
      <c r="F142" s="13">
        <f>Balance_Sheet!F33</f>
        <v>56406</v>
      </c>
      <c r="G142" s="13">
        <f>Balance_Sheet!G33</f>
        <v>58352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606.92999999999995</v>
      </c>
      <c r="D143" s="13">
        <f t="shared" ref="D143:G143" si="29">ROUND(365/D141*D142, 2)</f>
        <v>892.55</v>
      </c>
      <c r="E143" s="13">
        <f t="shared" si="29"/>
        <v>862.59</v>
      </c>
      <c r="F143" s="13">
        <f t="shared" si="29"/>
        <v>901.05</v>
      </c>
      <c r="G143" s="13">
        <f t="shared" si="29"/>
        <v>572.97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654.4</v>
      </c>
      <c r="D144" s="16">
        <f t="shared" ref="D144:G144" si="30">ROUND(D143+D140, 2)</f>
        <v>945.54</v>
      </c>
      <c r="E144" s="16">
        <f t="shared" si="30"/>
        <v>912.11</v>
      </c>
      <c r="F144" s="16">
        <f t="shared" si="30"/>
        <v>942.75</v>
      </c>
      <c r="G144" s="16">
        <f t="shared" si="30"/>
        <v>612.79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92011</v>
      </c>
      <c r="D147" s="13">
        <f>Income_Statement!D5</f>
        <v>90901</v>
      </c>
      <c r="E147" s="13">
        <f>Income_Statement!E5</f>
        <v>83545</v>
      </c>
      <c r="F147" s="13">
        <f>Income_Statement!F5</f>
        <v>86863</v>
      </c>
      <c r="G147" s="13">
        <f>Income_Statement!G5</f>
        <v>131192</v>
      </c>
    </row>
    <row r="148" spans="2:12" ht="18.75" x14ac:dyDescent="0.25">
      <c r="B148" s="12" t="str">
        <f>Balance_Sheet!B66</f>
        <v>Inventories</v>
      </c>
      <c r="C148" s="13">
        <f>Balance_Sheet!C66</f>
        <v>11967</v>
      </c>
      <c r="D148" s="13">
        <f>Balance_Sheet!D66</f>
        <v>13198</v>
      </c>
      <c r="E148" s="13">
        <f>Balance_Sheet!E66</f>
        <v>11335</v>
      </c>
      <c r="F148" s="13">
        <f>Balance_Sheet!F66</f>
        <v>9923</v>
      </c>
      <c r="G148" s="13">
        <f>Balance_Sheet!G66</f>
        <v>14313</v>
      </c>
    </row>
    <row r="149" spans="2:12" ht="18.75" x14ac:dyDescent="0.25">
      <c r="B149" s="12" t="s">
        <v>192</v>
      </c>
      <c r="C149" s="13">
        <f>ROUND(365/C147*C148, 2)</f>
        <v>47.47</v>
      </c>
      <c r="D149" s="13">
        <f t="shared" ref="D149:G149" si="31">ROUND(365/D147*D148, 2)</f>
        <v>52.99</v>
      </c>
      <c r="E149" s="13">
        <f t="shared" si="31"/>
        <v>49.52</v>
      </c>
      <c r="F149" s="13">
        <f t="shared" si="31"/>
        <v>41.7</v>
      </c>
      <c r="G149" s="13">
        <f t="shared" si="31"/>
        <v>39.82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31582</v>
      </c>
      <c r="D150" s="13">
        <f>Income_Statement!D17</f>
        <v>25490</v>
      </c>
      <c r="E150" s="13">
        <f>Income_Statement!E17</f>
        <v>21261</v>
      </c>
      <c r="F150" s="13">
        <f>Income_Statement!F17</f>
        <v>22849</v>
      </c>
      <c r="G150" s="13">
        <f>Income_Statement!G17</f>
        <v>37172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52515</v>
      </c>
      <c r="D151" s="13">
        <f>Balance_Sheet!D33</f>
        <v>62332</v>
      </c>
      <c r="E151" s="13">
        <f>Balance_Sheet!E33</f>
        <v>50245</v>
      </c>
      <c r="F151" s="13">
        <f>Balance_Sheet!F33</f>
        <v>56406</v>
      </c>
      <c r="G151" s="13">
        <f>Balance_Sheet!G33</f>
        <v>58352</v>
      </c>
    </row>
    <row r="152" spans="2:12" ht="18.75" x14ac:dyDescent="0.25">
      <c r="B152" s="12" t="s">
        <v>194</v>
      </c>
      <c r="C152" s="13">
        <f>ROUND(365/C150*C151, 2)</f>
        <v>606.92999999999995</v>
      </c>
      <c r="D152" s="13">
        <f t="shared" ref="D152:G152" si="32">ROUND(365/D150*D151, 2)</f>
        <v>892.55</v>
      </c>
      <c r="E152" s="13">
        <f t="shared" si="32"/>
        <v>862.59</v>
      </c>
      <c r="F152" s="13">
        <f t="shared" si="32"/>
        <v>901.05</v>
      </c>
      <c r="G152" s="13">
        <f t="shared" si="32"/>
        <v>572.97</v>
      </c>
    </row>
    <row r="153" spans="2:12" ht="18.75" x14ac:dyDescent="0.25">
      <c r="B153" s="12" t="s">
        <v>200</v>
      </c>
      <c r="C153" s="13">
        <f>ROUND(C152+C149, 2)</f>
        <v>654.4</v>
      </c>
      <c r="D153" s="13">
        <f t="shared" ref="D153:G153" si="33">ROUND(D152+D149, 2)</f>
        <v>945.54</v>
      </c>
      <c r="E153" s="13">
        <f t="shared" si="33"/>
        <v>912.11</v>
      </c>
      <c r="F153" s="13">
        <f t="shared" si="33"/>
        <v>942.75</v>
      </c>
      <c r="G153" s="13">
        <f t="shared" si="33"/>
        <v>612.79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31582</v>
      </c>
      <c r="D154" s="13">
        <f>Income_Statement!D17</f>
        <v>25490</v>
      </c>
      <c r="E154" s="13">
        <f>Income_Statement!E17</f>
        <v>21261</v>
      </c>
      <c r="F154" s="13">
        <f>Income_Statement!F17</f>
        <v>22849</v>
      </c>
      <c r="G154" s="13">
        <f>Income_Statement!G17</f>
        <v>37172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52515</v>
      </c>
      <c r="D155" s="13">
        <f>Balance_Sheet!D33</f>
        <v>62332</v>
      </c>
      <c r="E155" s="13">
        <f>Balance_Sheet!E33</f>
        <v>50245</v>
      </c>
      <c r="F155" s="13">
        <f>Balance_Sheet!F33</f>
        <v>56406</v>
      </c>
      <c r="G155" s="13">
        <f>Balance_Sheet!G33</f>
        <v>58352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606.92999999999995</v>
      </c>
      <c r="D156" s="13">
        <f t="shared" ref="D156:G156" si="34">ROUND(365/D154*D155, 2)</f>
        <v>892.55</v>
      </c>
      <c r="E156" s="13">
        <f t="shared" si="34"/>
        <v>862.59</v>
      </c>
      <c r="F156" s="13">
        <f t="shared" si="34"/>
        <v>901.05</v>
      </c>
      <c r="G156" s="13">
        <f t="shared" si="34"/>
        <v>572.97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-47.47</v>
      </c>
      <c r="D157" s="16">
        <f t="shared" ref="D157:G157" si="35">ROUND(D156-D153, 2)</f>
        <v>-52.99</v>
      </c>
      <c r="E157" s="16">
        <f t="shared" si="35"/>
        <v>-49.52</v>
      </c>
      <c r="F157" s="16">
        <f t="shared" si="35"/>
        <v>-41.7</v>
      </c>
      <c r="G157" s="16">
        <f t="shared" si="35"/>
        <v>-39.82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6DE16C48-E263-411F-A2B7-FB849A854D32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C5D5D835-D44D-4B17-86CF-416F2D2F8F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47C1FA85-BEC8-4BD6-9F6B-86710C5DB8D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7F0B4791-DF2A-49D3-B433-AB10240B6B8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CFF85CC4-E5A9-4C8D-8A9E-47414EB7EF6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427A396-603D-45DE-BF38-A4B3FEC07B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16283E8E-E087-4404-863B-33228472F4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7C98CF77-EA8C-4D28-A19F-47EAE1E8B2D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8C2E7B09-37B0-415F-AD60-A100F58DD3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ED45B06D-5CF6-4D22-90CF-A92EF29B4E7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D92FC33D-8104-46FB-8FCB-2967820553B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5086AFDB-D140-432D-BD05-9DBF978B22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C9CE3A4B-13B7-4D52-ABD3-4C64F99A707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FEC55763-9EDB-4B67-B976-F61994584C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72CA6F58-412A-44AF-8FD3-B69FB35E96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E57142CB-C0C8-4639-A4FA-60D4EC7BE5B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FD4DCE8-BC1B-4D49-96EC-0EC870C05E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9E584031-BBF7-4C0E-AB49-5697BCD51C0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9B1D5D5B-A97B-41D9-B109-21D7A9E93EC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64C0B3ED-59F9-4D79-8381-776CFF7DB3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194AEC67-3270-4430-89C1-2229D342895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958CCED0-1E11-40CF-B90E-05AA4489D5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73425BC5-375A-465B-AA02-A45C25E5A30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D471D031-F02B-424A-9896-D909291642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3103D4E2-5D6F-4B10-8CA5-97C7EF8395C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AC4A3643-1D52-4EF8-A8F0-1F0C55C7861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F400657A-01FA-4D93-9695-A0008DED32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5F0430B7-C728-4841-8A6E-04402A4E673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7BFB0-CC0E-43C8-A8CB-F3234893A26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13451.0273554249</v>
      </c>
      <c r="D6" s="13">
        <f>Income_Statement!D49</f>
        <v>9212.044201933968</v>
      </c>
      <c r="E6" s="13">
        <f>Income_Statement!E49</f>
        <v>-4401.9699563109752</v>
      </c>
      <c r="F6" s="13">
        <f>Income_Statement!F49</f>
        <v>14709.039383857336</v>
      </c>
      <c r="G6" s="13">
        <f>Income_Statement!G49</f>
        <v>20254.019818281609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</row>
    <row r="8" spans="2:15" ht="18.75" x14ac:dyDescent="0.25">
      <c r="B8" s="14" t="s">
        <v>146</v>
      </c>
      <c r="C8" s="14">
        <f>ROUND(C6/C7, 2)</f>
        <v>28</v>
      </c>
      <c r="D8" s="14">
        <f t="shared" ref="D8:G8" si="0">ROUND(D6/D7, 2)</f>
        <v>19</v>
      </c>
      <c r="E8" s="14">
        <f t="shared" si="0"/>
        <v>-18</v>
      </c>
      <c r="F8" s="14">
        <f t="shared" si="0"/>
        <v>31</v>
      </c>
      <c r="G8" s="14">
        <f t="shared" si="0"/>
        <v>51</v>
      </c>
    </row>
  </sheetData>
  <mergeCells count="1">
    <mergeCell ref="B5:G5"/>
  </mergeCells>
  <hyperlinks>
    <hyperlink ref="F1" location="Index_Data!A1" tooltip="Hi click here To return Index page" display="Index_Data!A1" xr:uid="{1F7A137B-AF55-4805-B289-248C4CC45175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C723-9645-467E-B99F-6FFFE5DE850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9462</v>
      </c>
      <c r="D6" s="13">
        <f>Income_Statement!D51</f>
        <v>8411</v>
      </c>
      <c r="E6" s="13">
        <f>Income_Statement!E51</f>
        <v>1696</v>
      </c>
      <c r="F6" s="13">
        <f>Income_Statement!F51</f>
        <v>3519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480.39383412231786</v>
      </c>
      <c r="D7" s="13">
        <f>Income_Statement!D61</f>
        <v>484.84443168073517</v>
      </c>
      <c r="E7" s="13">
        <f>Income_Statement!E61</f>
        <v>244.55388646172085</v>
      </c>
      <c r="F7" s="13">
        <f>Income_Statement!F61</f>
        <v>474.48514141475277</v>
      </c>
      <c r="G7" s="13">
        <f>Income_Statement!G61</f>
        <v>397.13764349571784</v>
      </c>
    </row>
    <row r="8" spans="2:15" ht="18.75" x14ac:dyDescent="0.25">
      <c r="B8" s="14" t="s">
        <v>148</v>
      </c>
      <c r="C8" s="14">
        <f>ROUND(C6/C7, 2)</f>
        <v>19.7</v>
      </c>
      <c r="D8" s="14">
        <f t="shared" ref="D8:G8" si="0">ROUND(D6/D7, 2)</f>
        <v>17.350000000000001</v>
      </c>
      <c r="E8" s="14">
        <f t="shared" si="0"/>
        <v>6.94</v>
      </c>
      <c r="F8" s="14">
        <f t="shared" si="0"/>
        <v>7.42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098CA5DD-D6D6-4C5F-BAD0-EC56F9E4BCBB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2022-07-03T10:43:02Z</dcterms:created>
  <dcterms:modified xsi:type="dcterms:W3CDTF">2022-07-04T07:39:59Z</dcterms:modified>
</cp:coreProperties>
</file>