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C66F015F-EB4E-4088-9C47-9CBA2D1BA96C}" xr6:coauthVersionLast="47" xr6:coauthVersionMax="47" xr10:uidLastSave="{00000000-0000-0000-0000-000000000000}"/>
  <bookViews>
    <workbookView xWindow="-120" yWindow="-120" windowWidth="20730" windowHeight="11160" firstSheet="2" activeTab="2" xr2:uid="{1491DEDD-B744-4078-AFFF-88590F0B618F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K44" i="4" s="1"/>
  <c r="L44" i="4" s="1"/>
  <c r="L45" i="4" s="1"/>
  <c r="J47" i="5"/>
  <c r="H46" i="5"/>
  <c r="H47" i="5" s="1"/>
  <c r="I46" i="5"/>
  <c r="I47" i="5" s="1"/>
  <c r="J46" i="5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I10" i="5"/>
  <c r="H9" i="5"/>
  <c r="I9" i="5"/>
  <c r="J9" i="5"/>
  <c r="K9" i="5"/>
  <c r="L9" i="5"/>
  <c r="H8" i="5"/>
  <c r="I8" i="5"/>
  <c r="J8" i="5"/>
  <c r="K8" i="5"/>
  <c r="L8" i="5"/>
  <c r="H7" i="5"/>
  <c r="H10" i="5" s="1"/>
  <c r="I7" i="5"/>
  <c r="J7" i="5"/>
  <c r="K7" i="5"/>
  <c r="K10" i="5" s="1"/>
  <c r="L7" i="5"/>
  <c r="L10" i="5" s="1"/>
  <c r="H66" i="4"/>
  <c r="I67" i="4"/>
  <c r="I66" i="4" s="1"/>
  <c r="H67" i="4"/>
  <c r="L64" i="4"/>
  <c r="H64" i="4"/>
  <c r="I65" i="4"/>
  <c r="I64" i="4" s="1"/>
  <c r="J65" i="4"/>
  <c r="K65" i="4" s="1"/>
  <c r="L65" i="4" s="1"/>
  <c r="H65" i="4"/>
  <c r="L62" i="4"/>
  <c r="H62" i="4"/>
  <c r="I63" i="4"/>
  <c r="J63" i="4" s="1"/>
  <c r="K63" i="4" s="1"/>
  <c r="L63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H48" i="4"/>
  <c r="I49" i="4"/>
  <c r="I48" i="4" s="1"/>
  <c r="H49" i="4"/>
  <c r="K42" i="4"/>
  <c r="L42" i="4"/>
  <c r="H42" i="4"/>
  <c r="I43" i="4"/>
  <c r="J43" i="4" s="1"/>
  <c r="K43" i="4" s="1"/>
  <c r="L43" i="4" s="1"/>
  <c r="H43" i="4"/>
  <c r="K40" i="4"/>
  <c r="L40" i="4"/>
  <c r="H40" i="4"/>
  <c r="H46" i="4" s="1"/>
  <c r="I41" i="4"/>
  <c r="J41" i="4" s="1"/>
  <c r="K41" i="4" s="1"/>
  <c r="L41" i="4" s="1"/>
  <c r="H41" i="4"/>
  <c r="I35" i="4"/>
  <c r="L35" i="4"/>
  <c r="H35" i="4"/>
  <c r="I36" i="4"/>
  <c r="J36" i="4" s="1"/>
  <c r="K36" i="4" s="1"/>
  <c r="L36" i="4" s="1"/>
  <c r="H36" i="4"/>
  <c r="L31" i="4"/>
  <c r="H31" i="4"/>
  <c r="I32" i="4"/>
  <c r="J32" i="4" s="1"/>
  <c r="K32" i="4" s="1"/>
  <c r="L32" i="4" s="1"/>
  <c r="H32" i="4"/>
  <c r="K29" i="4"/>
  <c r="L29" i="4"/>
  <c r="H29" i="4"/>
  <c r="I30" i="4"/>
  <c r="J30" i="4" s="1"/>
  <c r="K30" i="4" s="1"/>
  <c r="L30" i="4" s="1"/>
  <c r="H30" i="4"/>
  <c r="K27" i="4"/>
  <c r="L27" i="4"/>
  <c r="H27" i="4"/>
  <c r="I28" i="4"/>
  <c r="J28" i="4" s="1"/>
  <c r="K28" i="4" s="1"/>
  <c r="L28" i="4" s="1"/>
  <c r="H28" i="4"/>
  <c r="H25" i="4"/>
  <c r="I26" i="4"/>
  <c r="I25" i="4" s="1"/>
  <c r="H26" i="4"/>
  <c r="L23" i="4"/>
  <c r="H23" i="4"/>
  <c r="H33" i="4" s="1"/>
  <c r="H34" i="4" s="1"/>
  <c r="I24" i="4"/>
  <c r="J24" i="4" s="1"/>
  <c r="K24" i="4" s="1"/>
  <c r="L24" i="4" s="1"/>
  <c r="H24" i="4"/>
  <c r="K21" i="4"/>
  <c r="L21" i="4"/>
  <c r="H21" i="4"/>
  <c r="I22" i="4"/>
  <c r="J22" i="4" s="1"/>
  <c r="K22" i="4" s="1"/>
  <c r="L22" i="4" s="1"/>
  <c r="H22" i="4"/>
  <c r="L19" i="4"/>
  <c r="H19" i="4"/>
  <c r="I20" i="4"/>
  <c r="J20" i="4" s="1"/>
  <c r="K20" i="4" s="1"/>
  <c r="L20" i="4" s="1"/>
  <c r="H20" i="4"/>
  <c r="L17" i="4"/>
  <c r="H17" i="4"/>
  <c r="I18" i="4"/>
  <c r="I17" i="4" s="1"/>
  <c r="J18" i="4"/>
  <c r="K18" i="4" s="1"/>
  <c r="L18" i="4" s="1"/>
  <c r="H18" i="4"/>
  <c r="L15" i="4"/>
  <c r="H15" i="4"/>
  <c r="I16" i="4"/>
  <c r="J16" i="4" s="1"/>
  <c r="K16" i="4" s="1"/>
  <c r="L16" i="4" s="1"/>
  <c r="H16" i="4"/>
  <c r="H13" i="4"/>
  <c r="H14" i="4" s="1"/>
  <c r="I13" i="4"/>
  <c r="J13" i="4"/>
  <c r="K13" i="4"/>
  <c r="K14" i="4" s="1"/>
  <c r="L13" i="4"/>
  <c r="I14" i="4"/>
  <c r="J14" i="4"/>
  <c r="L14" i="4"/>
  <c r="H9" i="4"/>
  <c r="I9" i="4"/>
  <c r="J9" i="4"/>
  <c r="K9" i="4"/>
  <c r="L9" i="4"/>
  <c r="H10" i="4"/>
  <c r="I10" i="4"/>
  <c r="J10" i="4"/>
  <c r="K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8" i="4"/>
  <c r="I69" i="4"/>
  <c r="J69" i="4" s="1"/>
  <c r="H69" i="4"/>
  <c r="L53" i="3"/>
  <c r="H53" i="3"/>
  <c r="I54" i="3"/>
  <c r="J54" i="3" s="1"/>
  <c r="K54" i="3" s="1"/>
  <c r="L54" i="3" s="1"/>
  <c r="H54" i="3"/>
  <c r="K51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L39" i="3"/>
  <c r="H39" i="3"/>
  <c r="I40" i="3"/>
  <c r="J40" i="3" s="1"/>
  <c r="K40" i="3" s="1"/>
  <c r="L40" i="3" s="1"/>
  <c r="H40" i="3"/>
  <c r="I37" i="3"/>
  <c r="I41" i="3" s="1"/>
  <c r="H33" i="3"/>
  <c r="H34" i="3" s="1"/>
  <c r="I33" i="3"/>
  <c r="J33" i="3"/>
  <c r="J37" i="3" s="1"/>
  <c r="K33" i="3"/>
  <c r="K34" i="3" s="1"/>
  <c r="L33" i="3"/>
  <c r="L37" i="3" s="1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I21" i="3"/>
  <c r="L21" i="3"/>
  <c r="H21" i="3"/>
  <c r="I22" i="3"/>
  <c r="J22" i="3" s="1"/>
  <c r="K22" i="3" s="1"/>
  <c r="L22" i="3" s="1"/>
  <c r="H22" i="3"/>
  <c r="L19" i="3"/>
  <c r="H19" i="3"/>
  <c r="I20" i="3"/>
  <c r="J20" i="3" s="1"/>
  <c r="K20" i="3" s="1"/>
  <c r="L20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H13" i="3"/>
  <c r="I14" i="3"/>
  <c r="I13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L7" i="3"/>
  <c r="H7" i="3"/>
  <c r="I8" i="3"/>
  <c r="J8" i="3" s="1"/>
  <c r="K8" i="3" s="1"/>
  <c r="L8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G7" i="46"/>
  <c r="F7" i="46"/>
  <c r="E7" i="46"/>
  <c r="D7" i="46"/>
  <c r="C7" i="46"/>
  <c r="C9" i="46" s="1"/>
  <c r="C21" i="46" s="1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F10" i="5" s="1"/>
  <c r="G7" i="5"/>
  <c r="G10" i="5" s="1"/>
  <c r="D7" i="5"/>
  <c r="D10" i="5" s="1"/>
  <c r="D33" i="4"/>
  <c r="D129" i="6" s="1"/>
  <c r="E33" i="4"/>
  <c r="E68" i="6" s="1"/>
  <c r="F33" i="4"/>
  <c r="F119" i="6" s="1"/>
  <c r="G33" i="4"/>
  <c r="D21" i="4"/>
  <c r="D52" i="6" s="1"/>
  <c r="E21" i="4"/>
  <c r="E52" i="6" s="1"/>
  <c r="F21" i="4"/>
  <c r="F6" i="17" s="1"/>
  <c r="G21" i="4"/>
  <c r="D9" i="4"/>
  <c r="E9" i="4"/>
  <c r="F9" i="4"/>
  <c r="G9" i="4"/>
  <c r="C72" i="4"/>
  <c r="C5" i="36" s="1"/>
  <c r="C46" i="4"/>
  <c r="C54" i="4" s="1"/>
  <c r="C33" i="4"/>
  <c r="C151" i="6" s="1"/>
  <c r="C21" i="4"/>
  <c r="C9" i="4"/>
  <c r="C13" i="4" s="1"/>
  <c r="D25" i="3"/>
  <c r="D26" i="3" s="1"/>
  <c r="E25" i="3"/>
  <c r="E26" i="3" s="1"/>
  <c r="F25" i="3"/>
  <c r="F5" i="44" s="1"/>
  <c r="G25" i="3"/>
  <c r="G5" i="44" s="1"/>
  <c r="D9" i="3"/>
  <c r="D10" i="3" s="1"/>
  <c r="E9" i="3"/>
  <c r="E7" i="21" s="1"/>
  <c r="F9" i="3"/>
  <c r="F7" i="21" s="1"/>
  <c r="G9" i="3"/>
  <c r="G10" i="3" s="1"/>
  <c r="C25" i="3"/>
  <c r="C26" i="3" s="1"/>
  <c r="C9" i="3"/>
  <c r="C10" i="3" s="1"/>
  <c r="H37" i="4" l="1"/>
  <c r="H38" i="4" s="1"/>
  <c r="I38" i="3"/>
  <c r="J10" i="5"/>
  <c r="L41" i="3"/>
  <c r="L38" i="3"/>
  <c r="J41" i="3"/>
  <c r="J38" i="3"/>
  <c r="I42" i="3"/>
  <c r="I45" i="3"/>
  <c r="K37" i="3"/>
  <c r="H37" i="3"/>
  <c r="K45" i="4"/>
  <c r="J45" i="4"/>
  <c r="I45" i="4"/>
  <c r="H45" i="4"/>
  <c r="L46" i="4"/>
  <c r="K46" i="4"/>
  <c r="H54" i="4"/>
  <c r="H55" i="4" s="1"/>
  <c r="H47" i="4"/>
  <c r="L47" i="4"/>
  <c r="K47" i="4"/>
  <c r="K69" i="4"/>
  <c r="J68" i="4"/>
  <c r="I68" i="4"/>
  <c r="J67" i="4"/>
  <c r="K64" i="4"/>
  <c r="J64" i="4"/>
  <c r="K62" i="4"/>
  <c r="J62" i="4"/>
  <c r="I62" i="4"/>
  <c r="K58" i="4"/>
  <c r="J58" i="4"/>
  <c r="I58" i="4"/>
  <c r="K56" i="4"/>
  <c r="J56" i="4"/>
  <c r="I56" i="4"/>
  <c r="K52" i="4"/>
  <c r="J52" i="4"/>
  <c r="I52" i="4"/>
  <c r="K50" i="4"/>
  <c r="J50" i="4"/>
  <c r="I50" i="4"/>
  <c r="J49" i="4"/>
  <c r="J42" i="4"/>
  <c r="I42" i="4"/>
  <c r="J40" i="4"/>
  <c r="I40" i="4"/>
  <c r="I46" i="4" s="1"/>
  <c r="K35" i="4"/>
  <c r="J35" i="4"/>
  <c r="K31" i="4"/>
  <c r="J31" i="4"/>
  <c r="I31" i="4"/>
  <c r="J29" i="4"/>
  <c r="I29" i="4"/>
  <c r="J27" i="4"/>
  <c r="I27" i="4"/>
  <c r="J26" i="4"/>
  <c r="K23" i="4"/>
  <c r="J23" i="4"/>
  <c r="I23" i="4"/>
  <c r="J21" i="4"/>
  <c r="I21" i="4"/>
  <c r="K19" i="4"/>
  <c r="J19" i="4"/>
  <c r="I19" i="4"/>
  <c r="K17" i="4"/>
  <c r="J17" i="4"/>
  <c r="K15" i="4"/>
  <c r="J15" i="4"/>
  <c r="I15" i="4"/>
  <c r="K80" i="4"/>
  <c r="L80" i="4" s="1"/>
  <c r="K53" i="3"/>
  <c r="J53" i="3"/>
  <c r="I53" i="3"/>
  <c r="J51" i="3"/>
  <c r="I51" i="3"/>
  <c r="K43" i="3"/>
  <c r="J43" i="3"/>
  <c r="I43" i="3"/>
  <c r="K39" i="3"/>
  <c r="J39" i="3"/>
  <c r="I39" i="3"/>
  <c r="K23" i="3"/>
  <c r="J23" i="3"/>
  <c r="I23" i="3"/>
  <c r="K21" i="3"/>
  <c r="J21" i="3"/>
  <c r="K19" i="3"/>
  <c r="J19" i="3"/>
  <c r="I19" i="3"/>
  <c r="K17" i="3"/>
  <c r="J17" i="3"/>
  <c r="I17" i="3"/>
  <c r="J14" i="3"/>
  <c r="K11" i="3"/>
  <c r="J11" i="3"/>
  <c r="I11" i="3"/>
  <c r="K7" i="3"/>
  <c r="J7" i="3"/>
  <c r="I7" i="3"/>
  <c r="I6" i="3"/>
  <c r="K5" i="3"/>
  <c r="G26" i="3"/>
  <c r="F26" i="3"/>
  <c r="G38" i="6"/>
  <c r="C38" i="6"/>
  <c r="F10" i="3"/>
  <c r="F15" i="3" s="1"/>
  <c r="F16" i="3" s="1"/>
  <c r="G8" i="12"/>
  <c r="C8" i="12"/>
  <c r="E10" i="3"/>
  <c r="E15" i="3" s="1"/>
  <c r="E16" i="3" s="1"/>
  <c r="E8" i="21"/>
  <c r="C152" i="6"/>
  <c r="F120" i="6"/>
  <c r="G105" i="6"/>
  <c r="C105" i="6"/>
  <c r="G110" i="6"/>
  <c r="C110" i="6"/>
  <c r="G115" i="6"/>
  <c r="C115" i="6"/>
  <c r="F125" i="6"/>
  <c r="E135" i="6"/>
  <c r="E140" i="6"/>
  <c r="D149" i="6"/>
  <c r="F8" i="25"/>
  <c r="F8" i="26"/>
  <c r="F8" i="27"/>
  <c r="E8" i="29"/>
  <c r="D8" i="31"/>
  <c r="D8" i="32"/>
  <c r="G8" i="33"/>
  <c r="C8" i="33"/>
  <c r="D38" i="6"/>
  <c r="D8" i="12"/>
  <c r="D105" i="6"/>
  <c r="D110" i="6"/>
  <c r="D115" i="6"/>
  <c r="G125" i="6"/>
  <c r="C125" i="6"/>
  <c r="F135" i="6"/>
  <c r="F140" i="6"/>
  <c r="E149" i="6"/>
  <c r="G8" i="25"/>
  <c r="C8" i="25"/>
  <c r="G8" i="26"/>
  <c r="C8" i="26"/>
  <c r="G8" i="27"/>
  <c r="C8" i="27"/>
  <c r="F8" i="29"/>
  <c r="E8" i="31"/>
  <c r="E8" i="32"/>
  <c r="D8" i="33"/>
  <c r="F8" i="12"/>
  <c r="F38" i="6"/>
  <c r="D130" i="6"/>
  <c r="F105" i="6"/>
  <c r="F110" i="6"/>
  <c r="F115" i="6"/>
  <c r="E125" i="6"/>
  <c r="D135" i="6"/>
  <c r="D140" i="6"/>
  <c r="G149" i="6"/>
  <c r="C149" i="6"/>
  <c r="D8" i="25"/>
  <c r="D8" i="26"/>
  <c r="D8" i="27"/>
  <c r="G8" i="29"/>
  <c r="C8" i="29"/>
  <c r="F8" i="31"/>
  <c r="F8" i="32"/>
  <c r="E8" i="33"/>
  <c r="C7" i="21"/>
  <c r="C8" i="21" s="1"/>
  <c r="C84" i="6"/>
  <c r="C85" i="6" s="1"/>
  <c r="F84" i="6"/>
  <c r="F85" i="6" s="1"/>
  <c r="E8" i="12"/>
  <c r="F7" i="13"/>
  <c r="F8" i="13" s="1"/>
  <c r="E5" i="44"/>
  <c r="E7" i="13"/>
  <c r="E8" i="13" s="1"/>
  <c r="C7" i="13"/>
  <c r="C42" i="6"/>
  <c r="C43" i="6" s="1"/>
  <c r="D7" i="21"/>
  <c r="D8" i="21" s="1"/>
  <c r="D84" i="6"/>
  <c r="D85" i="6" s="1"/>
  <c r="D15" i="3"/>
  <c r="D16" i="3" s="1"/>
  <c r="D5" i="44"/>
  <c r="D7" i="13"/>
  <c r="D8" i="13" s="1"/>
  <c r="D42" i="6"/>
  <c r="D43" i="6" s="1"/>
  <c r="E38" i="6"/>
  <c r="F42" i="6"/>
  <c r="F43" i="6" s="1"/>
  <c r="E84" i="6"/>
  <c r="E85" i="6" s="1"/>
  <c r="C90" i="6"/>
  <c r="C8" i="13"/>
  <c r="F8" i="21"/>
  <c r="C15" i="3"/>
  <c r="C16" i="3" s="1"/>
  <c r="D46" i="4"/>
  <c r="D54" i="4" s="1"/>
  <c r="D6" i="42" s="1"/>
  <c r="G7" i="21"/>
  <c r="G8" i="21" s="1"/>
  <c r="G84" i="6"/>
  <c r="G85" i="6" s="1"/>
  <c r="G15" i="3"/>
  <c r="G16" i="3" s="1"/>
  <c r="G7" i="13"/>
  <c r="G8" i="13" s="1"/>
  <c r="G42" i="6"/>
  <c r="G43" i="6" s="1"/>
  <c r="E42" i="6"/>
  <c r="E43" i="6" s="1"/>
  <c r="C5" i="44"/>
  <c r="C8" i="22"/>
  <c r="E105" i="6"/>
  <c r="E110" i="6"/>
  <c r="E115" i="6"/>
  <c r="D125" i="6"/>
  <c r="G135" i="6"/>
  <c r="C135" i="6"/>
  <c r="G140" i="6"/>
  <c r="C140" i="6"/>
  <c r="F149" i="6"/>
  <c r="E8" i="25"/>
  <c r="E8" i="26"/>
  <c r="E8" i="27"/>
  <c r="D8" i="29"/>
  <c r="G8" i="31"/>
  <c r="C8" i="31"/>
  <c r="G8" i="32"/>
  <c r="C8" i="32"/>
  <c r="F8" i="33"/>
  <c r="E35" i="47"/>
  <c r="E30" i="47"/>
  <c r="F35" i="47"/>
  <c r="F30" i="47"/>
  <c r="C35" i="47"/>
  <c r="C30" i="47"/>
  <c r="G35" i="47"/>
  <c r="G30" i="47"/>
  <c r="D30" i="47"/>
  <c r="D35" i="47"/>
  <c r="D10" i="32"/>
  <c r="E35" i="5"/>
  <c r="G35" i="5"/>
  <c r="F47" i="5"/>
  <c r="C74" i="6"/>
  <c r="D142" i="6"/>
  <c r="D143" i="6" s="1"/>
  <c r="E129" i="6"/>
  <c r="E130" i="6" s="1"/>
  <c r="E47" i="5"/>
  <c r="D47" i="5"/>
  <c r="E62" i="6"/>
  <c r="C119" i="6"/>
  <c r="C120" i="6" s="1"/>
  <c r="E14" i="33"/>
  <c r="E15" i="33" s="1"/>
  <c r="F52" i="6"/>
  <c r="E151" i="6"/>
  <c r="E152" i="6" s="1"/>
  <c r="E153" i="6" s="1"/>
  <c r="C155" i="6"/>
  <c r="C156" i="6" s="1"/>
  <c r="D7" i="15"/>
  <c r="G6" i="36"/>
  <c r="G142" i="6"/>
  <c r="G143" i="6" s="1"/>
  <c r="G14" i="33"/>
  <c r="G15" i="33" s="1"/>
  <c r="G7" i="30"/>
  <c r="G8" i="30" s="1"/>
  <c r="G7" i="18"/>
  <c r="G10" i="32"/>
  <c r="G11" i="32" s="1"/>
  <c r="G151" i="6"/>
  <c r="G7" i="28"/>
  <c r="G8" i="28" s="1"/>
  <c r="G155" i="6"/>
  <c r="G156" i="6" s="1"/>
  <c r="G129" i="6"/>
  <c r="G130" i="6" s="1"/>
  <c r="G68" i="6"/>
  <c r="G6" i="41"/>
  <c r="G10" i="33"/>
  <c r="G11" i="33" s="1"/>
  <c r="G8" i="19"/>
  <c r="C37" i="4"/>
  <c r="C5" i="34"/>
  <c r="C7" i="17"/>
  <c r="C6" i="9"/>
  <c r="C8" i="15"/>
  <c r="C53" i="6"/>
  <c r="C63" i="6"/>
  <c r="C16" i="6"/>
  <c r="C74" i="4"/>
  <c r="C71" i="4" s="1"/>
  <c r="C6" i="42"/>
  <c r="F35" i="5"/>
  <c r="G47" i="5"/>
  <c r="F44" i="4"/>
  <c r="E46" i="4"/>
  <c r="C58" i="6"/>
  <c r="G119" i="6"/>
  <c r="G120" i="6" s="1"/>
  <c r="C7" i="16"/>
  <c r="G6" i="40"/>
  <c r="G7" i="15"/>
  <c r="G6" i="17"/>
  <c r="G52" i="6"/>
  <c r="G62" i="6"/>
  <c r="G74" i="6"/>
  <c r="C6" i="40"/>
  <c r="C7" i="15"/>
  <c r="C6" i="17"/>
  <c r="D35" i="5"/>
  <c r="D62" i="6"/>
  <c r="D68" i="6"/>
  <c r="F74" i="6"/>
  <c r="D11" i="32"/>
  <c r="D12" i="32" s="1"/>
  <c r="C6" i="18"/>
  <c r="C6" i="43"/>
  <c r="C6" i="19"/>
  <c r="F14" i="33"/>
  <c r="F15" i="33" s="1"/>
  <c r="F7" i="30"/>
  <c r="F8" i="30" s="1"/>
  <c r="F7" i="18"/>
  <c r="F151" i="6"/>
  <c r="F152" i="6" s="1"/>
  <c r="F10" i="32"/>
  <c r="F6" i="41"/>
  <c r="F10" i="33"/>
  <c r="F11" i="33" s="1"/>
  <c r="F7" i="28"/>
  <c r="F8" i="28" s="1"/>
  <c r="F8" i="19"/>
  <c r="F155" i="6"/>
  <c r="F156" i="6" s="1"/>
  <c r="C6" i="36"/>
  <c r="C142" i="6"/>
  <c r="C143" i="6" s="1"/>
  <c r="C14" i="33"/>
  <c r="C15" i="33" s="1"/>
  <c r="C7" i="30"/>
  <c r="C8" i="30" s="1"/>
  <c r="C7" i="18"/>
  <c r="C10" i="32"/>
  <c r="C11" i="32" s="1"/>
  <c r="E6" i="40"/>
  <c r="E7" i="15"/>
  <c r="E10" i="32"/>
  <c r="E11" i="32" s="1"/>
  <c r="E6" i="41"/>
  <c r="E10" i="33"/>
  <c r="E11" i="33" s="1"/>
  <c r="E7" i="28"/>
  <c r="E8" i="28" s="1"/>
  <c r="E8" i="19"/>
  <c r="E6" i="36"/>
  <c r="E142" i="6"/>
  <c r="E143" i="6" s="1"/>
  <c r="C62" i="6"/>
  <c r="C68" i="6"/>
  <c r="E74" i="6"/>
  <c r="C72" i="6"/>
  <c r="E119" i="6"/>
  <c r="E120" i="6" s="1"/>
  <c r="C129" i="6"/>
  <c r="C130" i="6" s="1"/>
  <c r="G152" i="6"/>
  <c r="G153" i="6" s="1"/>
  <c r="E6" i="17"/>
  <c r="E7" i="18"/>
  <c r="C8" i="19"/>
  <c r="E7" i="30"/>
  <c r="E8" i="30" s="1"/>
  <c r="F11" i="32"/>
  <c r="F12" i="32" s="1"/>
  <c r="C10" i="33"/>
  <c r="C11" i="33" s="1"/>
  <c r="F6" i="36"/>
  <c r="C6" i="41"/>
  <c r="D6" i="40"/>
  <c r="D6" i="17"/>
  <c r="D6" i="41"/>
  <c r="D10" i="33"/>
  <c r="D11" i="33" s="1"/>
  <c r="D7" i="28"/>
  <c r="D8" i="28" s="1"/>
  <c r="D8" i="19"/>
  <c r="D155" i="6"/>
  <c r="D156" i="6" s="1"/>
  <c r="D6" i="36"/>
  <c r="D14" i="33"/>
  <c r="D15" i="33" s="1"/>
  <c r="D7" i="30"/>
  <c r="D8" i="30" s="1"/>
  <c r="D7" i="18"/>
  <c r="D151" i="6"/>
  <c r="D152" i="6" s="1"/>
  <c r="C52" i="6"/>
  <c r="F62" i="6"/>
  <c r="F68" i="6"/>
  <c r="C67" i="6"/>
  <c r="D74" i="6"/>
  <c r="D119" i="6"/>
  <c r="D120" i="6" s="1"/>
  <c r="F129" i="6"/>
  <c r="F130" i="6" s="1"/>
  <c r="F142" i="6"/>
  <c r="F143" i="6" s="1"/>
  <c r="E155" i="6"/>
  <c r="E156" i="6" s="1"/>
  <c r="F7" i="15"/>
  <c r="C7" i="28"/>
  <c r="C8" i="28" s="1"/>
  <c r="F6" i="40"/>
  <c r="E25" i="46"/>
  <c r="K41" i="3" l="1"/>
  <c r="K38" i="3"/>
  <c r="J42" i="3"/>
  <c r="J45" i="3"/>
  <c r="L45" i="3"/>
  <c r="L42" i="3"/>
  <c r="I46" i="3"/>
  <c r="I5" i="5"/>
  <c r="I27" i="5" s="1"/>
  <c r="I48" i="5" s="1"/>
  <c r="I49" i="3"/>
  <c r="H38" i="3"/>
  <c r="H41" i="3"/>
  <c r="I47" i="4"/>
  <c r="I54" i="4"/>
  <c r="I55" i="4" s="1"/>
  <c r="J46" i="4"/>
  <c r="I33" i="4"/>
  <c r="I34" i="4" s="1"/>
  <c r="K68" i="4"/>
  <c r="L69" i="4"/>
  <c r="L68" i="4" s="1"/>
  <c r="J66" i="4"/>
  <c r="K67" i="4"/>
  <c r="K49" i="4"/>
  <c r="J48" i="4"/>
  <c r="J25" i="4"/>
  <c r="J33" i="4" s="1"/>
  <c r="K26" i="4"/>
  <c r="J13" i="3"/>
  <c r="K14" i="3"/>
  <c r="L5" i="3"/>
  <c r="L6" i="3" s="1"/>
  <c r="K6" i="3"/>
  <c r="F153" i="6"/>
  <c r="C12" i="32"/>
  <c r="D153" i="6"/>
  <c r="F144" i="6"/>
  <c r="C12" i="33"/>
  <c r="G144" i="6"/>
  <c r="D144" i="6"/>
  <c r="C153" i="6"/>
  <c r="C157" i="6" s="1"/>
  <c r="G12" i="33"/>
  <c r="E144" i="6"/>
  <c r="E12" i="33"/>
  <c r="E16" i="33" s="1"/>
  <c r="E12" i="32"/>
  <c r="F12" i="33"/>
  <c r="D12" i="33"/>
  <c r="G12" i="32"/>
  <c r="C144" i="6"/>
  <c r="G6" i="44"/>
  <c r="G6" i="39"/>
  <c r="G27" i="3"/>
  <c r="E6" i="44"/>
  <c r="E6" i="39"/>
  <c r="E27" i="3"/>
  <c r="C6" i="44"/>
  <c r="C6" i="39"/>
  <c r="C27" i="3"/>
  <c r="D6" i="44"/>
  <c r="D6" i="39"/>
  <c r="D27" i="3"/>
  <c r="F6" i="39"/>
  <c r="F6" i="44"/>
  <c r="F27" i="3"/>
  <c r="C75" i="6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E54" i="4"/>
  <c r="C47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12" i="4"/>
  <c r="C16" i="4"/>
  <c r="C10" i="4"/>
  <c r="C14" i="4"/>
  <c r="C6" i="4"/>
  <c r="C8" i="4"/>
  <c r="C64" i="6"/>
  <c r="E157" i="6"/>
  <c r="C69" i="6"/>
  <c r="C8" i="17"/>
  <c r="G16" i="33"/>
  <c r="D157" i="6"/>
  <c r="F157" i="6"/>
  <c r="C8" i="18"/>
  <c r="G44" i="4"/>
  <c r="F46" i="4"/>
  <c r="C16" i="33"/>
  <c r="F16" i="33"/>
  <c r="G157" i="6"/>
  <c r="D16" i="33"/>
  <c r="C9" i="19"/>
  <c r="C5" i="43"/>
  <c r="C5" i="42"/>
  <c r="C7" i="24"/>
  <c r="C8" i="24" s="1"/>
  <c r="C7" i="14"/>
  <c r="C99" i="6"/>
  <c r="C100" i="6" s="1"/>
  <c r="C47" i="6"/>
  <c r="C5" i="41"/>
  <c r="C6" i="34"/>
  <c r="C5" i="40"/>
  <c r="E26" i="46"/>
  <c r="E30" i="46" s="1"/>
  <c r="F25" i="46"/>
  <c r="J49" i="3" l="1"/>
  <c r="J46" i="3"/>
  <c r="J5" i="5"/>
  <c r="J27" i="5" s="1"/>
  <c r="J48" i="5" s="1"/>
  <c r="I55" i="3"/>
  <c r="I56" i="3" s="1"/>
  <c r="I50" i="3"/>
  <c r="L5" i="5"/>
  <c r="L27" i="5" s="1"/>
  <c r="L48" i="5" s="1"/>
  <c r="L49" i="3"/>
  <c r="L46" i="3"/>
  <c r="K45" i="3"/>
  <c r="K42" i="3"/>
  <c r="H45" i="3"/>
  <c r="H42" i="3"/>
  <c r="J34" i="4"/>
  <c r="J37" i="4"/>
  <c r="J38" i="4" s="1"/>
  <c r="J47" i="4"/>
  <c r="J54" i="4"/>
  <c r="J55" i="4" s="1"/>
  <c r="I37" i="4"/>
  <c r="I38" i="4" s="1"/>
  <c r="L67" i="4"/>
  <c r="L66" i="4" s="1"/>
  <c r="K66" i="4"/>
  <c r="L49" i="4"/>
  <c r="L48" i="4" s="1"/>
  <c r="L54" i="4" s="1"/>
  <c r="L55" i="4" s="1"/>
  <c r="K48" i="4"/>
  <c r="K54" i="4" s="1"/>
  <c r="K55" i="4" s="1"/>
  <c r="L26" i="4"/>
  <c r="L25" i="4" s="1"/>
  <c r="L33" i="4" s="1"/>
  <c r="K25" i="4"/>
  <c r="K33" i="4" s="1"/>
  <c r="L14" i="3"/>
  <c r="L13" i="3" s="1"/>
  <c r="K13" i="3"/>
  <c r="F29" i="3"/>
  <c r="F30" i="3" s="1"/>
  <c r="F28" i="3"/>
  <c r="G29" i="3"/>
  <c r="G30" i="3" s="1"/>
  <c r="G28" i="3"/>
  <c r="E29" i="3"/>
  <c r="E30" i="3" s="1"/>
  <c r="E28" i="3"/>
  <c r="D29" i="3"/>
  <c r="D30" i="3" s="1"/>
  <c r="D28" i="3"/>
  <c r="C29" i="3"/>
  <c r="C30" i="3" s="1"/>
  <c r="C28" i="3"/>
  <c r="G5" i="35"/>
  <c r="G33" i="3"/>
  <c r="G34" i="3" s="1"/>
  <c r="F5" i="35"/>
  <c r="E5" i="35"/>
  <c r="E33" i="3"/>
  <c r="E34" i="3" s="1"/>
  <c r="C5" i="35"/>
  <c r="E6" i="42"/>
  <c r="F54" i="4"/>
  <c r="G46" i="4"/>
  <c r="F26" i="46"/>
  <c r="F30" i="46" s="1"/>
  <c r="G25" i="46"/>
  <c r="G26" i="46" s="1"/>
  <c r="G30" i="46" s="1"/>
  <c r="L55" i="3" l="1"/>
  <c r="L56" i="3" s="1"/>
  <c r="L50" i="3"/>
  <c r="K46" i="3"/>
  <c r="K5" i="5"/>
  <c r="K27" i="5" s="1"/>
  <c r="K48" i="5" s="1"/>
  <c r="K49" i="3"/>
  <c r="J50" i="3"/>
  <c r="J55" i="3"/>
  <c r="J56" i="3" s="1"/>
  <c r="H5" i="5"/>
  <c r="H27" i="5" s="1"/>
  <c r="H48" i="5" s="1"/>
  <c r="H70" i="4" s="1"/>
  <c r="H49" i="3"/>
  <c r="H46" i="3"/>
  <c r="K37" i="4"/>
  <c r="K38" i="4" s="1"/>
  <c r="K34" i="4"/>
  <c r="L34" i="4"/>
  <c r="L37" i="4"/>
  <c r="L38" i="4" s="1"/>
  <c r="F33" i="3"/>
  <c r="F34" i="3" s="1"/>
  <c r="D33" i="3"/>
  <c r="D34" i="3" s="1"/>
  <c r="D5" i="35"/>
  <c r="C33" i="3"/>
  <c r="C34" i="3" s="1"/>
  <c r="D6" i="35"/>
  <c r="D6" i="15"/>
  <c r="D9" i="15" s="1"/>
  <c r="D6" i="20"/>
  <c r="D8" i="20" s="1"/>
  <c r="D78" i="6"/>
  <c r="D80" i="6" s="1"/>
  <c r="D37" i="3"/>
  <c r="E6" i="35"/>
  <c r="E6" i="15"/>
  <c r="E9" i="15" s="1"/>
  <c r="E51" i="6"/>
  <c r="E54" i="6" s="1"/>
  <c r="E6" i="20"/>
  <c r="E8" i="20" s="1"/>
  <c r="E78" i="6"/>
  <c r="E80" i="6" s="1"/>
  <c r="E37" i="3"/>
  <c r="G6" i="20"/>
  <c r="G8" i="20" s="1"/>
  <c r="G78" i="6"/>
  <c r="G80" i="6" s="1"/>
  <c r="G6" i="15"/>
  <c r="G9" i="15" s="1"/>
  <c r="G37" i="3"/>
  <c r="G51" i="6"/>
  <c r="G54" i="6" s="1"/>
  <c r="G6" i="35"/>
  <c r="C6" i="35"/>
  <c r="F6" i="35"/>
  <c r="F6" i="15"/>
  <c r="F9" i="15" s="1"/>
  <c r="F6" i="20"/>
  <c r="F8" i="20" s="1"/>
  <c r="F78" i="6"/>
  <c r="F80" i="6" s="1"/>
  <c r="F37" i="3"/>
  <c r="F51" i="6"/>
  <c r="F54" i="6" s="1"/>
  <c r="F6" i="42"/>
  <c r="G54" i="4"/>
  <c r="K50" i="3" l="1"/>
  <c r="K55" i="3"/>
  <c r="K56" i="3" s="1"/>
  <c r="H55" i="3"/>
  <c r="H56" i="3" s="1"/>
  <c r="H50" i="3"/>
  <c r="I70" i="4"/>
  <c r="H71" i="4"/>
  <c r="H72" i="4"/>
  <c r="H73" i="4" s="1"/>
  <c r="C6" i="15"/>
  <c r="C9" i="15" s="1"/>
  <c r="C78" i="6"/>
  <c r="C80" i="6" s="1"/>
  <c r="C37" i="3"/>
  <c r="C6" i="20"/>
  <c r="C8" i="20" s="1"/>
  <c r="C51" i="6"/>
  <c r="C54" i="6" s="1"/>
  <c r="D51" i="6"/>
  <c r="D54" i="6" s="1"/>
  <c r="G41" i="3"/>
  <c r="G38" i="3"/>
  <c r="E41" i="3"/>
  <c r="E38" i="3"/>
  <c r="C41" i="3"/>
  <c r="C38" i="3"/>
  <c r="F41" i="3"/>
  <c r="F38" i="3"/>
  <c r="D41" i="3"/>
  <c r="D38" i="3"/>
  <c r="G6" i="42"/>
  <c r="J70" i="4" l="1"/>
  <c r="I71" i="4"/>
  <c r="I72" i="4"/>
  <c r="I73" i="4" s="1"/>
  <c r="F45" i="3"/>
  <c r="F46" i="3" s="1"/>
  <c r="F42" i="3"/>
  <c r="E45" i="3"/>
  <c r="E46" i="3" s="1"/>
  <c r="E42" i="3"/>
  <c r="D45" i="3"/>
  <c r="D46" i="3" s="1"/>
  <c r="D42" i="3"/>
  <c r="C45" i="3"/>
  <c r="C42" i="3"/>
  <c r="G45" i="3"/>
  <c r="G46" i="3" s="1"/>
  <c r="G42" i="3"/>
  <c r="K70" i="4" l="1"/>
  <c r="J71" i="4"/>
  <c r="J72" i="4"/>
  <c r="J73" i="4" s="1"/>
  <c r="C49" i="3"/>
  <c r="C46" i="3"/>
  <c r="C24" i="6"/>
  <c r="C6" i="14"/>
  <c r="C8" i="14" s="1"/>
  <c r="C46" i="6"/>
  <c r="C48" i="6" s="1"/>
  <c r="C6" i="7"/>
  <c r="C9" i="10"/>
  <c r="C61" i="3"/>
  <c r="C55" i="3"/>
  <c r="C5" i="45" s="1"/>
  <c r="C6" i="6"/>
  <c r="C57" i="6"/>
  <c r="C59" i="6" s="1"/>
  <c r="C6" i="45"/>
  <c r="E49" i="3"/>
  <c r="E50" i="3" s="1"/>
  <c r="E5" i="5"/>
  <c r="E27" i="5" s="1"/>
  <c r="E48" i="5" s="1"/>
  <c r="G5" i="5"/>
  <c r="G27" i="5" s="1"/>
  <c r="G48" i="5" s="1"/>
  <c r="G49" i="3"/>
  <c r="G50" i="3" s="1"/>
  <c r="D5" i="5"/>
  <c r="D27" i="5" s="1"/>
  <c r="D48" i="5" s="1"/>
  <c r="D49" i="3"/>
  <c r="D50" i="3" s="1"/>
  <c r="F5" i="5"/>
  <c r="F27" i="5" s="1"/>
  <c r="F48" i="5" s="1"/>
  <c r="F49" i="3"/>
  <c r="F50" i="3" s="1"/>
  <c r="L70" i="4" l="1"/>
  <c r="K71" i="4"/>
  <c r="K72" i="4"/>
  <c r="K73" i="4" s="1"/>
  <c r="C6" i="16"/>
  <c r="C8" i="16" s="1"/>
  <c r="C50" i="3"/>
  <c r="D6" i="45"/>
  <c r="D9" i="10"/>
  <c r="D61" i="3"/>
  <c r="D6" i="14"/>
  <c r="D57" i="6"/>
  <c r="D55" i="3"/>
  <c r="D46" i="6"/>
  <c r="D6" i="6"/>
  <c r="D6" i="7"/>
  <c r="D24" i="6"/>
  <c r="D6" i="16"/>
  <c r="D70" i="4"/>
  <c r="D38" i="46"/>
  <c r="D39" i="46" s="1"/>
  <c r="D40" i="46" s="1"/>
  <c r="E46" i="6"/>
  <c r="E57" i="6"/>
  <c r="E6" i="7"/>
  <c r="E6" i="16"/>
  <c r="E61" i="3"/>
  <c r="E6" i="6"/>
  <c r="E6" i="45"/>
  <c r="E9" i="10"/>
  <c r="E55" i="3"/>
  <c r="E5" i="45" s="1"/>
  <c r="E6" i="14"/>
  <c r="E24" i="6"/>
  <c r="F6" i="7"/>
  <c r="F46" i="6"/>
  <c r="F57" i="6"/>
  <c r="F9" i="10"/>
  <c r="F6" i="45"/>
  <c r="F24" i="6"/>
  <c r="F61" i="3"/>
  <c r="F6" i="6"/>
  <c r="F6" i="16"/>
  <c r="F6" i="14"/>
  <c r="F55" i="3"/>
  <c r="F5" i="45" s="1"/>
  <c r="G24" i="6"/>
  <c r="G6" i="14"/>
  <c r="G6" i="6"/>
  <c r="G6" i="16"/>
  <c r="G6" i="7"/>
  <c r="G46" i="6"/>
  <c r="G6" i="45"/>
  <c r="G55" i="3"/>
  <c r="G5" i="45" s="1"/>
  <c r="G9" i="10"/>
  <c r="G61" i="3"/>
  <c r="G57" i="6"/>
  <c r="C7" i="9"/>
  <c r="C8" i="9" s="1"/>
  <c r="C31" i="6"/>
  <c r="C32" i="6" s="1"/>
  <c r="C33" i="6" s="1"/>
  <c r="C22" i="6"/>
  <c r="C23" i="6" s="1"/>
  <c r="C25" i="6"/>
  <c r="C26" i="6" s="1"/>
  <c r="C7" i="6"/>
  <c r="C8" i="6" s="1"/>
  <c r="C12" i="6"/>
  <c r="C13" i="6" s="1"/>
  <c r="C7" i="10"/>
  <c r="C8" i="10" s="1"/>
  <c r="C7" i="11"/>
  <c r="C8" i="11" s="1"/>
  <c r="C9" i="11" s="1"/>
  <c r="C10" i="10"/>
  <c r="C17" i="6"/>
  <c r="C18" i="6" s="1"/>
  <c r="C7" i="7"/>
  <c r="C8" i="7" s="1"/>
  <c r="C7" i="8"/>
  <c r="C8" i="8" s="1"/>
  <c r="C11" i="10"/>
  <c r="L71" i="4" l="1"/>
  <c r="L72" i="4"/>
  <c r="L73" i="4" s="1"/>
  <c r="E38" i="46"/>
  <c r="D93" i="6"/>
  <c r="D95" i="6" s="1"/>
  <c r="D6" i="22"/>
  <c r="D8" i="22" s="1"/>
  <c r="D88" i="6"/>
  <c r="D90" i="6" s="1"/>
  <c r="D6" i="23"/>
  <c r="D8" i="23" s="1"/>
  <c r="D72" i="4"/>
  <c r="C12" i="10"/>
  <c r="C27" i="6"/>
  <c r="G7" i="9"/>
  <c r="G7" i="11"/>
  <c r="G8" i="11" s="1"/>
  <c r="G9" i="11" s="1"/>
  <c r="G7" i="7"/>
  <c r="G8" i="7" s="1"/>
  <c r="G10" i="10"/>
  <c r="G11" i="10" s="1"/>
  <c r="G7" i="6"/>
  <c r="G25" i="6"/>
  <c r="G26" i="6" s="1"/>
  <c r="G17" i="6"/>
  <c r="G22" i="6"/>
  <c r="G23" i="6" s="1"/>
  <c r="G7" i="10"/>
  <c r="G8" i="10" s="1"/>
  <c r="G31" i="6"/>
  <c r="G32" i="6" s="1"/>
  <c r="G33" i="6" s="1"/>
  <c r="G12" i="6"/>
  <c r="G13" i="6" s="1"/>
  <c r="G7" i="8"/>
  <c r="G8" i="8" s="1"/>
  <c r="F38" i="46"/>
  <c r="E39" i="46"/>
  <c r="E40" i="46" s="1"/>
  <c r="D7" i="7"/>
  <c r="D8" i="7" s="1"/>
  <c r="D7" i="10"/>
  <c r="D8" i="10" s="1"/>
  <c r="D17" i="6"/>
  <c r="D7" i="6"/>
  <c r="D8" i="6" s="1"/>
  <c r="D22" i="6"/>
  <c r="D23" i="6" s="1"/>
  <c r="D7" i="11"/>
  <c r="D8" i="11" s="1"/>
  <c r="D9" i="11" s="1"/>
  <c r="D25" i="6"/>
  <c r="D26" i="6" s="1"/>
  <c r="D31" i="6"/>
  <c r="D32" i="6" s="1"/>
  <c r="D33" i="6" s="1"/>
  <c r="D7" i="8"/>
  <c r="D8" i="8" s="1"/>
  <c r="D12" i="6"/>
  <c r="D13" i="6" s="1"/>
  <c r="D10" i="10"/>
  <c r="D11" i="10" s="1"/>
  <c r="D7" i="9"/>
  <c r="G8" i="6"/>
  <c r="E7" i="7"/>
  <c r="E8" i="7" s="1"/>
  <c r="E25" i="6"/>
  <c r="E26" i="6" s="1"/>
  <c r="E7" i="9"/>
  <c r="E22" i="6"/>
  <c r="E23" i="6" s="1"/>
  <c r="E27" i="6" s="1"/>
  <c r="E12" i="6"/>
  <c r="E13" i="6" s="1"/>
  <c r="E7" i="10"/>
  <c r="E8" i="10" s="1"/>
  <c r="E31" i="6"/>
  <c r="E32" i="6" s="1"/>
  <c r="E33" i="6" s="1"/>
  <c r="E17" i="6"/>
  <c r="E7" i="8"/>
  <c r="E8" i="8" s="1"/>
  <c r="E10" i="10"/>
  <c r="E11" i="10" s="1"/>
  <c r="E7" i="6"/>
  <c r="E8" i="6" s="1"/>
  <c r="E7" i="11"/>
  <c r="E8" i="11" s="1"/>
  <c r="E9" i="11" s="1"/>
  <c r="E70" i="4"/>
  <c r="D11" i="4"/>
  <c r="D5" i="45"/>
  <c r="D8" i="46"/>
  <c r="D9" i="46" s="1"/>
  <c r="D21" i="46" s="1"/>
  <c r="F7" i="10"/>
  <c r="F8" i="10" s="1"/>
  <c r="F17" i="6"/>
  <c r="F12" i="6"/>
  <c r="F13" i="6" s="1"/>
  <c r="F31" i="6"/>
  <c r="F32" i="6" s="1"/>
  <c r="F33" i="6" s="1"/>
  <c r="F22" i="6"/>
  <c r="F23" i="6" s="1"/>
  <c r="F10" i="10"/>
  <c r="F11" i="10" s="1"/>
  <c r="F7" i="8"/>
  <c r="F8" i="8" s="1"/>
  <c r="F7" i="6"/>
  <c r="F8" i="6" s="1"/>
  <c r="F7" i="9"/>
  <c r="F7" i="7"/>
  <c r="F8" i="7" s="1"/>
  <c r="F7" i="11"/>
  <c r="F8" i="11" s="1"/>
  <c r="F9" i="11" s="1"/>
  <c r="F25" i="6"/>
  <c r="F26" i="6" s="1"/>
  <c r="E8" i="46" l="1"/>
  <c r="F8" i="46" s="1"/>
  <c r="F27" i="6"/>
  <c r="F12" i="10"/>
  <c r="D12" i="10"/>
  <c r="G27" i="6"/>
  <c r="D13" i="4"/>
  <c r="D27" i="6"/>
  <c r="F70" i="4"/>
  <c r="E72" i="4"/>
  <c r="E6" i="22"/>
  <c r="E8" i="22" s="1"/>
  <c r="E88" i="6"/>
  <c r="E90" i="6" s="1"/>
  <c r="E93" i="6"/>
  <c r="E95" i="6" s="1"/>
  <c r="E6" i="23"/>
  <c r="E8" i="23" s="1"/>
  <c r="E11" i="4"/>
  <c r="E12" i="10"/>
  <c r="G38" i="46"/>
  <c r="G39" i="46" s="1"/>
  <c r="G40" i="46" s="1"/>
  <c r="F39" i="46"/>
  <c r="F40" i="46" s="1"/>
  <c r="G12" i="10"/>
  <c r="D6" i="19"/>
  <c r="D9" i="19" s="1"/>
  <c r="D6" i="18"/>
  <c r="D8" i="18" s="1"/>
  <c r="D74" i="4"/>
  <c r="D72" i="6"/>
  <c r="D75" i="6" s="1"/>
  <c r="D5" i="36"/>
  <c r="D6" i="43"/>
  <c r="D67" i="6"/>
  <c r="D69" i="6" s="1"/>
  <c r="F9" i="46"/>
  <c r="F21" i="46" s="1"/>
  <c r="G8" i="46"/>
  <c r="G9" i="46" s="1"/>
  <c r="G21" i="46" s="1"/>
  <c r="E9" i="46" l="1"/>
  <c r="E21" i="46" s="1"/>
  <c r="F11" i="4"/>
  <c r="E13" i="4"/>
  <c r="D16" i="6"/>
  <c r="D18" i="6" s="1"/>
  <c r="D6" i="9"/>
  <c r="D8" i="9" s="1"/>
  <c r="D58" i="6"/>
  <c r="D59" i="6" s="1"/>
  <c r="D37" i="4"/>
  <c r="D63" i="6"/>
  <c r="D64" i="6" s="1"/>
  <c r="D53" i="6"/>
  <c r="D5" i="34"/>
  <c r="D7" i="16"/>
  <c r="D8" i="16" s="1"/>
  <c r="D14" i="4"/>
  <c r="D8" i="15"/>
  <c r="D7" i="17"/>
  <c r="D8" i="17" s="1"/>
  <c r="D73" i="4"/>
  <c r="D71" i="4"/>
  <c r="D49" i="4"/>
  <c r="D16" i="4"/>
  <c r="D69" i="4"/>
  <c r="D34" i="4"/>
  <c r="D7" i="24"/>
  <c r="D8" i="24" s="1"/>
  <c r="D45" i="4"/>
  <c r="D7" i="14"/>
  <c r="D8" i="14" s="1"/>
  <c r="D47" i="4"/>
  <c r="D5" i="43"/>
  <c r="D75" i="4"/>
  <c r="D41" i="4"/>
  <c r="D8" i="4"/>
  <c r="D61" i="4"/>
  <c r="D26" i="4"/>
  <c r="D63" i="4"/>
  <c r="D36" i="4"/>
  <c r="D47" i="6"/>
  <c r="D48" i="6" s="1"/>
  <c r="D30" i="4"/>
  <c r="D67" i="4"/>
  <c r="D32" i="4"/>
  <c r="D5" i="42"/>
  <c r="D51" i="4"/>
  <c r="D18" i="4"/>
  <c r="D55" i="4"/>
  <c r="D28" i="4"/>
  <c r="D65" i="4"/>
  <c r="D22" i="4"/>
  <c r="D59" i="4"/>
  <c r="D24" i="4"/>
  <c r="D99" i="6"/>
  <c r="D100" i="6" s="1"/>
  <c r="D43" i="4"/>
  <c r="D10" i="4"/>
  <c r="D53" i="4"/>
  <c r="D20" i="4"/>
  <c r="D57" i="4"/>
  <c r="D6" i="4"/>
  <c r="E72" i="6"/>
  <c r="E75" i="6" s="1"/>
  <c r="E6" i="19"/>
  <c r="E9" i="19" s="1"/>
  <c r="E74" i="4"/>
  <c r="E6" i="18"/>
  <c r="E8" i="18" s="1"/>
  <c r="E5" i="36"/>
  <c r="E6" i="43"/>
  <c r="E67" i="6"/>
  <c r="E69" i="6" s="1"/>
  <c r="D12" i="4"/>
  <c r="F93" i="6"/>
  <c r="F95" i="6" s="1"/>
  <c r="F6" i="22"/>
  <c r="F8" i="22" s="1"/>
  <c r="F6" i="23"/>
  <c r="F8" i="23" s="1"/>
  <c r="G70" i="4"/>
  <c r="F72" i="4"/>
  <c r="F88" i="6"/>
  <c r="F90" i="6" s="1"/>
  <c r="G93" i="6" l="1"/>
  <c r="G95" i="6" s="1"/>
  <c r="G6" i="22"/>
  <c r="G8" i="22" s="1"/>
  <c r="G72" i="4"/>
  <c r="G88" i="6"/>
  <c r="G90" i="6" s="1"/>
  <c r="G6" i="23"/>
  <c r="G8" i="23" s="1"/>
  <c r="E73" i="4"/>
  <c r="E71" i="4"/>
  <c r="E53" i="4"/>
  <c r="E20" i="4"/>
  <c r="E63" i="4"/>
  <c r="E22" i="4"/>
  <c r="E49" i="4"/>
  <c r="E16" i="4"/>
  <c r="E67" i="4"/>
  <c r="E34" i="4"/>
  <c r="E99" i="6"/>
  <c r="E100" i="6" s="1"/>
  <c r="E75" i="4"/>
  <c r="E45" i="4"/>
  <c r="E5" i="43"/>
  <c r="E55" i="4"/>
  <c r="E6" i="4"/>
  <c r="E41" i="4"/>
  <c r="E8" i="4"/>
  <c r="E59" i="4"/>
  <c r="E26" i="4"/>
  <c r="E69" i="4"/>
  <c r="E36" i="4"/>
  <c r="E47" i="6"/>
  <c r="E48" i="6" s="1"/>
  <c r="E47" i="4"/>
  <c r="E65" i="4"/>
  <c r="E32" i="4"/>
  <c r="E5" i="42"/>
  <c r="E51" i="4"/>
  <c r="E18" i="4"/>
  <c r="E61" i="4"/>
  <c r="E28" i="4"/>
  <c r="E7" i="14"/>
  <c r="E8" i="14" s="1"/>
  <c r="E30" i="4"/>
  <c r="E57" i="4"/>
  <c r="E24" i="4"/>
  <c r="E10" i="4"/>
  <c r="E43" i="4"/>
  <c r="E7" i="24"/>
  <c r="E8" i="24" s="1"/>
  <c r="D5" i="40"/>
  <c r="D5" i="41"/>
  <c r="D38" i="4"/>
  <c r="D6" i="34"/>
  <c r="E12" i="4"/>
  <c r="E63" i="6"/>
  <c r="E64" i="6" s="1"/>
  <c r="E14" i="4"/>
  <c r="E37" i="4"/>
  <c r="E5" i="34"/>
  <c r="E8" i="15"/>
  <c r="E58" i="6"/>
  <c r="E59" i="6" s="1"/>
  <c r="E53" i="6"/>
  <c r="E16" i="6"/>
  <c r="E18" i="6" s="1"/>
  <c r="E7" i="17"/>
  <c r="E8" i="17" s="1"/>
  <c r="E7" i="16"/>
  <c r="E8" i="16" s="1"/>
  <c r="E6" i="9"/>
  <c r="E8" i="9" s="1"/>
  <c r="F74" i="4"/>
  <c r="F73" i="4" s="1"/>
  <c r="F5" i="36"/>
  <c r="F6" i="18"/>
  <c r="F8" i="18" s="1"/>
  <c r="F6" i="43"/>
  <c r="F6" i="19"/>
  <c r="F9" i="19" s="1"/>
  <c r="F72" i="6"/>
  <c r="F75" i="6" s="1"/>
  <c r="F67" i="6"/>
  <c r="F69" i="6" s="1"/>
  <c r="F13" i="4"/>
  <c r="G11" i="4"/>
  <c r="F12" i="4" l="1"/>
  <c r="E5" i="40"/>
  <c r="E38" i="4"/>
  <c r="E5" i="41"/>
  <c r="E6" i="34"/>
  <c r="G67" i="6"/>
  <c r="G69" i="6" s="1"/>
  <c r="G6" i="19"/>
  <c r="G9" i="19" s="1"/>
  <c r="G6" i="43"/>
  <c r="G74" i="4"/>
  <c r="G72" i="6"/>
  <c r="G75" i="6" s="1"/>
  <c r="G6" i="18"/>
  <c r="G8" i="18" s="1"/>
  <c r="G5" i="36"/>
  <c r="G73" i="4"/>
  <c r="G12" i="4"/>
  <c r="G13" i="4"/>
  <c r="F16" i="6"/>
  <c r="F18" i="6" s="1"/>
  <c r="F5" i="34"/>
  <c r="F53" i="6"/>
  <c r="F8" i="15"/>
  <c r="F37" i="4"/>
  <c r="F63" i="6"/>
  <c r="F64" i="6" s="1"/>
  <c r="F7" i="16"/>
  <c r="F8" i="16" s="1"/>
  <c r="F6" i="9"/>
  <c r="F8" i="9" s="1"/>
  <c r="F7" i="17"/>
  <c r="F8" i="17" s="1"/>
  <c r="F58" i="6"/>
  <c r="F59" i="6" s="1"/>
  <c r="F14" i="4"/>
  <c r="F61" i="4"/>
  <c r="F28" i="4"/>
  <c r="F55" i="4"/>
  <c r="F30" i="4"/>
  <c r="F57" i="4"/>
  <c r="F24" i="4"/>
  <c r="F5" i="42"/>
  <c r="F51" i="4"/>
  <c r="F53" i="4"/>
  <c r="F20" i="4"/>
  <c r="F22" i="4"/>
  <c r="F6" i="4"/>
  <c r="F49" i="4"/>
  <c r="F16" i="4"/>
  <c r="F7" i="14"/>
  <c r="F8" i="14" s="1"/>
  <c r="F43" i="4"/>
  <c r="F10" i="4"/>
  <c r="F75" i="4"/>
  <c r="F45" i="4"/>
  <c r="F7" i="24"/>
  <c r="F8" i="24" s="1"/>
  <c r="F63" i="4"/>
  <c r="F41" i="4"/>
  <c r="F8" i="4"/>
  <c r="F67" i="4"/>
  <c r="F34" i="4"/>
  <c r="F99" i="6"/>
  <c r="F100" i="6" s="1"/>
  <c r="F26" i="4"/>
  <c r="F18" i="4"/>
  <c r="F69" i="4"/>
  <c r="F36" i="4"/>
  <c r="F47" i="6"/>
  <c r="F48" i="6" s="1"/>
  <c r="F47" i="4"/>
  <c r="F65" i="4"/>
  <c r="F32" i="4"/>
  <c r="F5" i="43"/>
  <c r="F59" i="4"/>
  <c r="F71" i="4"/>
  <c r="G59" i="4" l="1"/>
  <c r="G26" i="4"/>
  <c r="G61" i="4"/>
  <c r="G28" i="4"/>
  <c r="G55" i="4"/>
  <c r="G6" i="4"/>
  <c r="G5" i="43"/>
  <c r="G49" i="4"/>
  <c r="G8" i="4"/>
  <c r="G51" i="4"/>
  <c r="G18" i="4"/>
  <c r="G53" i="4"/>
  <c r="G20" i="4"/>
  <c r="G47" i="4"/>
  <c r="G7" i="14"/>
  <c r="G8" i="14" s="1"/>
  <c r="G41" i="4"/>
  <c r="G10" i="4"/>
  <c r="G75" i="4"/>
  <c r="G43" i="4"/>
  <c r="G99" i="6"/>
  <c r="G100" i="6" s="1"/>
  <c r="G45" i="4"/>
  <c r="G47" i="6"/>
  <c r="G48" i="6" s="1"/>
  <c r="G30" i="4"/>
  <c r="G24" i="4"/>
  <c r="G65" i="4"/>
  <c r="G32" i="4"/>
  <c r="G5" i="42"/>
  <c r="G67" i="4"/>
  <c r="G34" i="4"/>
  <c r="G69" i="4"/>
  <c r="G36" i="4"/>
  <c r="G63" i="4"/>
  <c r="G22" i="4"/>
  <c r="G7" i="24"/>
  <c r="G8" i="24" s="1"/>
  <c r="G57" i="4"/>
  <c r="G16" i="4"/>
  <c r="G71" i="4"/>
  <c r="F6" i="34"/>
  <c r="F5" i="40"/>
  <c r="F38" i="4"/>
  <c r="F5" i="41"/>
  <c r="G16" i="6"/>
  <c r="G18" i="6" s="1"/>
  <c r="G53" i="6"/>
  <c r="G58" i="6"/>
  <c r="G59" i="6" s="1"/>
  <c r="G7" i="16"/>
  <c r="G8" i="16" s="1"/>
  <c r="G8" i="15"/>
  <c r="G6" i="9"/>
  <c r="G8" i="9" s="1"/>
  <c r="G5" i="34"/>
  <c r="G14" i="4"/>
  <c r="G37" i="4"/>
  <c r="G63" i="6"/>
  <c r="G64" i="6" s="1"/>
  <c r="G7" i="17"/>
  <c r="G8" i="17" s="1"/>
  <c r="G5" i="41" l="1"/>
  <c r="G38" i="4"/>
  <c r="G5" i="40"/>
  <c r="G6" i="34"/>
</calcChain>
</file>

<file path=xl/sharedStrings.xml><?xml version="1.0" encoding="utf-8"?>
<sst xmlns="http://schemas.openxmlformats.org/spreadsheetml/2006/main" count="720" uniqueCount="288">
  <si>
    <t>Balance Sheet of Bharat Petroleum Corporation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</si>
  <si>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</si>
  <si>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</si>
  <si>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</si>
  <si>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</si>
  <si>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</si>
  <si>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</si>
  <si>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</si>
  <si>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</si>
  <si>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</si>
  <si>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</si>
  <si>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</si>
  <si>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</si>
  <si>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</si>
  <si>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</si>
  <si>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</si>
  <si>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</si>
  <si>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</si>
  <si>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</si>
  <si>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</si>
  <si>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</si>
  <si>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</si>
  <si>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</si>
  <si>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</si>
  <si>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</si>
  <si>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</si>
  <si>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</si>
  <si>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</si>
  <si>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</si>
  <si>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</si>
  <si>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</si>
  <si>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</si>
  <si>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</si>
  <si>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</si>
  <si>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</si>
  <si>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</si>
  <si>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</si>
  <si>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</si>
  <si>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</si>
  <si>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</si>
  <si>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</si>
  <si>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</si>
  <si>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</si>
  <si>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</si>
  <si>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</si>
  <si>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</si>
  <si>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</si>
  <si>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</si>
  <si>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</si>
  <si>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</si>
  <si>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</si>
  <si>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</si>
  <si>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</si>
  <si>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</si>
  <si>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</si>
  <si>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Bharat Petroleum Corporation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</si>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</sst>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C-44B2-9C5D-A5B6B6A6CF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46</c:v>
                </c:pt>
                <c:pt idx="1">
                  <c:v>40</c:v>
                </c:pt>
                <c:pt idx="2">
                  <c:v>16</c:v>
                </c:pt>
                <c:pt idx="3">
                  <c:v>82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6C-44B2-9C5D-A5B6B6A6C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952"/>
        <c:axId val="553814584"/>
      </c:lineChart>
      <c:catAx>
        <c:axId val="5535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584"/>
        <c:crosses val="autoZero"/>
        <c:auto val="0"/>
        <c:lblAlgn val="ctr"/>
        <c:lblOffset val="100"/>
        <c:noMultiLvlLbl val="0"/>
      </c:catAx>
      <c:valAx>
        <c:axId val="553814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1.63</c:v>
                </c:pt>
                <c:pt idx="1">
                  <c:v>0.4</c:v>
                </c:pt>
                <c:pt idx="2">
                  <c:v>0.22</c:v>
                </c:pt>
                <c:pt idx="3">
                  <c:v>0.15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90-4889-B5B3-4A51B024D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9400"/>
        <c:axId val="104320384"/>
      </c:lineChart>
      <c:catAx>
        <c:axId val="10431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104319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744-4872-8857-A646FBB89C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0.28999999999999998</c:v>
                </c:pt>
                <c:pt idx="2">
                  <c:v>0.21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44-4872-8857-A646FBB8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6000"/>
        <c:axId val="622833376"/>
      </c:lineChart>
      <c:catAx>
        <c:axId val="6228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3376"/>
        <c:crosses val="autoZero"/>
        <c:auto val="0"/>
        <c:lblAlgn val="ctr"/>
        <c:lblOffset val="100"/>
        <c:noMultiLvlLbl val="0"/>
      </c:catAx>
      <c:valAx>
        <c:axId val="62283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EDB-4D91-9AD5-07E805A08EE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EDB-4D91-9AD5-07E805A08EE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DB-4D91-9AD5-07E805A08EE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EDB-4D91-9AD5-07E805A08E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1.05</c:v>
                </c:pt>
                <c:pt idx="1">
                  <c:v>4.08</c:v>
                </c:pt>
                <c:pt idx="2">
                  <c:v>6.36</c:v>
                </c:pt>
                <c:pt idx="3">
                  <c:v>6.98</c:v>
                </c:pt>
                <c:pt idx="4">
                  <c:v>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DB-4D91-9AD5-07E805A08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640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640"/>
        <c:crosses val="autoZero"/>
        <c:auto val="0"/>
        <c:lblAlgn val="ctr"/>
        <c:lblOffset val="100"/>
        <c:noMultiLvlLbl val="0"/>
      </c:catAx>
      <c:valAx>
        <c:axId val="44942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184-412F-A888-2B8DDAFC59B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184-412F-A888-2B8DDAFC59B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184-412F-A888-2B8DDAFC59B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184-412F-A888-2B8DDAFC59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0.48</c:v>
                </c:pt>
                <c:pt idx="1">
                  <c:v>3.58</c:v>
                </c:pt>
                <c:pt idx="2">
                  <c:v>5.92</c:v>
                </c:pt>
                <c:pt idx="3">
                  <c:v>6.55</c:v>
                </c:pt>
                <c:pt idx="4">
                  <c:v>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84-412F-A888-2B8DDAFC5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6656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656"/>
        <c:crosses val="autoZero"/>
        <c:auto val="0"/>
        <c:lblAlgn val="ctr"/>
        <c:lblOffset val="100"/>
        <c:noMultiLvlLbl val="0"/>
      </c:catAx>
      <c:valAx>
        <c:axId val="44942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B6-463D-AFAE-82B1351CB2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105.59</c:v>
                </c:pt>
                <c:pt idx="1">
                  <c:v>81.040000000000006</c:v>
                </c:pt>
                <c:pt idx="2">
                  <c:v>51.46</c:v>
                </c:pt>
                <c:pt idx="3">
                  <c:v>73.58</c:v>
                </c:pt>
                <c:pt idx="4">
                  <c:v>59.81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B6-463D-AFAE-82B1351CB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6568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568"/>
        <c:crosses val="autoZero"/>
        <c:auto val="0"/>
        <c:lblAlgn val="ctr"/>
        <c:lblOffset val="100"/>
        <c:noMultiLvlLbl val="0"/>
      </c:catAx>
      <c:valAx>
        <c:axId val="553646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646-4767-9184-4E4D197923A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646-4767-9184-4E4D197923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0.38</c:v>
                </c:pt>
                <c:pt idx="1">
                  <c:v>0.44</c:v>
                </c:pt>
                <c:pt idx="2">
                  <c:v>0.43</c:v>
                </c:pt>
                <c:pt idx="3">
                  <c:v>0.34</c:v>
                </c:pt>
                <c:pt idx="4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46-4767-9184-4E4D19792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2536"/>
        <c:axId val="558775160"/>
      </c:lineChart>
      <c:catAx>
        <c:axId val="55877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5160"/>
        <c:crosses val="autoZero"/>
        <c:auto val="0"/>
        <c:lblAlgn val="ctr"/>
        <c:lblOffset val="100"/>
        <c:noMultiLvlLbl val="0"/>
      </c:catAx>
      <c:valAx>
        <c:axId val="558775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772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CDB-4B67-B563-CD4F29503D2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DB-4B67-B563-CD4F29503D2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DB-4B67-B563-CD4F29503D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5.48</c:v>
                </c:pt>
                <c:pt idx="1">
                  <c:v>393.1</c:v>
                </c:pt>
                <c:pt idx="2">
                  <c:v>823.09</c:v>
                </c:pt>
                <c:pt idx="3">
                  <c:v>1814.5</c:v>
                </c:pt>
                <c:pt idx="4">
                  <c:v>1193.1199999999999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DB-4B67-B563-CD4F2950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095208"/>
        <c:axId val="274096520"/>
      </c:lineChart>
      <c:catAx>
        <c:axId val="27409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4095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60-49E1-8503-4BA5121D324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60-49E1-8503-4BA5121D324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760-49E1-8503-4BA5121D324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760-49E1-8503-4BA5121D32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1353.86</c:v>
                </c:pt>
                <c:pt idx="1">
                  <c:v>140754</c:v>
                </c:pt>
                <c:pt idx="2">
                  <c:v>274879.26</c:v>
                </c:pt>
                <c:pt idx="3">
                  <c:v>391623.26</c:v>
                </c:pt>
                <c:pt idx="4">
                  <c:v>534586.18000000005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60-49E1-8503-4BA5121D3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080"/>
        <c:axId val="449426328"/>
      </c:lineChart>
      <c:catAx>
        <c:axId val="44942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328"/>
        <c:crosses val="autoZero"/>
        <c:auto val="0"/>
        <c:lblAlgn val="ctr"/>
        <c:lblOffset val="100"/>
        <c:noMultiLvlLbl val="0"/>
      </c:catAx>
      <c:valAx>
        <c:axId val="449426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39-424B-907F-61DB14624D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2.31</c:v>
                </c:pt>
                <c:pt idx="1">
                  <c:v>1.27</c:v>
                </c:pt>
                <c:pt idx="2">
                  <c:v>0.8</c:v>
                </c:pt>
                <c:pt idx="3">
                  <c:v>0.57999999999999996</c:v>
                </c:pt>
                <c:pt idx="4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39-424B-907F-61DB14624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0424"/>
        <c:axId val="449431248"/>
      </c:lineChart>
      <c:catAx>
        <c:axId val="44942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248"/>
        <c:crosses val="autoZero"/>
        <c:auto val="0"/>
        <c:lblAlgn val="ctr"/>
        <c:lblOffset val="100"/>
        <c:noMultiLvlLbl val="0"/>
      </c:catAx>
      <c:valAx>
        <c:axId val="449431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0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5A2-49EC-802C-8F4FE72D75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12.36</c:v>
                </c:pt>
                <c:pt idx="1">
                  <c:v>14.81</c:v>
                </c:pt>
                <c:pt idx="2">
                  <c:v>14.77</c:v>
                </c:pt>
                <c:pt idx="3">
                  <c:v>11.35</c:v>
                </c:pt>
                <c:pt idx="4">
                  <c:v>10.26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A2-49EC-802C-8F4FE72D7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1808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808"/>
        <c:crosses val="autoZero"/>
        <c:auto val="0"/>
        <c:lblAlgn val="ctr"/>
        <c:lblOffset val="100"/>
        <c:noMultiLvlLbl val="0"/>
      </c:catAx>
      <c:valAx>
        <c:axId val="447841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2C-4913-A1BF-A1C1971894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1.1100000000000001</c:v>
                </c:pt>
                <c:pt idx="1">
                  <c:v>1.04</c:v>
                </c:pt>
                <c:pt idx="2">
                  <c:v>0.59</c:v>
                </c:pt>
                <c:pt idx="3">
                  <c:v>2.98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2C-4913-A1BF-A1C19718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816552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9CA-4F36-B1E7-B905F4CDCDF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9CA-4F36-B1E7-B905F4CDCD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53.48</c:v>
                </c:pt>
                <c:pt idx="1">
                  <c:v>49.18</c:v>
                </c:pt>
                <c:pt idx="2">
                  <c:v>61.1</c:v>
                </c:pt>
                <c:pt idx="3">
                  <c:v>38.700000000000003</c:v>
                </c:pt>
                <c:pt idx="4">
                  <c:v>44.56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CA-4F36-B1E7-B905F4CDC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3512"/>
        <c:axId val="551902528"/>
      </c:lineChart>
      <c:catAx>
        <c:axId val="55190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2528"/>
        <c:crosses val="autoZero"/>
        <c:auto val="0"/>
        <c:lblAlgn val="ctr"/>
        <c:lblOffset val="100"/>
        <c:noMultiLvlLbl val="0"/>
      </c:catAx>
      <c:valAx>
        <c:axId val="551902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3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A5E-410A-9894-00DED7D814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6.15</c:v>
                </c:pt>
                <c:pt idx="1">
                  <c:v>6.94</c:v>
                </c:pt>
                <c:pt idx="2">
                  <c:v>5.5</c:v>
                </c:pt>
                <c:pt idx="3">
                  <c:v>4.7699999999999996</c:v>
                </c:pt>
                <c:pt idx="4">
                  <c:v>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E-410A-9894-00DED7D81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1872"/>
        <c:axId val="447840824"/>
      </c:lineChart>
      <c:catAx>
        <c:axId val="55190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0824"/>
        <c:crosses val="autoZero"/>
        <c:auto val="0"/>
        <c:lblAlgn val="ctr"/>
        <c:lblOffset val="100"/>
        <c:noMultiLvlLbl val="0"/>
      </c:catAx>
      <c:valAx>
        <c:axId val="447840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1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08-4B54-8D40-DCC12C31085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08-4B54-8D40-DCC12C310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2.29</c:v>
                </c:pt>
                <c:pt idx="1">
                  <c:v>2.82</c:v>
                </c:pt>
                <c:pt idx="2">
                  <c:v>2.42</c:v>
                </c:pt>
                <c:pt idx="3">
                  <c:v>1.26</c:v>
                </c:pt>
                <c:pt idx="4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8-4B54-8D40-DCC12C310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144448"/>
        <c:axId val="553147072"/>
      </c:lineChart>
      <c:catAx>
        <c:axId val="55314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47072"/>
        <c:crosses val="autoZero"/>
        <c:auto val="0"/>
        <c:lblAlgn val="ctr"/>
        <c:lblOffset val="100"/>
        <c:noMultiLvlLbl val="0"/>
      </c:catAx>
      <c:valAx>
        <c:axId val="553147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144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D18-481A-998D-A7D5868B6BE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D18-481A-998D-A7D5868B6BE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D18-481A-998D-A7D5868B6B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29.52</c:v>
                </c:pt>
                <c:pt idx="1">
                  <c:v>24.65</c:v>
                </c:pt>
                <c:pt idx="2">
                  <c:v>24.71</c:v>
                </c:pt>
                <c:pt idx="3">
                  <c:v>32.15</c:v>
                </c:pt>
                <c:pt idx="4">
                  <c:v>35.590000000000003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18-481A-998D-A7D5868B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19608"/>
        <c:axId val="634520592"/>
      </c:lineChart>
      <c:catAx>
        <c:axId val="63451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0592"/>
        <c:crosses val="autoZero"/>
        <c:auto val="0"/>
        <c:lblAlgn val="ctr"/>
        <c:lblOffset val="100"/>
        <c:noMultiLvlLbl val="0"/>
      </c:catAx>
      <c:valAx>
        <c:axId val="634520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451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B2D-4802-9424-C6E38C7497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B2D-4802-9424-C6E38C7497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159.24</c:v>
                </c:pt>
                <c:pt idx="1">
                  <c:v>129.56</c:v>
                </c:pt>
                <c:pt idx="2">
                  <c:v>150.53</c:v>
                </c:pt>
                <c:pt idx="3">
                  <c:v>289.72000000000003</c:v>
                </c:pt>
                <c:pt idx="4">
                  <c:v>163.63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2D-4802-9424-C6E38C749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3184"/>
        <c:axId val="560812240"/>
      </c:lineChart>
      <c:catAx>
        <c:axId val="55190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240"/>
        <c:crosses val="autoZero"/>
        <c:auto val="0"/>
        <c:lblAlgn val="ctr"/>
        <c:lblOffset val="100"/>
        <c:noMultiLvlLbl val="0"/>
      </c:catAx>
      <c:valAx>
        <c:axId val="560812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3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AEC-4B15-B330-4D7095E03AB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AEC-4B15-B330-4D7095E03A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6.83</c:v>
                </c:pt>
                <c:pt idx="1">
                  <c:v>7.42</c:v>
                </c:pt>
                <c:pt idx="2">
                  <c:v>5.97</c:v>
                </c:pt>
                <c:pt idx="3">
                  <c:v>9.43</c:v>
                </c:pt>
                <c:pt idx="4">
                  <c:v>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EC-4B15-B330-4D7095E03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1080"/>
        <c:axId val="622831736"/>
      </c:lineChart>
      <c:catAx>
        <c:axId val="62283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1736"/>
        <c:crosses val="autoZero"/>
        <c:auto val="0"/>
        <c:lblAlgn val="ctr"/>
        <c:lblOffset val="100"/>
        <c:noMultiLvlLbl val="0"/>
      </c:catAx>
      <c:valAx>
        <c:axId val="62283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1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EDF-4617-89E8-3E228FE821D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EDF-4617-89E8-3E228FE82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188.76</c:v>
                </c:pt>
                <c:pt idx="1">
                  <c:v>154.21</c:v>
                </c:pt>
                <c:pt idx="2">
                  <c:v>175.24</c:v>
                </c:pt>
                <c:pt idx="3">
                  <c:v>321.87</c:v>
                </c:pt>
                <c:pt idx="4">
                  <c:v>199.22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F-4617-89E8-3E228FE8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9EE-445F-BAB7-495F6AADC7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-29.52</c:v>
                </c:pt>
                <c:pt idx="1">
                  <c:v>-24.65</c:v>
                </c:pt>
                <c:pt idx="2">
                  <c:v>-24.71</c:v>
                </c:pt>
                <c:pt idx="3">
                  <c:v>-32.15</c:v>
                </c:pt>
                <c:pt idx="4">
                  <c:v>-35.590000000000003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EE-445F-BAB7-495F6AADC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887288"/>
        <c:axId val="451886632"/>
      </c:lineChart>
      <c:catAx>
        <c:axId val="451887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6632"/>
        <c:crosses val="autoZero"/>
        <c:auto val="0"/>
        <c:lblAlgn val="ctr"/>
        <c:lblOffset val="100"/>
        <c:noMultiLvlLbl val="0"/>
      </c:catAx>
      <c:valAx>
        <c:axId val="45188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887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36618.57</c:v>
                </c:pt>
                <c:pt idx="1">
                  <c:v>169076.84041414561</c:v>
                </c:pt>
                <c:pt idx="2">
                  <c:v>294940.66865897772</c:v>
                </c:pt>
                <c:pt idx="3">
                  <c:v>415741.51170787303</c:v>
                </c:pt>
                <c:pt idx="4">
                  <c:v>565784.70865224407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55-4925-B30A-BE2335CD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150680"/>
        <c:axId val="55314608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120356.06</c:v>
                </c:pt>
                <c:pt idx="1">
                  <c:v>267242.50041414559</c:v>
                </c:pt>
                <c:pt idx="2">
                  <c:v>409271.88865897775</c:v>
                </c:pt>
                <c:pt idx="3">
                  <c:v>523178.46170787304</c:v>
                </c:pt>
                <c:pt idx="4">
                  <c:v>701407.71865224408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55-4925-B30A-BE2335CD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150680"/>
        <c:axId val="553146088"/>
      </c:lineChart>
      <c:catAx>
        <c:axId val="5531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46088"/>
        <c:crosses val="autoZero"/>
        <c:auto val="1"/>
        <c:lblAlgn val="ctr"/>
        <c:lblOffset val="100"/>
        <c:noMultiLvlLbl val="0"/>
      </c:catAx>
      <c:valAx>
        <c:axId val="553146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50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128086.27970056226</c:v>
                </c:pt>
                <c:pt idx="1">
                  <c:v>146359.66041414562</c:v>
                </c:pt>
                <c:pt idx="2">
                  <c:v>139787.14824483215</c:v>
                </c:pt>
                <c:pt idx="3">
                  <c:v>131134.30304889538</c:v>
                </c:pt>
                <c:pt idx="4">
                  <c:v>161266.72694437113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38-43D0-B21B-B009B6EAD40C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125201.27970056226</c:v>
                </c:pt>
                <c:pt idx="1">
                  <c:v>142941.89041414563</c:v>
                </c:pt>
                <c:pt idx="2">
                  <c:v>135707.05824483215</c:v>
                </c:pt>
                <c:pt idx="3">
                  <c:v>126800.09304889537</c:v>
                </c:pt>
                <c:pt idx="4">
                  <c:v>155832.37694437112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38-43D0-B21B-B009B6EAD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772208"/>
        <c:axId val="558772864"/>
      </c:barChart>
      <c:catAx>
        <c:axId val="55877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2864"/>
        <c:crosses val="autoZero"/>
        <c:auto val="1"/>
        <c:lblAlgn val="ctr"/>
        <c:lblOffset val="100"/>
        <c:noMultiLvlLbl val="0"/>
      </c:catAx>
      <c:valAx>
        <c:axId val="558772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22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DA9-47A3-85A3-13492981BE9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A9-47A3-85A3-13492981BE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14.08</c:v>
                </c:pt>
                <c:pt idx="1">
                  <c:v>49.44</c:v>
                </c:pt>
                <c:pt idx="2">
                  <c:v>35.81</c:v>
                </c:pt>
                <c:pt idx="3">
                  <c:v>272.22000000000003</c:v>
                </c:pt>
                <c:pt idx="4">
                  <c:v>207.45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A9-47A3-85A3-13492981B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4032"/>
        <c:axId val="622837640"/>
      </c:lineChart>
      <c:catAx>
        <c:axId val="62283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7640"/>
        <c:crosses val="autoZero"/>
        <c:auto val="0"/>
        <c:lblAlgn val="ctr"/>
        <c:lblOffset val="100"/>
        <c:noMultiLvlLbl val="0"/>
      </c:catAx>
      <c:valAx>
        <c:axId val="62283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4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41217.449999999997</c:v>
                </c:pt>
                <c:pt idx="1">
                  <c:v>189145.62041414558</c:v>
                </c:pt>
                <c:pt idx="2">
                  <c:v>319618.15865897771</c:v>
                </c:pt>
                <c:pt idx="3">
                  <c:v>436499.07170787308</c:v>
                </c:pt>
                <c:pt idx="4">
                  <c:v>596927.80865224416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43-4B4A-97A1-DE8A5FC9EA1A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39312.69</c:v>
                </c:pt>
                <c:pt idx="1">
                  <c:v>46389.08</c:v>
                </c:pt>
                <c:pt idx="2">
                  <c:v>50271.93</c:v>
                </c:pt>
                <c:pt idx="3">
                  <c:v>62529.440000000002</c:v>
                </c:pt>
                <c:pt idx="4">
                  <c:v>73314.61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43-4B4A-97A1-DE8A5FC9E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811584"/>
        <c:axId val="560814864"/>
      </c:barChart>
      <c:catAx>
        <c:axId val="56081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4864"/>
        <c:crosses val="autoZero"/>
        <c:auto val="1"/>
        <c:lblAlgn val="ctr"/>
        <c:lblOffset val="100"/>
        <c:noMultiLvlLbl val="0"/>
      </c:catAx>
      <c:valAx>
        <c:axId val="560814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15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1393.36</c:v>
                </c:pt>
                <c:pt idx="1">
                  <c:v>1537.63</c:v>
                </c:pt>
                <c:pt idx="2">
                  <c:v>1595.99</c:v>
                </c:pt>
                <c:pt idx="3">
                  <c:v>1608.89</c:v>
                </c:pt>
                <c:pt idx="4">
                  <c:v>234.29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1-4828-A588-15ECE683C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150352"/>
        <c:axId val="55315100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1809.52</c:v>
                </c:pt>
                <c:pt idx="1">
                  <c:v>2028.58</c:v>
                </c:pt>
                <c:pt idx="2">
                  <c:v>2039.39</c:v>
                </c:pt>
                <c:pt idx="3">
                  <c:v>1950.28</c:v>
                </c:pt>
                <c:pt idx="4">
                  <c:v>2925.39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F1-4828-A588-15ECE683C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378032"/>
        <c:axId val="557381968"/>
      </c:lineChart>
      <c:catAx>
        <c:axId val="55315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151008"/>
        <c:crosses val="autoZero"/>
        <c:auto val="1"/>
        <c:lblAlgn val="ctr"/>
        <c:lblOffset val="100"/>
        <c:noMultiLvlLbl val="0"/>
      </c:catAx>
      <c:valAx>
        <c:axId val="553151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50352"/>
        <c:crosses val="autoZero"/>
        <c:crossBetween val="between"/>
      </c:valAx>
      <c:valAx>
        <c:axId val="557381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7378032"/>
        <c:crosses val="max"/>
        <c:crossBetween val="between"/>
      </c:valAx>
      <c:catAx>
        <c:axId val="557378032"/>
        <c:scaling>
          <c:orientation val="minMax"/>
        </c:scaling>
        <c:delete val="1"/>
        <c:axPos val="b"/>
        <c:majorTickMark val="out"/>
        <c:minorTickMark val="none"/>
        <c:tickLblPos val="nextTo"/>
        <c:crossAx val="5573819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90110.77</c:v>
                </c:pt>
                <c:pt idx="1">
                  <c:v>130693.29</c:v>
                </c:pt>
                <c:pt idx="2">
                  <c:v>121896.01</c:v>
                </c:pt>
                <c:pt idx="3">
                  <c:v>78778.039999999994</c:v>
                </c:pt>
                <c:pt idx="4">
                  <c:v>163541.19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33-4051-B7F4-D6A5EA347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802632"/>
        <c:axId val="55580361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33-4051-B7F4-D6A5EA347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645136"/>
        <c:axId val="625646448"/>
      </c:lineChart>
      <c:catAx>
        <c:axId val="55580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803616"/>
        <c:crosses val="autoZero"/>
        <c:auto val="1"/>
        <c:lblAlgn val="ctr"/>
        <c:lblOffset val="100"/>
        <c:noMultiLvlLbl val="0"/>
      </c:catAx>
      <c:valAx>
        <c:axId val="555803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2632"/>
        <c:crosses val="autoZero"/>
        <c:crossBetween val="between"/>
      </c:valAx>
      <c:valAx>
        <c:axId val="6256464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645136"/>
        <c:crosses val="max"/>
        <c:crossBetween val="between"/>
      </c:valAx>
      <c:catAx>
        <c:axId val="625645136"/>
        <c:scaling>
          <c:orientation val="minMax"/>
        </c:scaling>
        <c:delete val="1"/>
        <c:axPos val="b"/>
        <c:majorTickMark val="out"/>
        <c:minorTickMark val="none"/>
        <c:tickLblPos val="nextTo"/>
        <c:crossAx val="62564644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278567.11</c:v>
                </c:pt>
                <c:pt idx="1">
                  <c:v>339639</c:v>
                </c:pt>
                <c:pt idx="2">
                  <c:v>328608.96999999997</c:v>
                </c:pt>
                <c:pt idx="3">
                  <c:v>303229.69</c:v>
                </c:pt>
                <c:pt idx="4">
                  <c:v>432569.62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F-4759-862A-2FF7C173BD4F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236699.47970056225</c:v>
                </c:pt>
                <c:pt idx="1">
                  <c:v>299023.86041414563</c:v>
                </c:pt>
                <c:pt idx="2">
                  <c:v>285313.90824483213</c:v>
                </c:pt>
                <c:pt idx="3">
                  <c:v>231379.84304889539</c:v>
                </c:pt>
                <c:pt idx="4">
                  <c:v>349060.42694437114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CF-4759-862A-2FF7C173B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536848"/>
        <c:axId val="551535864"/>
      </c:barChart>
      <c:catAx>
        <c:axId val="55153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5864"/>
        <c:crosses val="autoZero"/>
        <c:auto val="1"/>
        <c:lblAlgn val="ctr"/>
        <c:lblOffset val="100"/>
        <c:noMultiLvlLbl val="0"/>
      </c:catAx>
      <c:valAx>
        <c:axId val="551535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68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120356.06</c:v>
                </c:pt>
                <c:pt idx="1">
                  <c:v>267242.50041414559</c:v>
                </c:pt>
                <c:pt idx="2">
                  <c:v>409271.88865897775</c:v>
                </c:pt>
                <c:pt idx="3">
                  <c:v>523178.46170787304</c:v>
                </c:pt>
                <c:pt idx="4">
                  <c:v>701407.71865224408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8-4CA2-9701-295C29806535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42519.71</c:v>
                </c:pt>
                <c:pt idx="1">
                  <c:v>49706.540000000008</c:v>
                </c:pt>
                <c:pt idx="2">
                  <c:v>62002.96</c:v>
                </c:pt>
                <c:pt idx="3">
                  <c:v>44907.509999999995</c:v>
                </c:pt>
                <c:pt idx="4">
                  <c:v>62308.4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28-4CA2-9701-295C29806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838624"/>
        <c:axId val="622838952"/>
      </c:barChart>
      <c:catAx>
        <c:axId val="6228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8952"/>
        <c:crosses val="autoZero"/>
        <c:auto val="1"/>
        <c:lblAlgn val="ctr"/>
        <c:lblOffset val="100"/>
        <c:noMultiLvlLbl val="0"/>
      </c:catAx>
      <c:valAx>
        <c:axId val="622838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86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120356.06</c:v>
                </c:pt>
                <c:pt idx="1">
                  <c:v>267242.50041414559</c:v>
                </c:pt>
                <c:pt idx="2">
                  <c:v>409271.88865897775</c:v>
                </c:pt>
                <c:pt idx="3">
                  <c:v>523178.46170787304</c:v>
                </c:pt>
                <c:pt idx="4">
                  <c:v>701407.71865224408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E-437F-AA36-A777AE55A91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39312.69</c:v>
                </c:pt>
                <c:pt idx="1">
                  <c:v>46389.08</c:v>
                </c:pt>
                <c:pt idx="2">
                  <c:v>50271.93</c:v>
                </c:pt>
                <c:pt idx="3">
                  <c:v>62529.440000000002</c:v>
                </c:pt>
                <c:pt idx="4">
                  <c:v>73314.61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E-437F-AA36-A777AE55A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5243832"/>
        <c:axId val="635241864"/>
      </c:barChart>
      <c:catAx>
        <c:axId val="63524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5241864"/>
        <c:crosses val="autoZero"/>
        <c:auto val="1"/>
        <c:lblAlgn val="ctr"/>
        <c:lblOffset val="100"/>
        <c:noMultiLvlLbl val="0"/>
      </c:catAx>
      <c:valAx>
        <c:axId val="635241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52438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120356.06000000001</c:v>
                </c:pt>
                <c:pt idx="1">
                  <c:v>267242.50041414559</c:v>
                </c:pt>
                <c:pt idx="2">
                  <c:v>409271.8886589777</c:v>
                </c:pt>
                <c:pt idx="3">
                  <c:v>523178.4617078731</c:v>
                </c:pt>
                <c:pt idx="4">
                  <c:v>701407.71865224419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B2-496E-B9B2-076A14AD9E16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79138.610000000015</c:v>
                </c:pt>
                <c:pt idx="1">
                  <c:v>78096.87999999999</c:v>
                </c:pt>
                <c:pt idx="2">
                  <c:v>89653.729999999981</c:v>
                </c:pt>
                <c:pt idx="3">
                  <c:v>86679.39</c:v>
                </c:pt>
                <c:pt idx="4">
                  <c:v>104479.91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2-496E-B9B2-076A14AD9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278920"/>
        <c:axId val="626284168"/>
      </c:barChart>
      <c:catAx>
        <c:axId val="62627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84168"/>
        <c:crosses val="autoZero"/>
        <c:auto val="1"/>
        <c:lblAlgn val="ctr"/>
        <c:lblOffset val="100"/>
        <c:noMultiLvlLbl val="0"/>
      </c:catAx>
      <c:valAx>
        <c:axId val="626284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89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120356.06000000001</c:v>
                </c:pt>
                <c:pt idx="1">
                  <c:v>267242.50041414559</c:v>
                </c:pt>
                <c:pt idx="2">
                  <c:v>409271.8886589777</c:v>
                </c:pt>
                <c:pt idx="3">
                  <c:v>523178.4617078731</c:v>
                </c:pt>
                <c:pt idx="4">
                  <c:v>701407.71865224419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1-400A-B926-BA3F508E9AE8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41217.449999999997</c:v>
                </c:pt>
                <c:pt idx="1">
                  <c:v>189145.62041414558</c:v>
                </c:pt>
                <c:pt idx="2">
                  <c:v>319618.15865897771</c:v>
                </c:pt>
                <c:pt idx="3">
                  <c:v>436499.07170787308</c:v>
                </c:pt>
                <c:pt idx="4">
                  <c:v>596927.80865224416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11-400A-B926-BA3F508E9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382472"/>
        <c:axId val="554385424"/>
      </c:barChart>
      <c:catAx>
        <c:axId val="55438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5424"/>
        <c:crosses val="autoZero"/>
        <c:auto val="1"/>
        <c:lblAlgn val="ctr"/>
        <c:lblOffset val="100"/>
        <c:noMultiLvlLbl val="0"/>
      </c:catAx>
      <c:valAx>
        <c:axId val="554385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2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108613.2</c:v>
                </c:pt>
                <c:pt idx="1">
                  <c:v>152664.20000000001</c:v>
                </c:pt>
                <c:pt idx="2">
                  <c:v>145526.75999999998</c:v>
                </c:pt>
                <c:pt idx="3">
                  <c:v>100245.54000000001</c:v>
                </c:pt>
                <c:pt idx="4">
                  <c:v>187793.7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E-4359-BCC5-50779EB4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644024"/>
        <c:axId val="63164894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236699.47970056225</c:v>
                </c:pt>
                <c:pt idx="1">
                  <c:v>299023.86041414563</c:v>
                </c:pt>
                <c:pt idx="2">
                  <c:v>285313.90824483213</c:v>
                </c:pt>
                <c:pt idx="3">
                  <c:v>231379.84304889539</c:v>
                </c:pt>
                <c:pt idx="4">
                  <c:v>349060.42694437114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FE-4359-BCC5-50779EB4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650584"/>
        <c:axId val="631649272"/>
      </c:lineChart>
      <c:catAx>
        <c:axId val="63164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48944"/>
        <c:crosses val="autoZero"/>
        <c:auto val="1"/>
        <c:lblAlgn val="ctr"/>
        <c:lblOffset val="100"/>
        <c:noMultiLvlLbl val="0"/>
      </c:catAx>
      <c:valAx>
        <c:axId val="631648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44024"/>
        <c:crosses val="autoZero"/>
        <c:crossBetween val="between"/>
      </c:valAx>
      <c:valAx>
        <c:axId val="6316492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1650584"/>
        <c:crosses val="max"/>
        <c:crossBetween val="between"/>
      </c:valAx>
      <c:catAx>
        <c:axId val="631650584"/>
        <c:scaling>
          <c:orientation val="minMax"/>
        </c:scaling>
        <c:delete val="1"/>
        <c:axPos val="b"/>
        <c:majorTickMark val="out"/>
        <c:minorTickMark val="none"/>
        <c:tickLblPos val="nextTo"/>
        <c:crossAx val="63164927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116101.55970056225</c:v>
                </c:pt>
                <c:pt idx="1">
                  <c:v>132458.27041414561</c:v>
                </c:pt>
                <c:pt idx="2">
                  <c:v>125863.81824483213</c:v>
                </c:pt>
                <c:pt idx="3">
                  <c:v>120674.82304889537</c:v>
                </c:pt>
                <c:pt idx="4">
                  <c:v>150006.65694437109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64-4E9E-82F3-1C992713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1624"/>
        <c:axId val="55996457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119633.92970056225</c:v>
                </c:pt>
                <c:pt idx="1">
                  <c:v>136800.42041414563</c:v>
                </c:pt>
                <c:pt idx="2">
                  <c:v>131773.90824483213</c:v>
                </c:pt>
                <c:pt idx="3">
                  <c:v>125230.25304889536</c:v>
                </c:pt>
                <c:pt idx="4">
                  <c:v>150006.65694437109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64-4E9E-82F3-1C992713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49160"/>
        <c:axId val="559952768"/>
      </c:lineChart>
      <c:catAx>
        <c:axId val="55996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4576"/>
        <c:crosses val="autoZero"/>
        <c:auto val="1"/>
        <c:lblAlgn val="ctr"/>
        <c:lblOffset val="100"/>
        <c:noMultiLvlLbl val="0"/>
      </c:catAx>
      <c:valAx>
        <c:axId val="559964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1624"/>
        <c:crosses val="autoZero"/>
        <c:crossBetween val="between"/>
      </c:valAx>
      <c:valAx>
        <c:axId val="5599527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49160"/>
        <c:crosses val="max"/>
        <c:crossBetween val="between"/>
      </c:valAx>
      <c:catAx>
        <c:axId val="55994916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527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79-493F-AB93-26BD2186A72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279-493F-AB93-26BD2186A72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279-493F-AB93-26BD2186A7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79-493F-AB93-26BD2186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2720"/>
        <c:axId val="622827800"/>
      </c:lineChart>
      <c:catAx>
        <c:axId val="62283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27800"/>
        <c:crosses val="autoZero"/>
        <c:auto val="0"/>
        <c:lblAlgn val="ctr"/>
        <c:lblOffset val="100"/>
        <c:noMultiLvlLbl val="0"/>
      </c:catAx>
      <c:valAx>
        <c:axId val="622827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27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E6-4F2C-8CFC-F5CB53D8F6C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E6-4F2C-8CFC-F5CB53D8F6C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7E6-4F2C-8CFC-F5CB53D8F6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-0.1100000000000001</c:v>
                </c:pt>
                <c:pt idx="1">
                  <c:v>-4.0000000000000036E-2</c:v>
                </c:pt>
                <c:pt idx="2">
                  <c:v>0.41000000000000003</c:v>
                </c:pt>
                <c:pt idx="3">
                  <c:v>-1.98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E6-4F2C-8CFC-F5CB53D8F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53647880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880"/>
        <c:crosses val="autoZero"/>
        <c:auto val="0"/>
        <c:lblAlgn val="ctr"/>
        <c:lblOffset val="100"/>
        <c:noMultiLvlLbl val="0"/>
      </c:catAx>
      <c:valAx>
        <c:axId val="553647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00-413B-9572-37E7A9B4D1A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00-413B-9572-37E7A9B4D1A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500-413B-9572-37E7A9B4D1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188456.34</c:v>
                </c:pt>
                <c:pt idx="1">
                  <c:v>208945.71</c:v>
                </c:pt>
                <c:pt idx="2">
                  <c:v>206712.95999999999</c:v>
                </c:pt>
                <c:pt idx="3">
                  <c:v>224451.65</c:v>
                </c:pt>
                <c:pt idx="4">
                  <c:v>269028.43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00-413B-9572-37E7A9B4D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3216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216"/>
        <c:crosses val="autoZero"/>
        <c:auto val="0"/>
        <c:lblAlgn val="ctr"/>
        <c:lblOffset val="100"/>
        <c:noMultiLvlLbl val="0"/>
      </c:catAx>
      <c:valAx>
        <c:axId val="44943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346-42C5-853A-E0A7CED7E24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346-42C5-853A-E0A7CED7E24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346-42C5-853A-E0A7CED7E2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169953.91</c:v>
                </c:pt>
                <c:pt idx="1">
                  <c:v>186974.8</c:v>
                </c:pt>
                <c:pt idx="2">
                  <c:v>183082.21</c:v>
                </c:pt>
                <c:pt idx="3">
                  <c:v>202984.15</c:v>
                </c:pt>
                <c:pt idx="4">
                  <c:v>244775.92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46-42C5-853A-E0A7CED7E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5016"/>
        <c:axId val="622836656"/>
      </c:lineChart>
      <c:catAx>
        <c:axId val="62283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6656"/>
        <c:crosses val="autoZero"/>
        <c:auto val="0"/>
        <c:lblAlgn val="ctr"/>
        <c:lblOffset val="100"/>
        <c:noMultiLvlLbl val="0"/>
      </c:catAx>
      <c:valAx>
        <c:axId val="62283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2835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0.99</c:v>
                </c:pt>
                <c:pt idx="1">
                  <c:v>0.51</c:v>
                </c:pt>
                <c:pt idx="2">
                  <c:v>0.32</c:v>
                </c:pt>
                <c:pt idx="3">
                  <c:v>0.24</c:v>
                </c:pt>
                <c:pt idx="4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A8-43AA-848E-9AF650BA4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5016"/>
        <c:axId val="449429280"/>
      </c:lineChart>
      <c:catAx>
        <c:axId val="44942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9280"/>
        <c:crosses val="autoZero"/>
        <c:auto val="0"/>
        <c:lblAlgn val="ctr"/>
        <c:lblOffset val="100"/>
        <c:noMultiLvlLbl val="0"/>
      </c:catAx>
      <c:valAx>
        <c:axId val="449429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5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C3B-406F-8C8C-75AE8861DB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1.47</c:v>
                </c:pt>
                <c:pt idx="1">
                  <c:v>1.44</c:v>
                </c:pt>
                <c:pt idx="2">
                  <c:v>1.0900000000000001</c:v>
                </c:pt>
                <c:pt idx="3">
                  <c:v>1.41</c:v>
                </c:pt>
                <c:pt idx="4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3B-406F-8C8C-75AE8861D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336"/>
        <c:axId val="440769856"/>
      </c:lineChart>
      <c:catAx>
        <c:axId val="36404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769856"/>
        <c:crosses val="autoZero"/>
        <c:auto val="0"/>
        <c:lblAlgn val="ctr"/>
        <c:lblOffset val="100"/>
        <c:noMultiLvlLbl val="0"/>
      </c:catAx>
      <c:valAx>
        <c:axId val="44076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8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1440E7-FF83-BF9B-ACBA-E6D73B70C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CFF546-89FB-8AB4-CDAE-AA517F7CEE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A34121-38CD-5F11-08A0-6C46C4DD62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16FF0-4AFA-DA5B-DD82-463C42D00B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6A6E69-59F9-2645-571F-78A8037FF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ACA405-D921-4CC2-35A5-D515C0938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36D76A-4BE2-0205-966C-50A592DB6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C4ED14-B3A3-A4E3-9E14-80BCEE8344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E848CD-22A7-A9A4-FEA9-F02809787C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D2B0A3-547C-4445-B2CB-E503416D6F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59562-E0E1-1D26-E3BE-DF92D79262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196716-E9D6-5D2F-A997-2B7FA31894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B8B2F2-D872-A6B1-A1C8-03F5E47A6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6EE38B-868F-41C9-8466-E564D5B570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D30861-B316-37E9-90DD-04DFAA033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9BC159-EC27-97BE-7BD6-72F398F25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42B917-A996-13EE-6946-E89085239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3C612F-AB3F-984B-6CEE-2C2C59B68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52A5E6-5B1F-BABE-327C-1639E5371D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C1D6B3-F671-6E1C-1675-F8E59D4A31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5AD558B7-DA03-A6BC-8402-9800F87078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1CF9C234-3279-6B1C-01D0-EC8BE15425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91C052-411C-37A7-0125-5A1F41268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2B0F3161-264B-F50A-ECD9-436C01D6B2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D2770CB0-71A9-921C-0D9A-2858EE6A7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C437A62F-7615-269C-E969-264506F2E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50BA188F-B8C2-FB05-4AC0-8E1C4D91D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78D6798-82D1-F038-E1CD-392EE8093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C454A2A9-BC6F-FA69-6642-182B51DDEC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E61779E2-CA0C-A466-B82B-6922DF07C7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8C31A97-A878-89EE-B702-663ABF93F2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8BEAB67-C625-C05F-5DB0-0F4AFEF424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A49A4018-E768-9901-D683-DA98C638A4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0D3E8D-5093-C490-C04E-3274B3CE66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83F29D-D4D4-086A-04E3-4D6758DC7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4C955-345E-9CBA-14A1-C6103EBDEC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7DF2C5-06EC-CFFD-EA10-97E1DF776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77501-8F24-1A2B-17E8-BA6EA60A4C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BEEA03-AC07-FF41-7751-D070EF3F68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FB49-4629-4CA4-8059-B33A24A5F5E6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1966.88</v>
      </c>
      <c r="D6" s="2">
        <v>1966.88</v>
      </c>
      <c r="E6" s="2">
        <v>1966.89</v>
      </c>
      <c r="F6" s="2">
        <v>2092.91</v>
      </c>
      <c r="G6" s="2">
        <v>2129.4499999999998</v>
      </c>
      <c r="H6" t="s">
        <v>1</v>
      </c>
    </row>
    <row r="7" spans="1:15" x14ac:dyDescent="0.25">
      <c r="B7" t="s">
        <v>6</v>
      </c>
      <c r="C7" s="2">
        <v>1966.88</v>
      </c>
      <c r="D7" s="2">
        <v>1966.88</v>
      </c>
      <c r="E7" s="2">
        <v>1966.89</v>
      </c>
      <c r="F7" s="2">
        <v>2092.91</v>
      </c>
      <c r="G7" s="2">
        <v>2129.4499999999998</v>
      </c>
      <c r="H7" t="s">
        <v>1</v>
      </c>
    </row>
    <row r="8" spans="1:15" x14ac:dyDescent="0.25">
      <c r="A8" t="s">
        <v>90</v>
      </c>
      <c r="B8" t="s">
        <v>7</v>
      </c>
      <c r="C8" s="2">
        <v>34651.69</v>
      </c>
      <c r="D8" s="2">
        <v>36797.839999999997</v>
      </c>
      <c r="E8" s="2">
        <v>34565.449999999997</v>
      </c>
      <c r="F8" s="2">
        <v>50605.68</v>
      </c>
      <c r="G8" s="2">
        <v>49776.17</v>
      </c>
      <c r="H8" t="s">
        <v>1</v>
      </c>
    </row>
    <row r="9" spans="1:15" x14ac:dyDescent="0.25">
      <c r="B9" t="s">
        <v>8</v>
      </c>
      <c r="C9" s="2">
        <v>34651.69</v>
      </c>
      <c r="D9" s="2">
        <v>36797.839999999997</v>
      </c>
      <c r="E9" s="2">
        <v>34565.449999999997</v>
      </c>
      <c r="F9" s="2">
        <v>50605.68</v>
      </c>
      <c r="G9" s="2">
        <v>49776.17</v>
      </c>
      <c r="H9" t="s">
        <v>1</v>
      </c>
    </row>
    <row r="10" spans="1:15" x14ac:dyDescent="0.25">
      <c r="B10" t="s">
        <v>9</v>
      </c>
      <c r="C10" s="2">
        <v>36618.57</v>
      </c>
      <c r="D10" s="2">
        <v>38764.720000000001</v>
      </c>
      <c r="E10" s="2">
        <v>36532.339999999997</v>
      </c>
      <c r="F10" s="2">
        <v>53555.08</v>
      </c>
      <c r="G10" s="2">
        <v>51905.62</v>
      </c>
      <c r="H10" t="s">
        <v>1</v>
      </c>
    </row>
    <row r="11" spans="1:15" x14ac:dyDescent="0.25">
      <c r="A11" t="s">
        <v>10</v>
      </c>
      <c r="B11" t="s">
        <v>10</v>
      </c>
      <c r="C11">
        <v>1905.09</v>
      </c>
      <c r="D11">
        <v>2070.04</v>
      </c>
      <c r="E11" s="2">
        <v>2056.33</v>
      </c>
      <c r="F11" s="2">
        <v>0</v>
      </c>
      <c r="G11" s="2">
        <v>0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28904.28</v>
      </c>
      <c r="D13" s="2">
        <v>34315.58</v>
      </c>
      <c r="E13" s="2">
        <v>38043.89</v>
      </c>
      <c r="F13" s="2">
        <v>35740.22</v>
      </c>
      <c r="G13" s="2">
        <v>36358.93</v>
      </c>
      <c r="H13" t="s">
        <v>1</v>
      </c>
    </row>
    <row r="14" spans="1:15" x14ac:dyDescent="0.25">
      <c r="A14" t="s">
        <v>91</v>
      </c>
      <c r="B14" t="s">
        <v>13</v>
      </c>
      <c r="C14" s="2">
        <v>5522.4</v>
      </c>
      <c r="D14" s="2">
        <v>6792.01</v>
      </c>
      <c r="E14" s="2">
        <v>6163.92</v>
      </c>
      <c r="F14" s="2">
        <v>4934.4799999999996</v>
      </c>
      <c r="G14" s="2">
        <v>6375.72</v>
      </c>
      <c r="H14" t="s">
        <v>1</v>
      </c>
    </row>
    <row r="15" spans="1:15" x14ac:dyDescent="0.25">
      <c r="A15" t="s">
        <v>92</v>
      </c>
      <c r="B15" t="s">
        <v>14</v>
      </c>
      <c r="C15" s="2">
        <v>202.2</v>
      </c>
      <c r="D15" s="2">
        <v>340.68</v>
      </c>
      <c r="E15" s="2">
        <v>6249.59</v>
      </c>
      <c r="F15">
        <v>8222.98</v>
      </c>
      <c r="G15">
        <v>9585.6</v>
      </c>
      <c r="H15" t="s">
        <v>1</v>
      </c>
    </row>
    <row r="16" spans="1:15" x14ac:dyDescent="0.25">
      <c r="A16" t="s">
        <v>93</v>
      </c>
      <c r="B16" t="s">
        <v>15</v>
      </c>
      <c r="C16">
        <v>1393.36</v>
      </c>
      <c r="D16" s="2">
        <v>1537.63</v>
      </c>
      <c r="E16" s="2">
        <v>1595.99</v>
      </c>
      <c r="F16" s="2">
        <v>1608.89</v>
      </c>
      <c r="G16" s="2">
        <v>234.29</v>
      </c>
      <c r="H16" t="s">
        <v>1</v>
      </c>
    </row>
    <row r="17" spans="1:8" x14ac:dyDescent="0.25">
      <c r="B17" t="s">
        <v>16</v>
      </c>
      <c r="C17" s="2">
        <v>36022.239999999998</v>
      </c>
      <c r="D17" s="2">
        <v>42985.9</v>
      </c>
      <c r="E17" s="2">
        <v>52053.39</v>
      </c>
      <c r="F17" s="2">
        <v>50506.57</v>
      </c>
      <c r="G17" s="2">
        <v>52554.54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8093.03</v>
      </c>
      <c r="D19" s="2">
        <v>8598.9500000000007</v>
      </c>
      <c r="E19" s="2">
        <v>17795.150000000001</v>
      </c>
      <c r="F19" s="2">
        <v>4232.8100000000004</v>
      </c>
      <c r="G19" s="2">
        <v>19573.75</v>
      </c>
      <c r="H19" t="s">
        <v>1</v>
      </c>
    </row>
    <row r="20" spans="1:8" x14ac:dyDescent="0.25">
      <c r="A20" t="s">
        <v>92</v>
      </c>
      <c r="B20" t="s">
        <v>19</v>
      </c>
      <c r="C20" s="2">
        <v>15198.21</v>
      </c>
      <c r="D20" s="2">
        <v>17384.73</v>
      </c>
      <c r="E20" s="2">
        <v>13107.21</v>
      </c>
      <c r="F20" s="2">
        <v>16262.67</v>
      </c>
      <c r="G20" s="2">
        <v>30347.72</v>
      </c>
      <c r="H20" t="s">
        <v>1</v>
      </c>
    </row>
    <row r="21" spans="1:8" x14ac:dyDescent="0.25">
      <c r="A21" t="s">
        <v>92</v>
      </c>
      <c r="B21" t="s">
        <v>20</v>
      </c>
      <c r="C21" s="2">
        <v>20709.400000000001</v>
      </c>
      <c r="D21" s="2">
        <v>25097.46</v>
      </c>
      <c r="E21" s="2">
        <v>27279.75</v>
      </c>
      <c r="F21" s="2">
        <v>34484.620000000003</v>
      </c>
      <c r="G21" s="2">
        <v>30221.61</v>
      </c>
      <c r="H21" t="s">
        <v>1</v>
      </c>
    </row>
    <row r="22" spans="1:8" x14ac:dyDescent="0.25">
      <c r="A22" t="s">
        <v>93</v>
      </c>
      <c r="B22" t="s">
        <v>21</v>
      </c>
      <c r="C22" s="2">
        <v>1809.52</v>
      </c>
      <c r="D22" s="2">
        <v>2028.58</v>
      </c>
      <c r="E22" s="2">
        <v>2039.39</v>
      </c>
      <c r="F22" s="2">
        <v>1950.28</v>
      </c>
      <c r="G22" s="2">
        <v>2925.39</v>
      </c>
      <c r="H22" t="s">
        <v>1</v>
      </c>
    </row>
    <row r="23" spans="1:8" x14ac:dyDescent="0.25">
      <c r="B23" t="s">
        <v>22</v>
      </c>
      <c r="C23" s="2">
        <v>45810.16</v>
      </c>
      <c r="D23" s="2">
        <v>53109.72</v>
      </c>
      <c r="E23" s="2">
        <v>60221.5</v>
      </c>
      <c r="F23" s="2">
        <v>56930.38</v>
      </c>
      <c r="G23" s="2">
        <v>83068.47</v>
      </c>
      <c r="H23" t="s">
        <v>1</v>
      </c>
    </row>
    <row r="24" spans="1:8" x14ac:dyDescent="0.25">
      <c r="B24" t="s">
        <v>23</v>
      </c>
      <c r="C24" s="2">
        <v>120356.06</v>
      </c>
      <c r="D24" s="2">
        <v>136930.38</v>
      </c>
      <c r="E24" s="2">
        <v>150863.56</v>
      </c>
      <c r="F24" s="2">
        <v>160992.03</v>
      </c>
      <c r="G24" s="2">
        <v>187528.63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45260.94</v>
      </c>
      <c r="D27" s="2">
        <v>48971.28</v>
      </c>
      <c r="E27" s="2">
        <v>59793.97</v>
      </c>
      <c r="F27" s="2">
        <v>63588.89</v>
      </c>
      <c r="G27" s="2">
        <v>98130.43</v>
      </c>
      <c r="H27" t="s">
        <v>1</v>
      </c>
    </row>
    <row r="28" spans="1:8" x14ac:dyDescent="0.25">
      <c r="A28" t="s">
        <v>29</v>
      </c>
      <c r="B28" t="s">
        <v>27</v>
      </c>
      <c r="C28">
        <v>278.36</v>
      </c>
      <c r="D28">
        <v>343.56</v>
      </c>
      <c r="E28">
        <v>380.6</v>
      </c>
      <c r="F28">
        <v>509.42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4486.47</v>
      </c>
      <c r="D29" s="2">
        <v>7292.9</v>
      </c>
      <c r="E29" s="2">
        <v>9948.51</v>
      </c>
      <c r="F29" s="2">
        <v>7645.42</v>
      </c>
      <c r="G29" s="2">
        <v>0</v>
      </c>
      <c r="H29" t="s">
        <v>1</v>
      </c>
    </row>
    <row r="30" spans="1:8" x14ac:dyDescent="0.25">
      <c r="B30" t="s">
        <v>29</v>
      </c>
      <c r="C30" s="2">
        <v>55414.04</v>
      </c>
      <c r="D30" s="2">
        <v>62969.33</v>
      </c>
      <c r="E30" s="2">
        <v>77931.31</v>
      </c>
      <c r="F30" s="2">
        <v>81238.38</v>
      </c>
      <c r="G30" s="2">
        <v>98130.43</v>
      </c>
      <c r="H30" t="s">
        <v>1</v>
      </c>
    </row>
    <row r="31" spans="1:8" x14ac:dyDescent="0.25">
      <c r="A31" t="s">
        <v>94</v>
      </c>
      <c r="B31" t="s">
        <v>30</v>
      </c>
      <c r="C31" s="2">
        <v>18275.29</v>
      </c>
      <c r="D31" s="2">
        <v>19107.82</v>
      </c>
      <c r="E31" s="2">
        <v>21819.97</v>
      </c>
      <c r="F31" s="2">
        <v>19973.46</v>
      </c>
      <c r="G31" s="2">
        <v>19173.63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4.2699999999999996</v>
      </c>
      <c r="E32">
        <v>3.58</v>
      </c>
      <c r="F32">
        <v>3.53</v>
      </c>
      <c r="G32">
        <v>0</v>
      </c>
      <c r="H32" t="s">
        <v>1</v>
      </c>
    </row>
    <row r="33" spans="1:8" x14ac:dyDescent="0.25">
      <c r="A33" t="s">
        <v>95</v>
      </c>
      <c r="B33" t="s">
        <v>32</v>
      </c>
      <c r="C33" s="2">
        <v>4074.42</v>
      </c>
      <c r="D33" s="2">
        <v>3829.26</v>
      </c>
      <c r="E33" s="2">
        <v>4987.2700000000004</v>
      </c>
      <c r="F33" s="2">
        <v>5312</v>
      </c>
      <c r="G33" s="2">
        <v>3956.62</v>
      </c>
      <c r="H33" t="s">
        <v>1</v>
      </c>
    </row>
    <row r="34" spans="1:8" x14ac:dyDescent="0.25">
      <c r="A34" t="s">
        <v>95</v>
      </c>
      <c r="B34" t="s">
        <v>33</v>
      </c>
      <c r="C34" s="2">
        <v>1990.8</v>
      </c>
      <c r="D34" s="2">
        <v>2238.11</v>
      </c>
      <c r="E34" s="2">
        <v>2869.68</v>
      </c>
      <c r="F34" s="2">
        <v>2482.17</v>
      </c>
      <c r="G34" s="2">
        <v>3064.61</v>
      </c>
      <c r="H34" t="s">
        <v>1</v>
      </c>
    </row>
    <row r="35" spans="1:8" x14ac:dyDescent="0.25">
      <c r="B35" t="s">
        <v>34</v>
      </c>
      <c r="C35" s="2">
        <v>79754.55</v>
      </c>
      <c r="D35" s="2">
        <v>88148.79</v>
      </c>
      <c r="E35" s="2">
        <v>107611.81</v>
      </c>
      <c r="F35" s="2">
        <v>109009.54</v>
      </c>
      <c r="G35" s="2">
        <v>125529.27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5449.28</v>
      </c>
      <c r="D37" s="2">
        <v>5799.09</v>
      </c>
      <c r="E37" s="2">
        <v>5208.54</v>
      </c>
      <c r="F37" s="2">
        <v>6794.27</v>
      </c>
      <c r="G37" s="2">
        <v>4442.2700000000004</v>
      </c>
      <c r="H37" t="s">
        <v>1</v>
      </c>
    </row>
    <row r="38" spans="1:8" x14ac:dyDescent="0.25">
      <c r="A38" t="s">
        <v>96</v>
      </c>
      <c r="B38" t="s">
        <v>37</v>
      </c>
      <c r="C38" s="2">
        <v>22530.94</v>
      </c>
      <c r="D38" s="2">
        <v>22934.87</v>
      </c>
      <c r="E38" s="2">
        <v>22242.6</v>
      </c>
      <c r="F38" s="2">
        <v>26706.02</v>
      </c>
      <c r="G38" s="2">
        <v>42178.74</v>
      </c>
      <c r="H38" t="s">
        <v>1</v>
      </c>
    </row>
    <row r="39" spans="1:8" x14ac:dyDescent="0.25">
      <c r="A39" t="s">
        <v>96</v>
      </c>
      <c r="B39" t="s">
        <v>38</v>
      </c>
      <c r="C39" s="2">
        <v>5209.28</v>
      </c>
      <c r="D39" s="2">
        <v>6906.25</v>
      </c>
      <c r="E39" s="2">
        <v>5378.02</v>
      </c>
      <c r="F39" s="2">
        <v>7834.77</v>
      </c>
      <c r="G39" s="2">
        <v>9707.4699999999993</v>
      </c>
      <c r="H39" t="s">
        <v>1</v>
      </c>
    </row>
    <row r="40" spans="1:8" x14ac:dyDescent="0.25">
      <c r="A40" t="s">
        <v>96</v>
      </c>
      <c r="B40" t="s">
        <v>39</v>
      </c>
      <c r="C40" s="2">
        <v>1353.86</v>
      </c>
      <c r="D40" s="2">
        <v>662.52</v>
      </c>
      <c r="E40" s="2">
        <v>1164.8399999999999</v>
      </c>
      <c r="F40">
        <v>8110.11</v>
      </c>
      <c r="G40" s="2">
        <v>2236.69</v>
      </c>
      <c r="H40" t="s">
        <v>1</v>
      </c>
    </row>
    <row r="41" spans="1:8" x14ac:dyDescent="0.25">
      <c r="A41" t="s">
        <v>95</v>
      </c>
      <c r="B41" t="s">
        <v>40</v>
      </c>
      <c r="C41">
        <v>270.42</v>
      </c>
      <c r="D41">
        <v>1684.67</v>
      </c>
      <c r="E41">
        <v>704.86</v>
      </c>
      <c r="F41" s="2">
        <v>138.06</v>
      </c>
      <c r="G41">
        <v>136</v>
      </c>
      <c r="H41" t="s">
        <v>1</v>
      </c>
    </row>
    <row r="42" spans="1:8" x14ac:dyDescent="0.25">
      <c r="A42" t="s">
        <v>95</v>
      </c>
      <c r="B42" t="s">
        <v>41</v>
      </c>
      <c r="C42" s="2">
        <v>5787.73</v>
      </c>
      <c r="D42" s="2">
        <v>10794.19</v>
      </c>
      <c r="E42" s="2">
        <v>8552.89</v>
      </c>
      <c r="F42" s="2">
        <v>2399.2600000000002</v>
      </c>
      <c r="G42" s="2">
        <v>3298.19</v>
      </c>
      <c r="H42" t="s">
        <v>1</v>
      </c>
    </row>
    <row r="43" spans="1:8" x14ac:dyDescent="0.25">
      <c r="B43" t="s">
        <v>42</v>
      </c>
      <c r="C43" s="2">
        <v>40601.51</v>
      </c>
      <c r="D43" s="2">
        <v>48781.59</v>
      </c>
      <c r="E43" s="2">
        <v>43251.75</v>
      </c>
      <c r="F43" s="2">
        <v>51982.49</v>
      </c>
      <c r="G43" s="2">
        <v>61999.360000000001</v>
      </c>
      <c r="H43" t="s">
        <v>1</v>
      </c>
    </row>
    <row r="44" spans="1:8" x14ac:dyDescent="0.25">
      <c r="B44" t="s">
        <v>43</v>
      </c>
      <c r="C44" s="2">
        <v>120356.06</v>
      </c>
      <c r="D44" s="2">
        <v>136930.38</v>
      </c>
      <c r="E44" s="2">
        <v>150863.56</v>
      </c>
      <c r="F44" s="2">
        <v>160992.03</v>
      </c>
      <c r="G44" s="2">
        <v>187528.63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19878.68</v>
      </c>
      <c r="D47" s="2">
        <v>22413.200000000001</v>
      </c>
      <c r="E47" s="2">
        <v>15222.59</v>
      </c>
      <c r="F47" s="2">
        <v>12919.6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1882.32</v>
      </c>
      <c r="D49" s="2">
        <v>1882.32</v>
      </c>
      <c r="E49" s="2">
        <v>1882.32</v>
      </c>
      <c r="F49" s="2">
        <v>1882.32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575.94000000000005</v>
      </c>
      <c r="D51">
        <v>908.47</v>
      </c>
      <c r="E51">
        <v>221.23</v>
      </c>
      <c r="F51">
        <v>328.1</v>
      </c>
      <c r="G51">
        <v>0</v>
      </c>
      <c r="H51" t="s">
        <v>1</v>
      </c>
    </row>
    <row r="52" spans="2:8" x14ac:dyDescent="0.25">
      <c r="B52" t="s">
        <v>51</v>
      </c>
      <c r="C52">
        <v>105.27</v>
      </c>
      <c r="D52">
        <v>114.31</v>
      </c>
      <c r="E52">
        <v>66.63</v>
      </c>
      <c r="F52">
        <v>95.72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5446.98</v>
      </c>
      <c r="D54" s="2">
        <v>5800.05</v>
      </c>
      <c r="E54" s="2">
        <v>5208.54</v>
      </c>
      <c r="F54" s="2">
        <v>6794.27</v>
      </c>
      <c r="G54" s="2">
        <v>0</v>
      </c>
      <c r="H54" t="s">
        <v>1</v>
      </c>
    </row>
    <row r="55" spans="2:8" x14ac:dyDescent="0.25">
      <c r="B55" t="s">
        <v>54</v>
      </c>
      <c r="C55">
        <v>2.2999999999999998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383A355C-A103-4939-B5D1-51E56B2F1E0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DB013-216E-4C04-94BB-5A7FDF4D486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36618.57</v>
      </c>
      <c r="D6" s="13">
        <f>Balance_Sheet!D13</f>
        <v>169076.84041414561</v>
      </c>
      <c r="E6" s="13">
        <f>Balance_Sheet!E13</f>
        <v>294940.66865897772</v>
      </c>
      <c r="F6" s="13">
        <f>Balance_Sheet!F13</f>
        <v>415741.51170787303</v>
      </c>
      <c r="G6" s="13">
        <f>Balance_Sheet!G13</f>
        <v>565784.70865224407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</row>
    <row r="8" spans="2:15" ht="18.75" x14ac:dyDescent="0.25">
      <c r="B8" s="14" t="s">
        <v>150</v>
      </c>
      <c r="C8" s="14">
        <f>ROUND(C6/C7, 2)</f>
        <v>14.08</v>
      </c>
      <c r="D8" s="14">
        <f t="shared" ref="D8:G8" si="0">ROUND(D6/D7, 2)</f>
        <v>49.44</v>
      </c>
      <c r="E8" s="14">
        <f t="shared" si="0"/>
        <v>35.81</v>
      </c>
      <c r="F8" s="14">
        <f t="shared" si="0"/>
        <v>272.22000000000003</v>
      </c>
      <c r="G8" s="14">
        <f t="shared" si="0"/>
        <v>207.45</v>
      </c>
    </row>
  </sheetData>
  <mergeCells count="1">
    <mergeCell ref="B5:G5"/>
  </mergeCells>
  <hyperlinks>
    <hyperlink ref="F1" location="Index_Data!A1" tooltip="Hi click here To return Index page" display="Index_Data!A1" xr:uid="{82DFF88B-56A3-421E-8018-A8B8023E1E57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6B9F-9BD6-4E92-A525-24153FF975D3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2884.76</v>
      </c>
      <c r="D6" s="13">
        <f>Income_Statement!D51</f>
        <v>3540.39</v>
      </c>
      <c r="E6" s="13">
        <f>Income_Statement!E51</f>
        <v>4818.8599999999997</v>
      </c>
      <c r="F6" s="13">
        <f>Income_Statement!F51</f>
        <v>4555.43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</row>
    <row r="8" spans="2:15" ht="18.75" x14ac:dyDescent="0.25">
      <c r="B8" s="12" t="s">
        <v>148</v>
      </c>
      <c r="C8" s="13">
        <f>ROUND(C6/C7, 2)</f>
        <v>1.1100000000000001</v>
      </c>
      <c r="D8" s="13">
        <f t="shared" ref="D8:G8" si="0">ROUND(D6/D7, 2)</f>
        <v>1.04</v>
      </c>
      <c r="E8" s="13">
        <f t="shared" si="0"/>
        <v>0.59</v>
      </c>
      <c r="F8" s="13">
        <f t="shared" si="0"/>
        <v>2.98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119633.92970056225</v>
      </c>
      <c r="D9" s="13">
        <f>Income_Statement!D49</f>
        <v>136800.42041414563</v>
      </c>
      <c r="E9" s="13">
        <f>Income_Statement!E49</f>
        <v>131773.90824483213</v>
      </c>
      <c r="F9" s="13">
        <f>Income_Statement!F49</f>
        <v>125230.25304889536</v>
      </c>
      <c r="G9" s="13">
        <f>Income_Statement!G49</f>
        <v>150006.65694437109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2600.737602186136</v>
      </c>
      <c r="D10" s="13">
        <f>Income_Statement!D61</f>
        <v>3420.0105103536407</v>
      </c>
      <c r="E10" s="13">
        <f>Income_Statement!E61</f>
        <v>8235.869265302008</v>
      </c>
      <c r="F10" s="13">
        <f>Income_Statement!F61</f>
        <v>1527.1982079133581</v>
      </c>
      <c r="G10" s="13">
        <f>Income_Statement!G61</f>
        <v>2727.393762624929</v>
      </c>
    </row>
    <row r="11" spans="2:15" ht="18.75" x14ac:dyDescent="0.25">
      <c r="B11" s="12" t="s">
        <v>146</v>
      </c>
      <c r="C11" s="13">
        <f>C9/C10</f>
        <v>46</v>
      </c>
      <c r="D11" s="13">
        <f t="shared" ref="D11:G11" si="1">D9/D10</f>
        <v>40</v>
      </c>
      <c r="E11" s="13">
        <f t="shared" si="1"/>
        <v>16</v>
      </c>
      <c r="F11" s="13">
        <f t="shared" si="1"/>
        <v>82</v>
      </c>
      <c r="G11" s="13">
        <f t="shared" si="1"/>
        <v>55</v>
      </c>
    </row>
    <row r="12" spans="2:15" ht="18.75" x14ac:dyDescent="0.25">
      <c r="B12" s="14" t="s">
        <v>152</v>
      </c>
      <c r="C12" s="14">
        <f>ROUND(C8/C11, 2)</f>
        <v>0.02</v>
      </c>
      <c r="D12" s="14">
        <f t="shared" ref="D12:G12" si="2">ROUND(D8/D11, 2)</f>
        <v>0.03</v>
      </c>
      <c r="E12" s="14">
        <f t="shared" si="2"/>
        <v>0.04</v>
      </c>
      <c r="F12" s="14">
        <f t="shared" si="2"/>
        <v>0.04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5B2C45B3-86E4-4EC1-B49D-878CC23350F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2026-BF45-419B-B16F-D778A2D80942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1.85546875" bestFit="1" customWidth="1"/>
    <col min="4" max="5" width="11.5703125" bestFit="1" customWidth="1"/>
    <col min="6" max="6" width="13.570312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2884.76</v>
      </c>
      <c r="D6" s="13">
        <f>Income_Statement!D51</f>
        <v>3540.39</v>
      </c>
      <c r="E6" s="13">
        <f>Income_Statement!E51</f>
        <v>4818.8599999999997</v>
      </c>
      <c r="F6" s="13">
        <f>Income_Statement!F51</f>
        <v>4555.43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</row>
    <row r="8" spans="2:15" ht="18.75" x14ac:dyDescent="0.25">
      <c r="B8" s="12" t="s">
        <v>154</v>
      </c>
      <c r="C8" s="13">
        <f>ROUND(C6/C7, 2)</f>
        <v>1.1100000000000001</v>
      </c>
      <c r="D8" s="13">
        <f t="shared" ref="D8:G8" si="0">ROUND(D6/D7, 2)</f>
        <v>1.04</v>
      </c>
      <c r="E8" s="13">
        <f t="shared" si="0"/>
        <v>0.59</v>
      </c>
      <c r="F8" s="13">
        <f t="shared" si="0"/>
        <v>2.98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-0.1100000000000001</v>
      </c>
      <c r="D9" s="15">
        <f t="shared" ref="D9:G9" si="1">1-D8</f>
        <v>-4.0000000000000036E-2</v>
      </c>
      <c r="E9" s="15">
        <f t="shared" si="1"/>
        <v>0.41000000000000003</v>
      </c>
      <c r="F9" s="15">
        <f t="shared" si="1"/>
        <v>-1.98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A7873DA8-BC4E-4E10-86B4-522BCD53BB07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257C-77F0-40A5-B5E1-BF514375881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90110.77</v>
      </c>
      <c r="D7" s="13">
        <f>Income_Statement!D17</f>
        <v>130693.29</v>
      </c>
      <c r="E7" s="13">
        <f>Income_Statement!E17</f>
        <v>121896.01</v>
      </c>
      <c r="F7" s="13">
        <f>Income_Statement!F17</f>
        <v>78778.039999999994</v>
      </c>
      <c r="G7" s="13">
        <f>Income_Statement!G17</f>
        <v>163541.19</v>
      </c>
    </row>
    <row r="8" spans="2:15" ht="18.75" x14ac:dyDescent="0.25">
      <c r="B8" s="14" t="s">
        <v>157</v>
      </c>
      <c r="C8" s="16">
        <f>ROUND(C6- C7, 2)</f>
        <v>188456.34</v>
      </c>
      <c r="D8" s="16">
        <f t="shared" ref="D8:G8" si="0">ROUND(D6- D7, 2)</f>
        <v>208945.71</v>
      </c>
      <c r="E8" s="16">
        <f t="shared" si="0"/>
        <v>206712.95999999999</v>
      </c>
      <c r="F8" s="16">
        <f t="shared" si="0"/>
        <v>224451.65</v>
      </c>
      <c r="G8" s="16">
        <f t="shared" si="0"/>
        <v>269028.43</v>
      </c>
    </row>
  </sheetData>
  <mergeCells count="1">
    <mergeCell ref="B5:G5"/>
  </mergeCells>
  <hyperlinks>
    <hyperlink ref="F1" location="Index_Data!A1" tooltip="Hi click here To return Index page" display="Index_Data!A1" xr:uid="{39E6F27E-1E24-428F-A609-CC67540A38B6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309E6-D6E9-4701-AC3E-EC796CC9EC4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Income_Statement!B25</f>
        <v>Total Expenditure</v>
      </c>
      <c r="C7" s="13">
        <f>Income_Statement!C25</f>
        <v>108613.2</v>
      </c>
      <c r="D7" s="13">
        <f>Income_Statement!D25</f>
        <v>152664.20000000001</v>
      </c>
      <c r="E7" s="13">
        <f>Income_Statement!E25</f>
        <v>145526.75999999998</v>
      </c>
      <c r="F7" s="13">
        <f>Income_Statement!F25</f>
        <v>100245.54000000001</v>
      </c>
      <c r="G7" s="13">
        <f>Income_Statement!G25</f>
        <v>187793.7</v>
      </c>
    </row>
    <row r="8" spans="2:15" ht="18.75" x14ac:dyDescent="0.25">
      <c r="B8" s="14" t="s">
        <v>159</v>
      </c>
      <c r="C8" s="16">
        <f>ROUND(C6- C7, 2)</f>
        <v>169953.91</v>
      </c>
      <c r="D8" s="16">
        <f t="shared" ref="D8:G8" si="0">ROUND(D6- D7, 2)</f>
        <v>186974.8</v>
      </c>
      <c r="E8" s="16">
        <f t="shared" si="0"/>
        <v>183082.21</v>
      </c>
      <c r="F8" s="16">
        <f t="shared" si="0"/>
        <v>202984.15</v>
      </c>
      <c r="G8" s="16">
        <f t="shared" si="0"/>
        <v>244775.92</v>
      </c>
    </row>
  </sheetData>
  <mergeCells count="1">
    <mergeCell ref="B5:G5"/>
  </mergeCells>
  <hyperlinks>
    <hyperlink ref="F1" location="Index_Data!A1" tooltip="Hi click here To return Index page" display="Index_Data!A1" xr:uid="{4B26B9D2-C2EA-412C-A622-FD3987250128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3711-6D72-431C-84FA-BDD70EBCF72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119633.92970056225</v>
      </c>
      <c r="D6" s="13">
        <f>Income_Statement!D49</f>
        <v>136800.42041414563</v>
      </c>
      <c r="E6" s="13">
        <f>Income_Statement!E49</f>
        <v>131773.90824483213</v>
      </c>
      <c r="F6" s="13">
        <f>Income_Statement!F49</f>
        <v>125230.25304889536</v>
      </c>
      <c r="G6" s="13">
        <f>Income_Statement!G49</f>
        <v>150006.65694437109</v>
      </c>
    </row>
    <row r="7" spans="2:15" ht="18.75" x14ac:dyDescent="0.25">
      <c r="B7" s="12" t="str">
        <f>Balance_Sheet!B74</f>
        <v>Total Assets</v>
      </c>
      <c r="C7" s="13">
        <f>Balance_Sheet!C74</f>
        <v>120356.06000000001</v>
      </c>
      <c r="D7" s="13">
        <f>Balance_Sheet!D74</f>
        <v>267242.50041414559</v>
      </c>
      <c r="E7" s="13">
        <f>Balance_Sheet!E74</f>
        <v>409271.8886589777</v>
      </c>
      <c r="F7" s="13">
        <f>Balance_Sheet!F74</f>
        <v>523178.4617078731</v>
      </c>
      <c r="G7" s="13">
        <f>Balance_Sheet!G74</f>
        <v>701407.71865224419</v>
      </c>
    </row>
    <row r="8" spans="2:15" ht="18.75" x14ac:dyDescent="0.25">
      <c r="B8" s="14" t="s">
        <v>161</v>
      </c>
      <c r="C8" s="15">
        <f>ROUND(C6/ C7, 2)</f>
        <v>0.99</v>
      </c>
      <c r="D8" s="15">
        <f t="shared" ref="D8:G8" si="0">ROUND(D6/ D7, 2)</f>
        <v>0.51</v>
      </c>
      <c r="E8" s="15">
        <f t="shared" si="0"/>
        <v>0.32</v>
      </c>
      <c r="F8" s="15">
        <f t="shared" si="0"/>
        <v>0.24</v>
      </c>
      <c r="G8" s="15">
        <f t="shared" si="0"/>
        <v>0.21</v>
      </c>
    </row>
  </sheetData>
  <mergeCells count="1">
    <mergeCell ref="B5:G5"/>
  </mergeCells>
  <hyperlinks>
    <hyperlink ref="F1" location="Index_Data!A1" tooltip="Hi click here To return Index page" display="Index_Data!A1" xr:uid="{679CE4CC-F258-40ED-BB20-147D2AFC954E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7866F-4093-4294-8423-7A9D0E2F1443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125201.27970056226</v>
      </c>
      <c r="D6" s="13">
        <f>Income_Statement!D33</f>
        <v>142941.89041414563</v>
      </c>
      <c r="E6" s="13">
        <f>Income_Statement!E33</f>
        <v>135707.05824483215</v>
      </c>
      <c r="F6" s="13">
        <f>Income_Statement!F33</f>
        <v>126800.09304889537</v>
      </c>
      <c r="G6" s="13">
        <f>Income_Statement!G33</f>
        <v>155832.37694437112</v>
      </c>
    </row>
    <row r="7" spans="2:15" ht="18.75" x14ac:dyDescent="0.25">
      <c r="B7" s="12" t="str">
        <f>Balance_Sheet!B21</f>
        <v>Total Debt</v>
      </c>
      <c r="C7" s="13">
        <f>Balance_Sheet!C21</f>
        <v>42519.71</v>
      </c>
      <c r="D7" s="13">
        <f>Balance_Sheet!D21</f>
        <v>49706.540000000008</v>
      </c>
      <c r="E7" s="13">
        <f>Balance_Sheet!E21</f>
        <v>62002.96</v>
      </c>
      <c r="F7" s="13">
        <f>Balance_Sheet!F21</f>
        <v>44907.509999999995</v>
      </c>
      <c r="G7" s="13">
        <f>Balance_Sheet!G21</f>
        <v>62308.4</v>
      </c>
    </row>
    <row r="8" spans="2:15" ht="18.75" x14ac:dyDescent="0.25">
      <c r="B8" s="12" t="str">
        <f>Balance_Sheet!B13</f>
        <v>Net Worth</v>
      </c>
      <c r="C8" s="13">
        <f>Balance_Sheet!C13</f>
        <v>36618.57</v>
      </c>
      <c r="D8" s="13">
        <f>Balance_Sheet!D13</f>
        <v>169076.84041414561</v>
      </c>
      <c r="E8" s="13">
        <f>Balance_Sheet!E13</f>
        <v>294940.66865897772</v>
      </c>
      <c r="F8" s="13">
        <f>Balance_Sheet!F13</f>
        <v>415741.51170787303</v>
      </c>
      <c r="G8" s="13">
        <f>Balance_Sheet!G13</f>
        <v>565784.70865224407</v>
      </c>
    </row>
    <row r="9" spans="2:15" ht="18.75" x14ac:dyDescent="0.25">
      <c r="B9" s="14" t="s">
        <v>163</v>
      </c>
      <c r="C9" s="15">
        <f>ROUND(C6/ (C7+ C7), 2)</f>
        <v>1.47</v>
      </c>
      <c r="D9" s="15">
        <f t="shared" ref="D9:G9" si="0">ROUND(D6/ (D7+ D7), 2)</f>
        <v>1.44</v>
      </c>
      <c r="E9" s="15">
        <f t="shared" si="0"/>
        <v>1.0900000000000001</v>
      </c>
      <c r="F9" s="15">
        <f t="shared" si="0"/>
        <v>1.41</v>
      </c>
      <c r="G9" s="15">
        <f t="shared" si="0"/>
        <v>1.25</v>
      </c>
    </row>
  </sheetData>
  <mergeCells count="1">
    <mergeCell ref="B5:G5"/>
  </mergeCells>
  <hyperlinks>
    <hyperlink ref="F1" location="Index_Data!A1" tooltip="Hi click here To return Index page" display="Index_Data!A1" xr:uid="{B98943B8-92A1-43DB-9A31-0FC1A348B27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37980-558C-4BBD-AEEB-9805E2CA847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119633.92970056225</v>
      </c>
      <c r="D6" s="13">
        <f>Income_Statement!D49</f>
        <v>136800.42041414563</v>
      </c>
      <c r="E6" s="13">
        <f>Income_Statement!E49</f>
        <v>131773.90824483213</v>
      </c>
      <c r="F6" s="13">
        <f>Income_Statement!F49</f>
        <v>125230.25304889536</v>
      </c>
      <c r="G6" s="13">
        <f>Income_Statement!G49</f>
        <v>150006.65694437109</v>
      </c>
    </row>
    <row r="7" spans="2:15" ht="18.75" x14ac:dyDescent="0.25">
      <c r="B7" s="12" t="str">
        <f>Balance_Sheet!B13</f>
        <v>Net Worth</v>
      </c>
      <c r="C7" s="13">
        <f>Balance_Sheet!C13</f>
        <v>36618.57</v>
      </c>
      <c r="D7" s="13">
        <f>Balance_Sheet!D13</f>
        <v>169076.84041414561</v>
      </c>
      <c r="E7" s="13">
        <f>Balance_Sheet!E13</f>
        <v>294940.66865897772</v>
      </c>
      <c r="F7" s="13">
        <f>Balance_Sheet!F13</f>
        <v>415741.51170787303</v>
      </c>
      <c r="G7" s="13">
        <f>Balance_Sheet!G13</f>
        <v>565784.70865224407</v>
      </c>
    </row>
    <row r="8" spans="2:15" ht="18.75" x14ac:dyDescent="0.25">
      <c r="B8" s="14" t="s">
        <v>165</v>
      </c>
      <c r="C8" s="15">
        <f>ROUND(C6/ (C7+ C7), 2)</f>
        <v>1.63</v>
      </c>
      <c r="D8" s="15">
        <f t="shared" ref="D8:G8" si="0">ROUND(D6/ (D7+ D7), 2)</f>
        <v>0.4</v>
      </c>
      <c r="E8" s="15">
        <f t="shared" si="0"/>
        <v>0.22</v>
      </c>
      <c r="F8" s="15">
        <f t="shared" si="0"/>
        <v>0.15</v>
      </c>
      <c r="G8" s="15">
        <f t="shared" si="0"/>
        <v>0.13</v>
      </c>
    </row>
  </sheetData>
  <mergeCells count="1">
    <mergeCell ref="B5:G5"/>
  </mergeCells>
  <hyperlinks>
    <hyperlink ref="F1" location="Index_Data!A1" tooltip="Hi click here To return Index page" display="Index_Data!A1" xr:uid="{416A2C86-CD3D-4EA9-9768-E4EFFB7E67A5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6600-5F5E-4107-BA80-6321180F1AA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42519.71</v>
      </c>
      <c r="D6" s="13">
        <f>Balance_Sheet!D21</f>
        <v>49706.540000000008</v>
      </c>
      <c r="E6" s="13">
        <f>Balance_Sheet!E21</f>
        <v>62002.96</v>
      </c>
      <c r="F6" s="13">
        <f>Balance_Sheet!F21</f>
        <v>44907.509999999995</v>
      </c>
      <c r="G6" s="13">
        <f>Balance_Sheet!G21</f>
        <v>62308.4</v>
      </c>
    </row>
    <row r="7" spans="2:15" ht="18.75" x14ac:dyDescent="0.25">
      <c r="B7" s="12" t="str">
        <f>Balance_Sheet!B13</f>
        <v>Net Worth</v>
      </c>
      <c r="C7" s="13">
        <f>Balance_Sheet!C13</f>
        <v>36618.57</v>
      </c>
      <c r="D7" s="13">
        <f>Balance_Sheet!D13</f>
        <v>169076.84041414561</v>
      </c>
      <c r="E7" s="13">
        <f>Balance_Sheet!E13</f>
        <v>294940.66865897772</v>
      </c>
      <c r="F7" s="13">
        <f>Balance_Sheet!F13</f>
        <v>415741.51170787303</v>
      </c>
      <c r="G7" s="13">
        <f>Balance_Sheet!G13</f>
        <v>565784.70865224407</v>
      </c>
    </row>
    <row r="8" spans="2:15" ht="18.75" x14ac:dyDescent="0.25">
      <c r="B8" s="14" t="s">
        <v>167</v>
      </c>
      <c r="C8" s="14">
        <f>ROUND(C6/ C7, 2)</f>
        <v>1.1599999999999999</v>
      </c>
      <c r="D8" s="14">
        <f t="shared" ref="D8:G8" si="0">ROUND(D6/ D7, 2)</f>
        <v>0.28999999999999998</v>
      </c>
      <c r="E8" s="14">
        <f t="shared" si="0"/>
        <v>0.21</v>
      </c>
      <c r="F8" s="14">
        <f t="shared" si="0"/>
        <v>0.11</v>
      </c>
      <c r="G8" s="14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57A5F415-F232-4CA6-8E21-07B7F79EC21D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C96DB-2265-43AC-BCA6-8372C98DDABA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41217.449999999997</v>
      </c>
      <c r="D6" s="13">
        <f>Balance_Sheet!D72</f>
        <v>189145.62041414558</v>
      </c>
      <c r="E6" s="13">
        <f>Balance_Sheet!E72</f>
        <v>319618.15865897771</v>
      </c>
      <c r="F6" s="13">
        <f>Balance_Sheet!F72</f>
        <v>436499.07170787308</v>
      </c>
      <c r="G6" s="13">
        <f>Balance_Sheet!G72</f>
        <v>596927.80865224416</v>
      </c>
    </row>
    <row r="7" spans="2:15" ht="18.75" x14ac:dyDescent="0.25">
      <c r="B7" s="12" t="str">
        <f>Balance_Sheet!B33</f>
        <v>Total Current Liabilities</v>
      </c>
      <c r="C7" s="13">
        <f>Balance_Sheet!C33</f>
        <v>39312.69</v>
      </c>
      <c r="D7" s="13">
        <f>Balance_Sheet!D33</f>
        <v>46389.08</v>
      </c>
      <c r="E7" s="13">
        <f>Balance_Sheet!E33</f>
        <v>50271.93</v>
      </c>
      <c r="F7" s="13">
        <f>Balance_Sheet!F33</f>
        <v>62529.440000000002</v>
      </c>
      <c r="G7" s="13">
        <f>Balance_Sheet!G33</f>
        <v>73314.61</v>
      </c>
    </row>
    <row r="8" spans="2:15" ht="18.75" x14ac:dyDescent="0.25">
      <c r="B8" s="14" t="s">
        <v>169</v>
      </c>
      <c r="C8" s="14">
        <f>ROUND(C6/ C7, 2)</f>
        <v>1.05</v>
      </c>
      <c r="D8" s="14">
        <f t="shared" ref="D8:G8" si="0">ROUND(D6/ D7, 2)</f>
        <v>4.08</v>
      </c>
      <c r="E8" s="14">
        <f t="shared" si="0"/>
        <v>6.36</v>
      </c>
      <c r="F8" s="14">
        <f t="shared" si="0"/>
        <v>6.98</v>
      </c>
      <c r="G8" s="14">
        <f t="shared" si="0"/>
        <v>8.14</v>
      </c>
    </row>
  </sheetData>
  <mergeCells count="1">
    <mergeCell ref="B5:G5"/>
  </mergeCells>
  <hyperlinks>
    <hyperlink ref="F1" location="Index_Data!A1" tooltip="Hi click here To return Index page" display="Index_Data!A1" xr:uid="{C42CBD85-C653-4FC2-85B5-A7C14251EE83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3301C-1F94-4802-877C-9E2F50CA2D90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278567.11</v>
      </c>
      <c r="D5" s="2">
        <v>339639</v>
      </c>
      <c r="E5" s="2">
        <v>328608.96999999997</v>
      </c>
      <c r="F5" s="2">
        <v>303229.69</v>
      </c>
      <c r="G5" s="2">
        <v>432569.62</v>
      </c>
      <c r="H5" t="s">
        <v>1</v>
      </c>
    </row>
    <row r="6" spans="1:15" x14ac:dyDescent="0.25">
      <c r="A6" t="s">
        <v>98</v>
      </c>
      <c r="B6" t="s">
        <v>98</v>
      </c>
      <c r="C6" s="2">
        <v>43542.879999999997</v>
      </c>
      <c r="D6" s="2">
        <v>42653.56</v>
      </c>
      <c r="E6" s="2">
        <v>45225.26</v>
      </c>
      <c r="F6" s="2">
        <v>74103.649999999994</v>
      </c>
      <c r="G6" s="2">
        <v>85778.54</v>
      </c>
      <c r="H6" t="s">
        <v>1</v>
      </c>
    </row>
    <row r="7" spans="1:15" x14ac:dyDescent="0.25">
      <c r="B7" t="s">
        <v>57</v>
      </c>
      <c r="C7" s="2">
        <v>235024.23</v>
      </c>
      <c r="D7" s="2">
        <v>296985.44</v>
      </c>
      <c r="E7" s="2">
        <v>283383.71000000002</v>
      </c>
      <c r="F7" s="2">
        <v>229126.04</v>
      </c>
      <c r="G7" s="2">
        <v>346791.08</v>
      </c>
      <c r="H7" t="s">
        <v>1</v>
      </c>
    </row>
    <row r="8" spans="1:15" x14ac:dyDescent="0.25">
      <c r="B8" t="s">
        <v>58</v>
      </c>
      <c r="C8" s="2">
        <v>235895.11</v>
      </c>
      <c r="D8" s="2">
        <v>298225.59000000003</v>
      </c>
      <c r="E8" s="2">
        <v>284571.90000000002</v>
      </c>
      <c r="F8" s="2">
        <v>230162.63</v>
      </c>
      <c r="G8" s="2">
        <v>346791.08</v>
      </c>
      <c r="H8" t="s">
        <v>1</v>
      </c>
    </row>
    <row r="9" spans="1:15" x14ac:dyDescent="0.25">
      <c r="A9" t="s">
        <v>59</v>
      </c>
      <c r="B9" t="s">
        <v>59</v>
      </c>
      <c r="C9" s="2">
        <v>1674.4</v>
      </c>
      <c r="D9" s="2">
        <v>2037.54</v>
      </c>
      <c r="E9" s="2">
        <v>1929.33</v>
      </c>
      <c r="F9" s="2">
        <v>2253.04</v>
      </c>
      <c r="G9" s="2">
        <v>2268.54</v>
      </c>
      <c r="H9" t="s">
        <v>1</v>
      </c>
    </row>
    <row r="10" spans="1:15" x14ac:dyDescent="0.25">
      <c r="B10" t="s">
        <v>60</v>
      </c>
      <c r="C10" s="2">
        <v>237569.51</v>
      </c>
      <c r="D10" s="2">
        <v>300263.13</v>
      </c>
      <c r="E10" s="2">
        <v>286501.23</v>
      </c>
      <c r="F10" s="2">
        <v>232415.67</v>
      </c>
      <c r="G10" s="2">
        <v>349059.62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90110.77</v>
      </c>
      <c r="D12" s="2">
        <v>130693.29</v>
      </c>
      <c r="E12" s="2">
        <v>121896.01</v>
      </c>
      <c r="F12" s="2">
        <v>78778.039999999994</v>
      </c>
      <c r="G12" s="2">
        <v>163541.19</v>
      </c>
      <c r="H12" t="s">
        <v>1</v>
      </c>
    </row>
    <row r="13" spans="1:15" x14ac:dyDescent="0.25">
      <c r="B13" t="s">
        <v>63</v>
      </c>
      <c r="C13" s="2">
        <v>111797.58</v>
      </c>
      <c r="D13" s="2">
        <v>132055.42000000001</v>
      </c>
      <c r="E13" s="2">
        <v>131769.19</v>
      </c>
      <c r="F13" s="2">
        <v>112364.28</v>
      </c>
      <c r="G13" s="2">
        <v>143901.70000000001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 s="2">
        <v>203.35</v>
      </c>
      <c r="D15" s="2">
        <v>-1606.26</v>
      </c>
      <c r="E15" s="2">
        <v>-1073.07</v>
      </c>
      <c r="F15" s="2">
        <v>-3743.56</v>
      </c>
      <c r="G15">
        <v>-4041.62</v>
      </c>
      <c r="H15" t="s">
        <v>1</v>
      </c>
    </row>
    <row r="16" spans="1:15" x14ac:dyDescent="0.25">
      <c r="A16" t="s">
        <v>99</v>
      </c>
      <c r="B16" t="s">
        <v>66</v>
      </c>
      <c r="C16" s="2">
        <v>3748.53</v>
      </c>
      <c r="D16" s="2">
        <v>3984.81</v>
      </c>
      <c r="E16" s="2">
        <v>4020.51</v>
      </c>
      <c r="F16" s="2">
        <v>4856.3500000000004</v>
      </c>
      <c r="G16" s="2">
        <v>3408</v>
      </c>
      <c r="H16" t="s">
        <v>1</v>
      </c>
    </row>
    <row r="17" spans="1:8" x14ac:dyDescent="0.25">
      <c r="A17" t="s">
        <v>100</v>
      </c>
      <c r="B17" t="s">
        <v>67</v>
      </c>
      <c r="C17" s="2">
        <v>1185.74</v>
      </c>
      <c r="D17" s="2">
        <v>1763.95</v>
      </c>
      <c r="E17" s="2">
        <v>2637.01</v>
      </c>
      <c r="F17" s="2">
        <v>1723.41</v>
      </c>
      <c r="G17" s="2">
        <v>2605.64</v>
      </c>
      <c r="H17" t="s">
        <v>1</v>
      </c>
    </row>
    <row r="18" spans="1:8" x14ac:dyDescent="0.25">
      <c r="A18" t="s">
        <v>101</v>
      </c>
      <c r="B18" t="s">
        <v>68</v>
      </c>
      <c r="C18" s="2">
        <v>2885</v>
      </c>
      <c r="D18" s="2">
        <v>3417.77</v>
      </c>
      <c r="E18" s="2">
        <v>4080.09</v>
      </c>
      <c r="F18" s="2">
        <v>4334.21</v>
      </c>
      <c r="G18" s="2">
        <v>5434.35</v>
      </c>
      <c r="H18" t="s">
        <v>1</v>
      </c>
    </row>
    <row r="19" spans="1:8" x14ac:dyDescent="0.25">
      <c r="A19" t="s">
        <v>99</v>
      </c>
      <c r="B19" t="s">
        <v>69</v>
      </c>
      <c r="C19" s="2">
        <v>14753.9</v>
      </c>
      <c r="D19" s="2">
        <v>17986.099999999999</v>
      </c>
      <c r="E19" s="2">
        <v>19610.240000000002</v>
      </c>
      <c r="F19" s="2">
        <v>16611.150000000001</v>
      </c>
      <c r="G19" s="2">
        <v>20844.509999999998</v>
      </c>
      <c r="H19" t="s">
        <v>1</v>
      </c>
    </row>
    <row r="20" spans="1:8" x14ac:dyDescent="0.25">
      <c r="B20" t="s">
        <v>70</v>
      </c>
      <c r="C20" s="2">
        <v>224684.87</v>
      </c>
      <c r="D20" s="2">
        <v>288295.08</v>
      </c>
      <c r="E20" s="2">
        <v>282939.98</v>
      </c>
      <c r="F20" s="2">
        <v>214923.88</v>
      </c>
      <c r="G20" s="2">
        <v>335693.77</v>
      </c>
      <c r="H20" t="s">
        <v>1</v>
      </c>
    </row>
    <row r="21" spans="1:8" x14ac:dyDescent="0.25">
      <c r="B21" t="s">
        <v>71</v>
      </c>
      <c r="C21" s="2">
        <v>12884.64</v>
      </c>
      <c r="D21" s="2">
        <v>11968.05</v>
      </c>
      <c r="E21" s="2">
        <v>3561.25</v>
      </c>
      <c r="F21" s="2">
        <v>17491.79</v>
      </c>
      <c r="G21" s="2">
        <v>13365.85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 s="2">
        <v>-1310.3499999999999</v>
      </c>
      <c r="F22">
        <v>5265.76</v>
      </c>
      <c r="G22">
        <v>1135.1500000000001</v>
      </c>
      <c r="H22" t="s">
        <v>1</v>
      </c>
    </row>
    <row r="23" spans="1:8" x14ac:dyDescent="0.25">
      <c r="B23" t="s">
        <v>73</v>
      </c>
      <c r="C23" s="2">
        <v>12884.64</v>
      </c>
      <c r="D23" s="2">
        <v>11968.05</v>
      </c>
      <c r="E23" s="2">
        <v>2250.9</v>
      </c>
      <c r="F23" s="2">
        <v>22757.55</v>
      </c>
      <c r="G23" s="2">
        <v>14501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3234.82</v>
      </c>
      <c r="D25" s="2">
        <v>3109.18</v>
      </c>
      <c r="E25">
        <v>629.96</v>
      </c>
      <c r="F25" s="2">
        <v>6165.29</v>
      </c>
      <c r="G25" s="2">
        <v>4355.2299999999996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1452.24</v>
      </c>
      <c r="D27" s="2">
        <v>1367.53</v>
      </c>
      <c r="E27">
        <v>-14.49</v>
      </c>
      <c r="F27" s="2">
        <v>-1135.27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4381.6099999999997</v>
      </c>
      <c r="D29" s="2">
        <v>4377.5200000000004</v>
      </c>
      <c r="E29">
        <v>-14.21</v>
      </c>
      <c r="F29" s="2">
        <v>5112.1899999999996</v>
      </c>
      <c r="G29" s="2">
        <v>4355.2299999999996</v>
      </c>
      <c r="H29" t="s">
        <v>1</v>
      </c>
    </row>
    <row r="30" spans="1:8" x14ac:dyDescent="0.25">
      <c r="B30" t="s">
        <v>80</v>
      </c>
      <c r="C30" s="2">
        <v>8503.0300000000007</v>
      </c>
      <c r="D30" s="2">
        <v>7590.53</v>
      </c>
      <c r="E30" s="2">
        <v>2265.11</v>
      </c>
      <c r="F30" s="2">
        <v>17645.36</v>
      </c>
      <c r="G30" s="2">
        <v>10145.77</v>
      </c>
      <c r="H30" t="s">
        <v>1</v>
      </c>
    </row>
    <row r="31" spans="1:8" x14ac:dyDescent="0.25">
      <c r="B31" t="s">
        <v>81</v>
      </c>
      <c r="C31" s="2">
        <v>8503.0300000000007</v>
      </c>
      <c r="D31" s="2">
        <v>7590.53</v>
      </c>
      <c r="E31" s="2">
        <v>2265.11</v>
      </c>
      <c r="F31" s="2">
        <v>17645.36</v>
      </c>
      <c r="G31" s="2">
        <v>10145.77</v>
      </c>
      <c r="H31" t="s">
        <v>1</v>
      </c>
    </row>
    <row r="32" spans="1:8" x14ac:dyDescent="0.25">
      <c r="B32" t="s">
        <v>82</v>
      </c>
      <c r="C32" s="2">
        <v>8503.0300000000007</v>
      </c>
      <c r="D32" s="2">
        <v>7590.53</v>
      </c>
      <c r="E32" s="2">
        <v>2265.11</v>
      </c>
      <c r="F32" s="2">
        <v>17645.36</v>
      </c>
      <c r="G32" s="2">
        <v>10145.77</v>
      </c>
      <c r="H32" t="s">
        <v>1</v>
      </c>
    </row>
    <row r="33" spans="1:8" x14ac:dyDescent="0.25">
      <c r="B33" t="s">
        <v>10</v>
      </c>
      <c r="C33">
        <v>-783.28</v>
      </c>
      <c r="D33" s="2">
        <v>-725.55</v>
      </c>
      <c r="E33">
        <v>-610.41999999999996</v>
      </c>
      <c r="F33">
        <v>-1154.8499999999999</v>
      </c>
      <c r="G33">
        <v>0</v>
      </c>
      <c r="H33" t="s">
        <v>1</v>
      </c>
    </row>
    <row r="34" spans="1:8" x14ac:dyDescent="0.25">
      <c r="B34" t="s">
        <v>83</v>
      </c>
      <c r="C34" s="2">
        <v>9008.6299999999992</v>
      </c>
      <c r="D34" s="2">
        <v>7802.3</v>
      </c>
      <c r="E34" s="2">
        <v>3055.36</v>
      </c>
      <c r="F34" s="2">
        <v>16164.98</v>
      </c>
      <c r="G34" s="2">
        <v>11681.5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46</v>
      </c>
      <c r="D37">
        <v>40</v>
      </c>
      <c r="E37">
        <v>16</v>
      </c>
      <c r="F37">
        <v>82</v>
      </c>
      <c r="G37">
        <v>55</v>
      </c>
      <c r="H37" t="s">
        <v>1</v>
      </c>
    </row>
    <row r="38" spans="1:8" x14ac:dyDescent="0.25">
      <c r="B38" t="s">
        <v>86</v>
      </c>
      <c r="C38">
        <v>46</v>
      </c>
      <c r="D38">
        <v>40</v>
      </c>
      <c r="E38">
        <v>16</v>
      </c>
      <c r="F38">
        <v>82</v>
      </c>
      <c r="G38">
        <v>55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2884.76</v>
      </c>
      <c r="D40" s="2">
        <v>3540.39</v>
      </c>
      <c r="E40" s="2">
        <v>4818.8599999999997</v>
      </c>
      <c r="F40" s="2">
        <v>4555.43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647.61</v>
      </c>
      <c r="D41">
        <v>801.76</v>
      </c>
      <c r="E41" s="2">
        <v>1091.23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C1DD81A1-F778-45CE-B003-AEA54B61D73D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CB7AC-9E57-4412-BE3B-A74E1C4CC26A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41217.449999999997</v>
      </c>
      <c r="D6" s="13">
        <f>Balance_Sheet!D72</f>
        <v>189145.62041414558</v>
      </c>
      <c r="E6" s="13">
        <f>Balance_Sheet!E72</f>
        <v>319618.15865897771</v>
      </c>
      <c r="F6" s="13">
        <f>Balance_Sheet!F72</f>
        <v>436499.07170787308</v>
      </c>
      <c r="G6" s="13">
        <f>Balance_Sheet!G72</f>
        <v>596927.80865224416</v>
      </c>
    </row>
    <row r="7" spans="2:15" ht="18.75" x14ac:dyDescent="0.25">
      <c r="B7" s="12" t="str">
        <f>Balance_Sheet!B66</f>
        <v>Inventories</v>
      </c>
      <c r="C7" s="13">
        <f>Balance_Sheet!C66</f>
        <v>22530.94</v>
      </c>
      <c r="D7" s="13">
        <f>Balance_Sheet!D66</f>
        <v>22934.87</v>
      </c>
      <c r="E7" s="13">
        <f>Balance_Sheet!E66</f>
        <v>22242.6</v>
      </c>
      <c r="F7" s="13">
        <f>Balance_Sheet!F66</f>
        <v>26706.02</v>
      </c>
      <c r="G7" s="13">
        <f>Balance_Sheet!G66</f>
        <v>42178.74</v>
      </c>
    </row>
    <row r="8" spans="2:15" ht="18.75" x14ac:dyDescent="0.25">
      <c r="B8" s="12" t="str">
        <f>Balance_Sheet!B33</f>
        <v>Total Current Liabilities</v>
      </c>
      <c r="C8" s="13">
        <f>Balance_Sheet!C33</f>
        <v>39312.69</v>
      </c>
      <c r="D8" s="13">
        <f>Balance_Sheet!D33</f>
        <v>46389.08</v>
      </c>
      <c r="E8" s="13">
        <f>Balance_Sheet!E33</f>
        <v>50271.93</v>
      </c>
      <c r="F8" s="13">
        <f>Balance_Sheet!F33</f>
        <v>62529.440000000002</v>
      </c>
      <c r="G8" s="13">
        <f>Balance_Sheet!G33</f>
        <v>73314.61</v>
      </c>
    </row>
    <row r="9" spans="2:15" ht="18.75" x14ac:dyDescent="0.25">
      <c r="B9" s="14" t="s">
        <v>171</v>
      </c>
      <c r="C9" s="14">
        <f>ROUND((C6-C7)/ C8, 2)</f>
        <v>0.48</v>
      </c>
      <c r="D9" s="14">
        <f t="shared" ref="D9:G9" si="0">ROUND((D6-D7)/ D8, 2)</f>
        <v>3.58</v>
      </c>
      <c r="E9" s="14">
        <f t="shared" si="0"/>
        <v>5.92</v>
      </c>
      <c r="F9" s="14">
        <f t="shared" si="0"/>
        <v>6.55</v>
      </c>
      <c r="G9" s="14">
        <f t="shared" si="0"/>
        <v>7.57</v>
      </c>
    </row>
  </sheetData>
  <mergeCells count="1">
    <mergeCell ref="B5:G5"/>
  </mergeCells>
  <hyperlinks>
    <hyperlink ref="F1" location="Index_Data!A1" tooltip="Hi click here To return Index page" display="Index_Data!A1" xr:uid="{6B7EDE8D-016B-43AC-925A-0334AA5C675D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2876-B5D5-4C9E-92BA-9C4D8FD5E81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125201.27970056226</v>
      </c>
      <c r="D6" s="13">
        <f>Income_Statement!D33</f>
        <v>142941.89041414563</v>
      </c>
      <c r="E6" s="13">
        <f>Income_Statement!E33</f>
        <v>135707.05824483215</v>
      </c>
      <c r="F6" s="13">
        <f>Income_Statement!F33</f>
        <v>126800.09304889537</v>
      </c>
      <c r="G6" s="13">
        <f>Income_Statement!G33</f>
        <v>155832.37694437112</v>
      </c>
    </row>
    <row r="7" spans="2:15" ht="18.75" x14ac:dyDescent="0.25">
      <c r="B7" s="12" t="str">
        <f>Income_Statement!B35</f>
        <v>Finance Costs</v>
      </c>
      <c r="C7" s="13">
        <f>Income_Statement!C35</f>
        <v>1185.74</v>
      </c>
      <c r="D7" s="13">
        <f>Income_Statement!D35</f>
        <v>1763.95</v>
      </c>
      <c r="E7" s="13">
        <f>Income_Statement!E35</f>
        <v>2637.01</v>
      </c>
      <c r="F7" s="13">
        <f>Income_Statement!F35</f>
        <v>1723.41</v>
      </c>
      <c r="G7" s="13">
        <f>Income_Statement!G35</f>
        <v>2605.64</v>
      </c>
    </row>
    <row r="8" spans="2:15" ht="18.75" x14ac:dyDescent="0.25">
      <c r="B8" s="14" t="s">
        <v>173</v>
      </c>
      <c r="C8" s="14">
        <f>ROUND(C6/C7, 2)</f>
        <v>105.59</v>
      </c>
      <c r="D8" s="14">
        <f t="shared" ref="D8:G8" si="0">ROUND(D6/D7, 2)</f>
        <v>81.040000000000006</v>
      </c>
      <c r="E8" s="14">
        <f t="shared" si="0"/>
        <v>51.46</v>
      </c>
      <c r="F8" s="14">
        <f t="shared" si="0"/>
        <v>73.58</v>
      </c>
      <c r="G8" s="14">
        <f t="shared" si="0"/>
        <v>59.81</v>
      </c>
    </row>
  </sheetData>
  <mergeCells count="1">
    <mergeCell ref="B5:G5"/>
  </mergeCells>
  <hyperlinks>
    <hyperlink ref="F1" location="Index_Data!A1" tooltip="Hi click here To return Index page" display="Index_Data!A1" xr:uid="{A0E20EBE-6AA7-48A0-A4A2-A64AAC329B1C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D46B-4C41-4231-9F9D-A0A545EE0FD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90110.77</v>
      </c>
      <c r="D6" s="13">
        <f>Income_Statement!D17</f>
        <v>130693.29</v>
      </c>
      <c r="E6" s="13">
        <f>Income_Statement!E17</f>
        <v>121896.01</v>
      </c>
      <c r="F6" s="13">
        <f>Income_Statement!F17</f>
        <v>78778.039999999994</v>
      </c>
      <c r="G6" s="13">
        <f>Income_Statement!G17</f>
        <v>163541.19</v>
      </c>
    </row>
    <row r="7" spans="2:15" ht="18.75" x14ac:dyDescent="0.25">
      <c r="B7" s="12" t="str">
        <f>Income_Statement!B9</f>
        <v>Net Sales</v>
      </c>
      <c r="C7" s="13">
        <f>Income_Statement!C9</f>
        <v>235024.22999999998</v>
      </c>
      <c r="D7" s="13">
        <f>Income_Statement!D9</f>
        <v>296985.44</v>
      </c>
      <c r="E7" s="13">
        <f>Income_Statement!E9</f>
        <v>283383.70999999996</v>
      </c>
      <c r="F7" s="13">
        <f>Income_Statement!F9</f>
        <v>229126.04</v>
      </c>
      <c r="G7" s="13">
        <f>Income_Statement!G9</f>
        <v>346791.08</v>
      </c>
    </row>
    <row r="8" spans="2:15" ht="18.75" x14ac:dyDescent="0.25">
      <c r="B8" s="14" t="s">
        <v>175</v>
      </c>
      <c r="C8" s="14">
        <f>ROUND(C6/C7, 2)</f>
        <v>0.38</v>
      </c>
      <c r="D8" s="14">
        <f t="shared" ref="D8:G8" si="0">ROUND(D6/D7, 2)</f>
        <v>0.44</v>
      </c>
      <c r="E8" s="14">
        <f t="shared" si="0"/>
        <v>0.43</v>
      </c>
      <c r="F8" s="14">
        <f t="shared" si="0"/>
        <v>0.34</v>
      </c>
      <c r="G8" s="14">
        <f t="shared" si="0"/>
        <v>0.47</v>
      </c>
    </row>
  </sheetData>
  <mergeCells count="1">
    <mergeCell ref="B5:G5"/>
  </mergeCells>
  <hyperlinks>
    <hyperlink ref="F1" location="Index_Data!A1" tooltip="Hi click here To return Index page" display="Index_Data!A1" xr:uid="{9811509D-0337-4CD9-946A-AB9C8E3B6AE9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B0B8B-531D-4CFC-9D56-C54F1EF473F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1353.86</v>
      </c>
      <c r="D6" s="13">
        <f>Balance_Sheet!D70</f>
        <v>140754.00041414559</v>
      </c>
      <c r="E6" s="13">
        <f>Balance_Sheet!E70</f>
        <v>274879.25865897775</v>
      </c>
      <c r="F6" s="13">
        <f>Balance_Sheet!F70</f>
        <v>391623.26170787308</v>
      </c>
      <c r="G6" s="13">
        <f>Balance_Sheet!G70</f>
        <v>534586.17865224415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90110.77</v>
      </c>
      <c r="D7" s="13">
        <f>Income_Statement!D17</f>
        <v>130693.29</v>
      </c>
      <c r="E7" s="13">
        <f>Income_Statement!E17</f>
        <v>121896.01</v>
      </c>
      <c r="F7" s="13">
        <f>Income_Statement!F17</f>
        <v>78778.039999999994</v>
      </c>
      <c r="G7" s="13">
        <f>Income_Statement!G17</f>
        <v>163541.19</v>
      </c>
    </row>
    <row r="8" spans="2:15" ht="18.75" x14ac:dyDescent="0.25">
      <c r="B8" s="14" t="s">
        <v>177</v>
      </c>
      <c r="C8" s="14">
        <f>ROUND(C6/C7*365, 2)</f>
        <v>5.48</v>
      </c>
      <c r="D8" s="14">
        <f t="shared" ref="D8:G8" si="0">ROUND(D6/D7*365, 2)</f>
        <v>393.1</v>
      </c>
      <c r="E8" s="14">
        <f t="shared" si="0"/>
        <v>823.09</v>
      </c>
      <c r="F8" s="14">
        <f t="shared" si="0"/>
        <v>1814.5</v>
      </c>
      <c r="G8" s="14">
        <f t="shared" si="0"/>
        <v>1193.1199999999999</v>
      </c>
    </row>
  </sheetData>
  <mergeCells count="1">
    <mergeCell ref="B5:G5"/>
  </mergeCells>
  <hyperlinks>
    <hyperlink ref="F1" location="Index_Data!A1" tooltip="Hi click here To return Index page" display="Index_Data!A1" xr:uid="{338FF056-4927-49DC-9799-CAAFC9759FBC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3FC6B-325A-42F4-ADAE-43A9FE1DB36D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5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1353.86</v>
      </c>
      <c r="D6" s="13">
        <f>Balance_Sheet!D70</f>
        <v>140754.00041414559</v>
      </c>
      <c r="E6" s="13">
        <f>Balance_Sheet!E70</f>
        <v>274879.25865897775</v>
      </c>
      <c r="F6" s="13">
        <f>Balance_Sheet!F70</f>
        <v>391623.26170787308</v>
      </c>
      <c r="G6" s="13">
        <f>Balance_Sheet!G70</f>
        <v>534586.17865224415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1353.86</v>
      </c>
      <c r="D8" s="14">
        <f t="shared" ref="D8:G8" si="0">ROUND(D6/D7*365, 2)</f>
        <v>140754</v>
      </c>
      <c r="E8" s="14">
        <f t="shared" si="0"/>
        <v>274879.26</v>
      </c>
      <c r="F8" s="14">
        <f t="shared" si="0"/>
        <v>391623.26</v>
      </c>
      <c r="G8" s="14">
        <f t="shared" si="0"/>
        <v>534586.18000000005</v>
      </c>
    </row>
  </sheetData>
  <mergeCells count="1">
    <mergeCell ref="B5:G5"/>
  </mergeCells>
  <hyperlinks>
    <hyperlink ref="F1" location="Index_Data!A1" tooltip="Hi click here To return Index page" display="Index_Data!A1" xr:uid="{CF9FF282-AD2E-420C-8C11-833659E42307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25844-4722-422C-AAEB-3F434F00CE0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Balance_Sheet!B74</f>
        <v>Total Assets</v>
      </c>
      <c r="C7" s="13">
        <f>Balance_Sheet!C74</f>
        <v>120356.06000000001</v>
      </c>
      <c r="D7" s="13">
        <f>Balance_Sheet!D74</f>
        <v>267242.50041414559</v>
      </c>
      <c r="E7" s="13">
        <f>Balance_Sheet!E74</f>
        <v>409271.8886589777</v>
      </c>
      <c r="F7" s="13">
        <f>Balance_Sheet!F74</f>
        <v>523178.4617078731</v>
      </c>
      <c r="G7" s="13">
        <f>Balance_Sheet!G74</f>
        <v>701407.71865224419</v>
      </c>
    </row>
    <row r="8" spans="2:15" ht="18.75" x14ac:dyDescent="0.25">
      <c r="B8" s="14" t="s">
        <v>182</v>
      </c>
      <c r="C8" s="14">
        <f>ROUND(C6/C7, 2)</f>
        <v>2.31</v>
      </c>
      <c r="D8" s="14">
        <f t="shared" ref="D8:G8" si="0">ROUND(D6/D7, 2)</f>
        <v>1.27</v>
      </c>
      <c r="E8" s="14">
        <f t="shared" si="0"/>
        <v>0.8</v>
      </c>
      <c r="F8" s="14">
        <f t="shared" si="0"/>
        <v>0.57999999999999996</v>
      </c>
      <c r="G8" s="14">
        <f t="shared" si="0"/>
        <v>0.62</v>
      </c>
    </row>
  </sheetData>
  <mergeCells count="1">
    <mergeCell ref="B5:G5"/>
  </mergeCells>
  <hyperlinks>
    <hyperlink ref="F1" location="Index_Data!A1" tooltip="Hi click here To return Index page" display="Index_Data!A1" xr:uid="{E0D1354E-65FB-43AC-8FA2-37F9195D8A1F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980D5-651C-46A3-90D8-F0040A72D8F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Balance_Sheet!B66</f>
        <v>Inventories</v>
      </c>
      <c r="C7" s="13">
        <f>Balance_Sheet!C66</f>
        <v>22530.94</v>
      </c>
      <c r="D7" s="13">
        <f>Balance_Sheet!D66</f>
        <v>22934.87</v>
      </c>
      <c r="E7" s="13">
        <f>Balance_Sheet!E66</f>
        <v>22242.6</v>
      </c>
      <c r="F7" s="13">
        <f>Balance_Sheet!F66</f>
        <v>26706.02</v>
      </c>
      <c r="G7" s="13">
        <f>Balance_Sheet!G66</f>
        <v>42178.74</v>
      </c>
    </row>
    <row r="8" spans="2:15" ht="18.75" x14ac:dyDescent="0.25">
      <c r="B8" s="14" t="s">
        <v>184</v>
      </c>
      <c r="C8" s="14">
        <f>ROUND(C6/C7, 2)</f>
        <v>12.36</v>
      </c>
      <c r="D8" s="14">
        <f t="shared" ref="D8:G8" si="0">ROUND(D6/D7, 2)</f>
        <v>14.81</v>
      </c>
      <c r="E8" s="14">
        <f t="shared" si="0"/>
        <v>14.77</v>
      </c>
      <c r="F8" s="14">
        <f t="shared" si="0"/>
        <v>11.35</v>
      </c>
      <c r="G8" s="14">
        <f t="shared" si="0"/>
        <v>10.26</v>
      </c>
    </row>
  </sheetData>
  <mergeCells count="1">
    <mergeCell ref="B5:G5"/>
  </mergeCells>
  <hyperlinks>
    <hyperlink ref="F1" location="Index_Data!A1" tooltip="Hi click here To return Index page" display="Index_Data!A1" xr:uid="{DE3CF75B-ED7D-4957-8346-A92E3FF022C7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90ED-FA9F-4259-9084-59EE7E562E8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Balance_Sheet!B68</f>
        <v>Trade Receivables</v>
      </c>
      <c r="C7" s="13">
        <f>Balance_Sheet!C68</f>
        <v>5209.28</v>
      </c>
      <c r="D7" s="13">
        <f>Balance_Sheet!D68</f>
        <v>6906.25</v>
      </c>
      <c r="E7" s="13">
        <f>Balance_Sheet!E68</f>
        <v>5378.02</v>
      </c>
      <c r="F7" s="13">
        <f>Balance_Sheet!F68</f>
        <v>7834.77</v>
      </c>
      <c r="G7" s="13">
        <f>Balance_Sheet!G68</f>
        <v>9707.4699999999993</v>
      </c>
    </row>
    <row r="8" spans="2:15" ht="18.75" x14ac:dyDescent="0.25">
      <c r="B8" s="14" t="s">
        <v>186</v>
      </c>
      <c r="C8" s="14">
        <f>ROUND(C6/C7, 2)</f>
        <v>53.48</v>
      </c>
      <c r="D8" s="14">
        <f t="shared" ref="D8:G8" si="0">ROUND(D6/D7, 2)</f>
        <v>49.18</v>
      </c>
      <c r="E8" s="14">
        <f t="shared" si="0"/>
        <v>61.1</v>
      </c>
      <c r="F8" s="14">
        <f t="shared" si="0"/>
        <v>38.700000000000003</v>
      </c>
      <c r="G8" s="14">
        <f t="shared" si="0"/>
        <v>44.56</v>
      </c>
    </row>
  </sheetData>
  <mergeCells count="1">
    <mergeCell ref="B5:G5"/>
  </mergeCells>
  <hyperlinks>
    <hyperlink ref="F1" location="Index_Data!A1" tooltip="Hi click here To return Index page" display="Index_Data!A1" xr:uid="{0810531E-4DEE-405F-984A-8C70D9C3756D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B389-D267-403A-A2D8-7E86FC0BD04E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Balance_Sheet!B40</f>
        <v>Tangible Assets</v>
      </c>
      <c r="C7" s="13">
        <f>Balance_Sheet!C40</f>
        <v>45260.94</v>
      </c>
      <c r="D7" s="13">
        <f>Balance_Sheet!D40</f>
        <v>48971.28</v>
      </c>
      <c r="E7" s="13">
        <f>Balance_Sheet!E40</f>
        <v>59793.97</v>
      </c>
      <c r="F7" s="13">
        <f>Balance_Sheet!F40</f>
        <v>63588.89</v>
      </c>
      <c r="G7" s="13">
        <f>Balance_Sheet!G40</f>
        <v>98130.43</v>
      </c>
    </row>
    <row r="8" spans="2:15" ht="18.75" x14ac:dyDescent="0.25">
      <c r="B8" s="14" t="s">
        <v>188</v>
      </c>
      <c r="C8" s="14">
        <f>ROUND(C6/C7, 2)</f>
        <v>6.15</v>
      </c>
      <c r="D8" s="14">
        <f t="shared" ref="D8:G8" si="0">ROUND(D6/D7, 2)</f>
        <v>6.94</v>
      </c>
      <c r="E8" s="14">
        <f t="shared" si="0"/>
        <v>5.5</v>
      </c>
      <c r="F8" s="14">
        <f t="shared" si="0"/>
        <v>4.7699999999999996</v>
      </c>
      <c r="G8" s="14">
        <f t="shared" si="0"/>
        <v>4.41</v>
      </c>
    </row>
  </sheetData>
  <mergeCells count="1">
    <mergeCell ref="B5:G5"/>
  </mergeCells>
  <hyperlinks>
    <hyperlink ref="F1" location="Index_Data!A1" tooltip="Hi click here To return Index page" display="Index_Data!A1" xr:uid="{FB4AC16E-6147-4F5F-8DC2-46D27C9EFB1E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B5FCE-F364-4C78-BF74-CA99894BC81E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90110.77</v>
      </c>
      <c r="D6" s="13">
        <f>Income_Statement!D17</f>
        <v>130693.29</v>
      </c>
      <c r="E6" s="13">
        <f>Income_Statement!E17</f>
        <v>121896.01</v>
      </c>
      <c r="F6" s="13">
        <f>Income_Statement!F17</f>
        <v>78778.039999999994</v>
      </c>
      <c r="G6" s="13">
        <f>Income_Statement!G17</f>
        <v>163541.19</v>
      </c>
    </row>
    <row r="7" spans="2:15" ht="18.75" x14ac:dyDescent="0.25">
      <c r="B7" s="12" t="str">
        <f>Balance_Sheet!B33</f>
        <v>Total Current Liabilities</v>
      </c>
      <c r="C7" s="13">
        <f>Balance_Sheet!C33</f>
        <v>39312.69</v>
      </c>
      <c r="D7" s="13">
        <f>Balance_Sheet!D33</f>
        <v>46389.08</v>
      </c>
      <c r="E7" s="13">
        <f>Balance_Sheet!E33</f>
        <v>50271.93</v>
      </c>
      <c r="F7" s="13">
        <f>Balance_Sheet!F33</f>
        <v>62529.440000000002</v>
      </c>
      <c r="G7" s="13">
        <f>Balance_Sheet!G33</f>
        <v>73314.61</v>
      </c>
    </row>
    <row r="8" spans="2:15" ht="18.75" x14ac:dyDescent="0.25">
      <c r="B8" s="14" t="s">
        <v>190</v>
      </c>
      <c r="C8" s="14">
        <f>ROUND(C6/C7, 2)</f>
        <v>2.29</v>
      </c>
      <c r="D8" s="14">
        <f t="shared" ref="D8:G8" si="0">ROUND(D6/D7, 2)</f>
        <v>2.82</v>
      </c>
      <c r="E8" s="14">
        <f t="shared" si="0"/>
        <v>2.42</v>
      </c>
      <c r="F8" s="14">
        <f t="shared" si="0"/>
        <v>1.26</v>
      </c>
      <c r="G8" s="14">
        <f t="shared" si="0"/>
        <v>2.23</v>
      </c>
    </row>
  </sheetData>
  <mergeCells count="1">
    <mergeCell ref="B5:G5"/>
  </mergeCells>
  <hyperlinks>
    <hyperlink ref="F1" location="Index_Data!A1" tooltip="Hi click here To return Index page" display="Index_Data!A1" xr:uid="{F1DB793E-7ED9-40BC-8C1A-DF144804EF4C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3C9A8-6598-4FD6-87BE-AF9AF1DB6A76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208D1B7C-A4DB-4CB0-A16E-AE920BFA0E98}"/>
    <hyperlink ref="A2" location="ISMInput!A1" tooltip="Hi click here to view the sheet" display="ISMInput!A1" xr:uid="{6E6AD099-BF0E-4896-9FDA-6E74C4086613}"/>
    <hyperlink ref="A4" location="Income_Statement!A1" tooltip="Hi click here to view the sheet" display="Income_Statement!A1" xr:uid="{4F8F56CE-F44F-40AC-A03F-3B1AA43686C4}"/>
    <hyperlink ref="A5" location="Balance_Sheet!A1" tooltip="Hi click here to view the sheet" display="Balance_Sheet!A1" xr:uid="{77507771-0F42-433B-BFA8-B7A2F2522643}"/>
    <hyperlink ref="A6" location="CashFlow_Statement!A1" tooltip="Hi click here to view the sheet" display="CashFlow_Statement!A1" xr:uid="{13181A1C-9C6C-4395-BDDD-B32A49D4FC53}"/>
    <hyperlink ref="A7" location="Ratios!A1" tooltip="Hi click here to view the sheet" display="Ratios!A1" xr:uid="{8DB4E172-1881-427B-A265-3A048CFDC8AA}"/>
    <hyperlink ref="A8" location="Earning__Per_Share!A1" tooltip="Hi click here to view the sheet" display="Earning__Per_Share!A1" xr:uid="{CCB30EB5-6958-4196-8A57-8A44DB8B763F}"/>
    <hyperlink ref="A9" location="Equity_Dividend_Per_Share!A1" tooltip="Hi click here to view the sheet" display="Equity_Dividend_Per_Share!A1" xr:uid="{44F0EC8C-DC4C-4DA7-BEE9-BE7E1399FF33}"/>
    <hyperlink ref="A10" location="Book_Value__Per_Share!A1" tooltip="Hi click here to view the sheet" display="Book_Value__Per_Share!A1" xr:uid="{9A02F173-613C-40FA-81E4-5F6E3B05F2DA}"/>
    <hyperlink ref="A11" location="Dividend_Pay_Out_Ratio!A1" tooltip="Hi click here to view the sheet" display="Dividend_Pay_Out_Ratio!A1" xr:uid="{191BCEB3-302F-4067-8A5B-88D4BA3E12BE}"/>
    <hyperlink ref="A12" location="Dividend_Retention_Ratio!A1" tooltip="Hi click here to view the sheet" display="Dividend_Retention_Ratio!A1" xr:uid="{B5CB4400-B5DC-4B52-B432-3E77CC5BE14A}"/>
    <hyperlink ref="A13" location="Gross_Profit!A1" tooltip="Hi click here to view the sheet" display="Gross_Profit!A1" xr:uid="{AB36249B-141A-4261-BA3C-C3D3AB5A5541}"/>
    <hyperlink ref="A14" location="Net_Profit!A1" tooltip="Hi click here to view the sheet" display="Net_Profit!A1" xr:uid="{D6710289-6A65-4316-9104-E5A68ED404BE}"/>
    <hyperlink ref="A15" location="Return_On_Assets!A1" tooltip="Hi click here to view the sheet" display="Return_On_Assets!A1" xr:uid="{3E4609ED-9776-4EE0-8882-F2E34747D4C1}"/>
    <hyperlink ref="A16" location="Return_On_Capital_Employeed!A1" tooltip="Hi click here to view the sheet" display="Return_On_Capital_Employeed!A1" xr:uid="{6CE500A6-9687-4364-A018-8A0187338EAC}"/>
    <hyperlink ref="A17" location="Return_On_Equity!A1" tooltip="Hi click here to view the sheet" display="Return_On_Equity!A1" xr:uid="{8CDBEFA5-C076-4473-80BF-361937B640C5}"/>
    <hyperlink ref="A18" location="Debt_Equity_Ratio!A1" tooltip="Hi click here to view the sheet" display="Debt_Equity_Ratio!A1" xr:uid="{11AE7AB5-DCC0-4A7A-A131-253F820CEFA6}"/>
    <hyperlink ref="A19" location="Current_Ratio!A1" tooltip="Hi click here to view the sheet" display="Current_Ratio!A1" xr:uid="{205A27EA-C3EA-450D-827F-3D7D9D14D0F9}"/>
    <hyperlink ref="A20" location="Quick_Ratio!A1" tooltip="Hi click here to view the sheet" display="Quick_Ratio!A1" xr:uid="{FBA40A15-EA1A-4775-8B29-D62DA942FDD7}"/>
    <hyperlink ref="A21" location="Interest_Coverage_Ratio!A1" tooltip="Hi click here to view the sheet" display="Interest_Coverage_Ratio!A1" xr:uid="{5FE36F89-77A4-42F0-8CEF-268949D33B7F}"/>
    <hyperlink ref="A22" location="Material_Consumed!A1" tooltip="Hi click here to view the sheet" display="Material_Consumed!A1" xr:uid="{3D6B2255-C406-4A3A-B0A0-1469909307C7}"/>
    <hyperlink ref="A23" location="Defensive_Interval_Ratio!A1" tooltip="Hi click here to view the sheet" display="Defensive_Interval_Ratio!A1" xr:uid="{9B5BD77F-A2E6-4222-A3A8-9F9899E336F9}"/>
    <hyperlink ref="A24" location="Purchases_Per_Day!A1" tooltip="Hi click here to view the sheet" display="Purchases_Per_Day!A1" xr:uid="{0182EBDF-B2A3-457A-8706-CE7094B59AB1}"/>
    <hyperlink ref="A25" location="Asset_TurnOver_Ratio!A1" tooltip="Hi click here to view the sheet" display="Asset_TurnOver_Ratio!A1" xr:uid="{5BF7F21F-EEE6-4972-AAE2-20326FC6C958}"/>
    <hyperlink ref="A26" location="Inventory_TurnOver_Ratio!A1" tooltip="Hi click here to view the sheet" display="Inventory_TurnOver_Ratio!A1" xr:uid="{14C52AD8-1151-4230-BA55-8755C94763B5}"/>
    <hyperlink ref="A27" location="Debtors_TurnOver_Ratio!A1" tooltip="Hi click here to view the sheet" display="Debtors_TurnOver_Ratio!A1" xr:uid="{87E64145-BFE9-4FCA-9FDB-2527DA61E44C}"/>
    <hyperlink ref="A28" location="Fixed_Assets_TurnOver_Ratio!A1" tooltip="Hi click here to view the sheet" display="Fixed_Assets_TurnOver_Ratio!A1" xr:uid="{826908F8-422C-47B5-9E6E-D89D7D49575E}"/>
    <hyperlink ref="A29" location="Payable_TurnOver_Ratio!A1" tooltip="Hi click here to view the sheet" display="Payable_TurnOver_Ratio!A1" xr:uid="{797EBC49-343A-45CE-BBEB-96ADB04CA732}"/>
    <hyperlink ref="A30" location="Inventory_Days!A1" tooltip="Hi click here to view the sheet" display="Inventory_Days!A1" xr:uid="{8F1536CF-9D54-4DBE-87D1-93964718270A}"/>
    <hyperlink ref="A31" location="Payable_Days!A1" tooltip="Hi click here to view the sheet" display="Payable_Days!A1" xr:uid="{FE9EB4E5-1611-4877-83E6-5592133A7913}"/>
    <hyperlink ref="A32" location="Receivable_Days!A1" tooltip="Hi click here to view the sheet" display="Receivable_Days!A1" xr:uid="{A48CE4B9-1354-41A3-894B-C69534887BEA}"/>
    <hyperlink ref="A33" location="Operating_Cycle!A1" tooltip="Hi click here to view the sheet" display="Operating_Cycle!A1" xr:uid="{7A40E447-BFFE-424A-8FB9-023CB595F2BF}"/>
    <hyperlink ref="A34" location="Cash_Conversion_Cycle_Days!A1" tooltip="Hi click here to view the sheet" display="Cash_Conversion_Cycle_Days!A1" xr:uid="{83300F5C-A3A9-4BF6-8441-DB5B060A5CD1}"/>
    <hyperlink ref="A35" location="NetWorthVsTotalLiabilties!A1" tooltip="Hi click here to view the sheet" display="NetWorthVsTotalLiabilties!A1" xr:uid="{6A3D5AF6-F99E-4D56-95F9-972075DC4843}"/>
    <hyperlink ref="A36" location="PBDITvsPBIT!A1" tooltip="Hi click here to view the sheet" display="PBDITvsPBIT!A1" xr:uid="{5C6205CD-1D1F-4304-91F0-82CCD57E3B5B}"/>
    <hyperlink ref="A37" location="CAvsCL!A1" tooltip="Hi click here to view the sheet" display="CAvsCL!A1" xr:uid="{38727B0C-543D-4E61-8066-911F2501F686}"/>
    <hyperlink ref="A38" location="Long_And_Short_Term_Provisions!A1" tooltip="Hi click here to view the sheet" display="Long_And_Short_Term_Provisions!A1" xr:uid="{ABF83748-0B92-4D1C-AA4A-0C6867BC0C68}"/>
    <hyperlink ref="A39" location="MaterialConsumed_DirectExpenses!A1" tooltip="Hi click here to view the sheet" display="MaterialConsumed_DirectExpenses!A1" xr:uid="{56A70D7C-7F98-4B02-B673-EF49114DC314}"/>
    <hyperlink ref="A40" location="Gross_Sales_In_Total_Income!A1" tooltip="Hi click here to view the sheet" display="Gross_Sales_In_Total_Income!A1" xr:uid="{6951BB6A-E8E2-4228-BB86-403C15D73BBA}"/>
    <hyperlink ref="A41" location="Total_Debt_In_Liabilities!A1" tooltip="Hi click here to view the sheet" display="Total_Debt_In_Liabilities!A1" xr:uid="{D167F5BA-7A2C-4917-BDD9-DA2E153CBDC5}"/>
    <hyperlink ref="A42" location="Total_CL_In_Liabilities!A1" tooltip="Hi click here to view the sheet" display="Total_CL_In_Liabilities!A1" xr:uid="{C6DAD9EB-DC36-44C6-92A5-D648429D83BA}"/>
    <hyperlink ref="A43" location="Total_NCA_In_Assets!A1" tooltip="Hi click here to view the sheet" display="Total_NCA_In_Assets!A1" xr:uid="{1B5912F6-9A3C-4DF7-8FFC-80D2F7BCDEAB}"/>
    <hyperlink ref="A44" location="Total_CA_In_Assets!A1" tooltip="Hi click here to view the sheet" display="Total_CA_In_Assets!A1" xr:uid="{081E46BC-B08D-4735-A76A-CDFB2ECEB5C8}"/>
    <hyperlink ref="A45" location="TotalExpenditureVsTotalIncome!A1" tooltip="Hi click here to view the sheet" display="TotalExpenditureVsTotalIncome!A1" xr:uid="{CCCDE05D-7378-463A-B7F8-F3019D6DC536}"/>
    <hyperlink ref="A46" location="Net_Profit_CF_To_Balance_Sheet!A1" tooltip="Hi click here to view the sheet" display="Net_Profit_CF_To_Balance_Sheet!A1" xr:uid="{5DD0792C-A745-4007-8644-F2622DA15761}"/>
    <hyperlink ref="A47" location="BS_Backup!A1" tooltip="Hi click here to view the sheet" display="BS_Backup!A1" xr:uid="{6AD1C012-7D14-48B2-8ABE-1F174302A870}"/>
    <hyperlink ref="A48" location="ISM_Backup!A1" tooltip="Hi click here to view the sheet" display="ISM_Backup!A1" xr:uid="{EB7DADCF-AC07-4016-9AC8-DA4FA4BE3D0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C522-612C-4EBD-8F94-8FEF74B56F2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Balance_Sheet!B66</f>
        <v>Inventories</v>
      </c>
      <c r="C7" s="13">
        <f>Balance_Sheet!C66</f>
        <v>22530.94</v>
      </c>
      <c r="D7" s="13">
        <f>Balance_Sheet!D66</f>
        <v>22934.87</v>
      </c>
      <c r="E7" s="13">
        <f>Balance_Sheet!E66</f>
        <v>22242.6</v>
      </c>
      <c r="F7" s="13">
        <f>Balance_Sheet!F66</f>
        <v>26706.02</v>
      </c>
      <c r="G7" s="13">
        <f>Balance_Sheet!G66</f>
        <v>42178.74</v>
      </c>
    </row>
    <row r="8" spans="2:15" ht="18.75" x14ac:dyDescent="0.25">
      <c r="B8" s="14" t="s">
        <v>192</v>
      </c>
      <c r="C8" s="14">
        <f>ROUND(365/C6*C7, 2)</f>
        <v>29.52</v>
      </c>
      <c r="D8" s="14">
        <f t="shared" ref="D8:G8" si="0">ROUND(365/D6*D7, 2)</f>
        <v>24.65</v>
      </c>
      <c r="E8" s="14">
        <f t="shared" si="0"/>
        <v>24.71</v>
      </c>
      <c r="F8" s="14">
        <f t="shared" si="0"/>
        <v>32.15</v>
      </c>
      <c r="G8" s="14">
        <f t="shared" si="0"/>
        <v>35.590000000000003</v>
      </c>
    </row>
  </sheetData>
  <mergeCells count="1">
    <mergeCell ref="B5:G5"/>
  </mergeCells>
  <hyperlinks>
    <hyperlink ref="F1" location="Index_Data!A1" tooltip="Hi click here To return Index page" display="Index_Data!A1" xr:uid="{E4E67325-FD5F-4BD2-9D7C-4CAC20A6E308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F1AA-2906-4E37-A25C-4297D772EF77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90110.77</v>
      </c>
      <c r="D6" s="13">
        <f>Income_Statement!D17</f>
        <v>130693.29</v>
      </c>
      <c r="E6" s="13">
        <f>Income_Statement!E17</f>
        <v>121896.01</v>
      </c>
      <c r="F6" s="13">
        <f>Income_Statement!F17</f>
        <v>78778.039999999994</v>
      </c>
      <c r="G6" s="13">
        <f>Income_Statement!G17</f>
        <v>163541.19</v>
      </c>
    </row>
    <row r="7" spans="2:15" ht="18.75" x14ac:dyDescent="0.25">
      <c r="B7" s="12" t="str">
        <f>Balance_Sheet!B33</f>
        <v>Total Current Liabilities</v>
      </c>
      <c r="C7" s="13">
        <f>Balance_Sheet!C33</f>
        <v>39312.69</v>
      </c>
      <c r="D7" s="13">
        <f>Balance_Sheet!D33</f>
        <v>46389.08</v>
      </c>
      <c r="E7" s="13">
        <f>Balance_Sheet!E33</f>
        <v>50271.93</v>
      </c>
      <c r="F7" s="13">
        <f>Balance_Sheet!F33</f>
        <v>62529.440000000002</v>
      </c>
      <c r="G7" s="13">
        <f>Balance_Sheet!G33</f>
        <v>73314.61</v>
      </c>
    </row>
    <row r="8" spans="2:15" ht="18.75" x14ac:dyDescent="0.25">
      <c r="B8" s="14" t="s">
        <v>194</v>
      </c>
      <c r="C8" s="14">
        <f>ROUND(365/C6*C7, 2)</f>
        <v>159.24</v>
      </c>
      <c r="D8" s="14">
        <f t="shared" ref="D8:G8" si="0">ROUND(365/D6*D7, 2)</f>
        <v>129.56</v>
      </c>
      <c r="E8" s="14">
        <f t="shared" si="0"/>
        <v>150.53</v>
      </c>
      <c r="F8" s="14">
        <f t="shared" si="0"/>
        <v>289.72000000000003</v>
      </c>
      <c r="G8" s="14">
        <f t="shared" si="0"/>
        <v>163.63</v>
      </c>
    </row>
  </sheetData>
  <mergeCells count="1">
    <mergeCell ref="B5:G5"/>
  </mergeCells>
  <hyperlinks>
    <hyperlink ref="F1" location="Index_Data!A1" tooltip="Hi click here To return Index page" display="Index_Data!A1" xr:uid="{D052D45F-CD3E-408C-A4A1-DF39F5E3107D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531CE-B96A-4B40-BC9C-B9B6C384B2F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Balance_Sheet!B68</f>
        <v>Trade Receivables</v>
      </c>
      <c r="C7" s="13">
        <f>Balance_Sheet!C68</f>
        <v>5209.28</v>
      </c>
      <c r="D7" s="13">
        <f>Balance_Sheet!D68</f>
        <v>6906.25</v>
      </c>
      <c r="E7" s="13">
        <f>Balance_Sheet!E68</f>
        <v>5378.02</v>
      </c>
      <c r="F7" s="13">
        <f>Balance_Sheet!F68</f>
        <v>7834.77</v>
      </c>
      <c r="G7" s="13">
        <f>Balance_Sheet!G68</f>
        <v>9707.4699999999993</v>
      </c>
    </row>
    <row r="8" spans="2:15" ht="18.75" x14ac:dyDescent="0.25">
      <c r="B8" s="14" t="s">
        <v>196</v>
      </c>
      <c r="C8" s="14">
        <f>ROUND(365/C6*C7, 2)</f>
        <v>6.83</v>
      </c>
      <c r="D8" s="14">
        <f t="shared" ref="D8:G8" si="0">ROUND(365/D6*D7, 2)</f>
        <v>7.42</v>
      </c>
      <c r="E8" s="14">
        <f t="shared" si="0"/>
        <v>5.97</v>
      </c>
      <c r="F8" s="14">
        <f t="shared" si="0"/>
        <v>9.43</v>
      </c>
      <c r="G8" s="14">
        <f t="shared" si="0"/>
        <v>8.19</v>
      </c>
    </row>
  </sheetData>
  <mergeCells count="1">
    <mergeCell ref="B5:G5"/>
  </mergeCells>
  <hyperlinks>
    <hyperlink ref="F1" location="Index_Data!A1" tooltip="Hi click here To return Index page" display="Index_Data!A1" xr:uid="{D29D0BB1-3E37-4E29-A10D-807A7A2D84B0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7C13B-F7A0-48B8-9069-60C1F2DFBE3F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Balance_Sheet!B66</f>
        <v>Inventories</v>
      </c>
      <c r="C7" s="13">
        <f>Balance_Sheet!C66</f>
        <v>22530.94</v>
      </c>
      <c r="D7" s="13">
        <f>Balance_Sheet!D66</f>
        <v>22934.87</v>
      </c>
      <c r="E7" s="13">
        <f>Balance_Sheet!E66</f>
        <v>22242.6</v>
      </c>
      <c r="F7" s="13">
        <f>Balance_Sheet!F66</f>
        <v>26706.02</v>
      </c>
      <c r="G7" s="13">
        <f>Balance_Sheet!G66</f>
        <v>42178.74</v>
      </c>
    </row>
    <row r="8" spans="2:15" ht="18.75" x14ac:dyDescent="0.25">
      <c r="B8" s="12" t="s">
        <v>192</v>
      </c>
      <c r="C8" s="13">
        <f>ROUND(365/C6*C7, 2)</f>
        <v>29.52</v>
      </c>
      <c r="D8" s="13">
        <f t="shared" ref="D8:G8" si="0">ROUND(365/D6*D7, 2)</f>
        <v>24.65</v>
      </c>
      <c r="E8" s="13">
        <f t="shared" si="0"/>
        <v>24.71</v>
      </c>
      <c r="F8" s="13">
        <f t="shared" si="0"/>
        <v>32.15</v>
      </c>
      <c r="G8" s="13">
        <f t="shared" si="0"/>
        <v>35.590000000000003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90110.77</v>
      </c>
      <c r="D9" s="13">
        <f>Income_Statement!D17</f>
        <v>130693.29</v>
      </c>
      <c r="E9" s="13">
        <f>Income_Statement!E17</f>
        <v>121896.01</v>
      </c>
      <c r="F9" s="13">
        <f>Income_Statement!F17</f>
        <v>78778.039999999994</v>
      </c>
      <c r="G9" s="13">
        <f>Income_Statement!G17</f>
        <v>163541.19</v>
      </c>
    </row>
    <row r="10" spans="2:15" ht="18.75" x14ac:dyDescent="0.25">
      <c r="B10" s="12" t="str">
        <f>Balance_Sheet!B33</f>
        <v>Total Current Liabilities</v>
      </c>
      <c r="C10" s="13">
        <f>Balance_Sheet!C33</f>
        <v>39312.69</v>
      </c>
      <c r="D10" s="13">
        <f>Balance_Sheet!D33</f>
        <v>46389.08</v>
      </c>
      <c r="E10" s="13">
        <f>Balance_Sheet!E33</f>
        <v>50271.93</v>
      </c>
      <c r="F10" s="13">
        <f>Balance_Sheet!F33</f>
        <v>62529.440000000002</v>
      </c>
      <c r="G10" s="13">
        <f>Balance_Sheet!G33</f>
        <v>73314.61</v>
      </c>
    </row>
    <row r="11" spans="2:15" ht="18.75" x14ac:dyDescent="0.25">
      <c r="B11" s="12" t="s">
        <v>194</v>
      </c>
      <c r="C11" s="13">
        <f>ROUND(365/C9*C10, 2)</f>
        <v>159.24</v>
      </c>
      <c r="D11" s="13">
        <f t="shared" ref="D11:G11" si="1">ROUND(365/D9*D10, 2)</f>
        <v>129.56</v>
      </c>
      <c r="E11" s="13">
        <f t="shared" si="1"/>
        <v>150.53</v>
      </c>
      <c r="F11" s="13">
        <f t="shared" si="1"/>
        <v>289.72000000000003</v>
      </c>
      <c r="G11" s="13">
        <f t="shared" si="1"/>
        <v>163.63</v>
      </c>
    </row>
    <row r="12" spans="2:15" ht="18.75" x14ac:dyDescent="0.25">
      <c r="B12" s="14" t="s">
        <v>198</v>
      </c>
      <c r="C12" s="16">
        <f>ROUND(C11+C8, 2)</f>
        <v>188.76</v>
      </c>
      <c r="D12" s="16">
        <f t="shared" ref="D12:G12" si="2">ROUND(D11+D8, 2)</f>
        <v>154.21</v>
      </c>
      <c r="E12" s="16">
        <f t="shared" si="2"/>
        <v>175.24</v>
      </c>
      <c r="F12" s="16">
        <f t="shared" si="2"/>
        <v>321.87</v>
      </c>
      <c r="G12" s="16">
        <f t="shared" si="2"/>
        <v>199.22</v>
      </c>
    </row>
  </sheetData>
  <mergeCells count="1">
    <mergeCell ref="B5:G5"/>
  </mergeCells>
  <hyperlinks>
    <hyperlink ref="F1" location="Index_Data!A1" tooltip="Hi click here To return Index page" display="Index_Data!A1" xr:uid="{2D5DF3DB-A1B9-4354-B209-79F0555D2690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38FB7-469C-45E8-9FF5-7065FD2F08AE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278567.11</v>
      </c>
      <c r="D6" s="13">
        <f>Income_Statement!D5</f>
        <v>339639</v>
      </c>
      <c r="E6" s="13">
        <f>Income_Statement!E5</f>
        <v>328608.96999999997</v>
      </c>
      <c r="F6" s="13">
        <f>Income_Statement!F5</f>
        <v>303229.69</v>
      </c>
      <c r="G6" s="13">
        <f>Income_Statement!G5</f>
        <v>432569.62</v>
      </c>
    </row>
    <row r="7" spans="2:15" ht="18.75" x14ac:dyDescent="0.25">
      <c r="B7" s="12" t="str">
        <f>Balance_Sheet!B66</f>
        <v>Inventories</v>
      </c>
      <c r="C7" s="13">
        <f>Balance_Sheet!C66</f>
        <v>22530.94</v>
      </c>
      <c r="D7" s="13">
        <f>Balance_Sheet!D66</f>
        <v>22934.87</v>
      </c>
      <c r="E7" s="13">
        <f>Balance_Sheet!E66</f>
        <v>22242.6</v>
      </c>
      <c r="F7" s="13">
        <f>Balance_Sheet!F66</f>
        <v>26706.02</v>
      </c>
      <c r="G7" s="13">
        <f>Balance_Sheet!G66</f>
        <v>42178.74</v>
      </c>
    </row>
    <row r="8" spans="2:15" ht="18.75" x14ac:dyDescent="0.25">
      <c r="B8" s="12" t="s">
        <v>192</v>
      </c>
      <c r="C8" s="13">
        <f>ROUND(365/C6*C7, 2)</f>
        <v>29.52</v>
      </c>
      <c r="D8" s="13">
        <f t="shared" ref="D8:G8" si="0">ROUND(365/D6*D7, 2)</f>
        <v>24.65</v>
      </c>
      <c r="E8" s="13">
        <f t="shared" si="0"/>
        <v>24.71</v>
      </c>
      <c r="F8" s="13">
        <f t="shared" si="0"/>
        <v>32.15</v>
      </c>
      <c r="G8" s="13">
        <f t="shared" si="0"/>
        <v>35.590000000000003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90110.77</v>
      </c>
      <c r="D9" s="13">
        <f>Income_Statement!D17</f>
        <v>130693.29</v>
      </c>
      <c r="E9" s="13">
        <f>Income_Statement!E17</f>
        <v>121896.01</v>
      </c>
      <c r="F9" s="13">
        <f>Income_Statement!F17</f>
        <v>78778.039999999994</v>
      </c>
      <c r="G9" s="13">
        <f>Income_Statement!G17</f>
        <v>163541.19</v>
      </c>
    </row>
    <row r="10" spans="2:15" ht="18.75" x14ac:dyDescent="0.25">
      <c r="B10" s="12" t="str">
        <f>Balance_Sheet!B33</f>
        <v>Total Current Liabilities</v>
      </c>
      <c r="C10" s="13">
        <f>Balance_Sheet!C33</f>
        <v>39312.69</v>
      </c>
      <c r="D10" s="13">
        <f>Balance_Sheet!D33</f>
        <v>46389.08</v>
      </c>
      <c r="E10" s="13">
        <f>Balance_Sheet!E33</f>
        <v>50271.93</v>
      </c>
      <c r="F10" s="13">
        <f>Balance_Sheet!F33</f>
        <v>62529.440000000002</v>
      </c>
      <c r="G10" s="13">
        <f>Balance_Sheet!G33</f>
        <v>73314.61</v>
      </c>
    </row>
    <row r="11" spans="2:15" ht="18.75" x14ac:dyDescent="0.25">
      <c r="B11" s="12" t="s">
        <v>194</v>
      </c>
      <c r="C11" s="13">
        <f>ROUND(365/C9*C10, 2)</f>
        <v>159.24</v>
      </c>
      <c r="D11" s="13">
        <f t="shared" ref="D11:G11" si="1">ROUND(365/D9*D10, 2)</f>
        <v>129.56</v>
      </c>
      <c r="E11" s="13">
        <f t="shared" si="1"/>
        <v>150.53</v>
      </c>
      <c r="F11" s="13">
        <f t="shared" si="1"/>
        <v>289.72000000000003</v>
      </c>
      <c r="G11" s="13">
        <f t="shared" si="1"/>
        <v>163.63</v>
      </c>
    </row>
    <row r="12" spans="2:15" ht="18.75" x14ac:dyDescent="0.25">
      <c r="B12" s="12" t="s">
        <v>200</v>
      </c>
      <c r="C12" s="13">
        <f>ROUND(C11+C8, 2)</f>
        <v>188.76</v>
      </c>
      <c r="D12" s="13">
        <f t="shared" ref="D12:G12" si="2">ROUND(D11+D8, 2)</f>
        <v>154.21</v>
      </c>
      <c r="E12" s="13">
        <f t="shared" si="2"/>
        <v>175.24</v>
      </c>
      <c r="F12" s="13">
        <f t="shared" si="2"/>
        <v>321.87</v>
      </c>
      <c r="G12" s="13">
        <f t="shared" si="2"/>
        <v>199.22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90110.77</v>
      </c>
      <c r="D13" s="13">
        <f>Income_Statement!D17</f>
        <v>130693.29</v>
      </c>
      <c r="E13" s="13">
        <f>Income_Statement!E17</f>
        <v>121896.01</v>
      </c>
      <c r="F13" s="13">
        <f>Income_Statement!F17</f>
        <v>78778.039999999994</v>
      </c>
      <c r="G13" s="13">
        <f>Income_Statement!G17</f>
        <v>163541.19</v>
      </c>
    </row>
    <row r="14" spans="2:15" ht="18.75" x14ac:dyDescent="0.25">
      <c r="B14" s="12" t="str">
        <f>Balance_Sheet!B33</f>
        <v>Total Current Liabilities</v>
      </c>
      <c r="C14" s="13">
        <f>Balance_Sheet!C33</f>
        <v>39312.69</v>
      </c>
      <c r="D14" s="13">
        <f>Balance_Sheet!D33</f>
        <v>46389.08</v>
      </c>
      <c r="E14" s="13">
        <f>Balance_Sheet!E33</f>
        <v>50271.93</v>
      </c>
      <c r="F14" s="13">
        <f>Balance_Sheet!F33</f>
        <v>62529.440000000002</v>
      </c>
      <c r="G14" s="13">
        <f>Balance_Sheet!G33</f>
        <v>73314.61</v>
      </c>
    </row>
    <row r="15" spans="2:15" ht="18.75" x14ac:dyDescent="0.25">
      <c r="B15" s="12" t="s">
        <v>194</v>
      </c>
      <c r="C15" s="13">
        <f>ROUND(365/C13*C14, 2)</f>
        <v>159.24</v>
      </c>
      <c r="D15" s="13">
        <f t="shared" ref="D15:G15" si="3">ROUND(365/D13*D14, 2)</f>
        <v>129.56</v>
      </c>
      <c r="E15" s="13">
        <f t="shared" si="3"/>
        <v>150.53</v>
      </c>
      <c r="F15" s="13">
        <f t="shared" si="3"/>
        <v>289.72000000000003</v>
      </c>
      <c r="G15" s="13">
        <f t="shared" si="3"/>
        <v>163.63</v>
      </c>
    </row>
    <row r="16" spans="2:15" ht="18.75" x14ac:dyDescent="0.25">
      <c r="B16" s="14" t="s">
        <v>201</v>
      </c>
      <c r="C16" s="16">
        <f>ROUND(C15-C12, 2)</f>
        <v>-29.52</v>
      </c>
      <c r="D16" s="16">
        <f t="shared" ref="D16:G16" si="4">ROUND(D15-D12, 2)</f>
        <v>-24.65</v>
      </c>
      <c r="E16" s="16">
        <f t="shared" si="4"/>
        <v>-24.71</v>
      </c>
      <c r="F16" s="16">
        <f t="shared" si="4"/>
        <v>-32.15</v>
      </c>
      <c r="G16" s="16">
        <f t="shared" si="4"/>
        <v>-35.590000000000003</v>
      </c>
    </row>
  </sheetData>
  <mergeCells count="1">
    <mergeCell ref="B5:G5"/>
  </mergeCells>
  <hyperlinks>
    <hyperlink ref="F1" location="Index_Data!A1" tooltip="Hi click here To return Index page" display="Index_Data!A1" xr:uid="{B0979C72-A4D6-4142-B7E2-701A12F22C4E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834F2-D86D-44DE-823E-319588CE90A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36618.57</v>
      </c>
      <c r="D5" s="13">
        <f>Balance_Sheet!D13</f>
        <v>169076.84041414561</v>
      </c>
      <c r="E5" s="13">
        <f>Balance_Sheet!E13</f>
        <v>294940.66865897772</v>
      </c>
      <c r="F5" s="13">
        <f>Balance_Sheet!F13</f>
        <v>415741.51170787303</v>
      </c>
      <c r="G5" s="13">
        <f>Balance_Sheet!G13</f>
        <v>565784.70865224407</v>
      </c>
    </row>
    <row r="6" spans="2:15" ht="18.75" x14ac:dyDescent="0.25">
      <c r="B6" s="12" t="str">
        <f>Balance_Sheet!B37</f>
        <v>Total Liabilities</v>
      </c>
      <c r="C6" s="13">
        <f>Balance_Sheet!C37</f>
        <v>120356.06</v>
      </c>
      <c r="D6" s="13">
        <f>Balance_Sheet!D37</f>
        <v>267242.50041414559</v>
      </c>
      <c r="E6" s="13">
        <f>Balance_Sheet!E37</f>
        <v>409271.88865897775</v>
      </c>
      <c r="F6" s="13">
        <f>Balance_Sheet!F37</f>
        <v>523178.46170787304</v>
      </c>
      <c r="G6" s="13">
        <f>Balance_Sheet!G37</f>
        <v>701407.71865224408</v>
      </c>
    </row>
  </sheetData>
  <hyperlinks>
    <hyperlink ref="F1" location="Index_Data!A1" tooltip="Hi click here To return Index page" display="Index_Data!A1" xr:uid="{A2FDFFA7-2894-4780-A833-A9FCC3AB51DB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B63CA-5A32-4950-B054-3238DB4B442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128086.27970056226</v>
      </c>
      <c r="D5" s="13">
        <f>Income_Statement!D29</f>
        <v>146359.66041414562</v>
      </c>
      <c r="E5" s="13">
        <f>Income_Statement!E29</f>
        <v>139787.14824483215</v>
      </c>
      <c r="F5" s="13">
        <f>Income_Statement!F29</f>
        <v>131134.30304889538</v>
      </c>
      <c r="G5" s="13">
        <f>Income_Statement!G29</f>
        <v>161266.72694437113</v>
      </c>
    </row>
    <row r="6" spans="2:15" ht="18.75" x14ac:dyDescent="0.25">
      <c r="B6" s="12" t="str">
        <f>Income_Statement!B33</f>
        <v>PBIT</v>
      </c>
      <c r="C6" s="13">
        <f>Income_Statement!C33</f>
        <v>125201.27970056226</v>
      </c>
      <c r="D6" s="13">
        <f>Income_Statement!D33</f>
        <v>142941.89041414563</v>
      </c>
      <c r="E6" s="13">
        <f>Income_Statement!E33</f>
        <v>135707.05824483215</v>
      </c>
      <c r="F6" s="13">
        <f>Income_Statement!F33</f>
        <v>126800.09304889537</v>
      </c>
      <c r="G6" s="13">
        <f>Income_Statement!G33</f>
        <v>155832.37694437112</v>
      </c>
    </row>
  </sheetData>
  <hyperlinks>
    <hyperlink ref="F1" location="Index_Data!A1" tooltip="Hi click here To return Index page" display="Index_Data!A1" xr:uid="{9EA9729E-B359-41FA-A072-0DF69D98461C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8937E-E15F-4664-9510-8BD87FB2475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41217.449999999997</v>
      </c>
      <c r="D5" s="13">
        <f>Balance_Sheet!D72</f>
        <v>189145.62041414558</v>
      </c>
      <c r="E5" s="13">
        <f>Balance_Sheet!E72</f>
        <v>319618.15865897771</v>
      </c>
      <c r="F5" s="13">
        <f>Balance_Sheet!F72</f>
        <v>436499.07170787308</v>
      </c>
      <c r="G5" s="13">
        <f>Balance_Sheet!G72</f>
        <v>596927.80865224416</v>
      </c>
    </row>
    <row r="6" spans="2:15" ht="18.75" x14ac:dyDescent="0.25">
      <c r="B6" s="12" t="str">
        <f>Balance_Sheet!B33</f>
        <v>Total Current Liabilities</v>
      </c>
      <c r="C6" s="13">
        <f>Balance_Sheet!C33</f>
        <v>39312.69</v>
      </c>
      <c r="D6" s="13">
        <f>Balance_Sheet!D33</f>
        <v>46389.08</v>
      </c>
      <c r="E6" s="13">
        <f>Balance_Sheet!E33</f>
        <v>50271.93</v>
      </c>
      <c r="F6" s="13">
        <f>Balance_Sheet!F33</f>
        <v>62529.440000000002</v>
      </c>
      <c r="G6" s="13">
        <f>Balance_Sheet!G33</f>
        <v>73314.61</v>
      </c>
    </row>
  </sheetData>
  <hyperlinks>
    <hyperlink ref="F1" location="Index_Data!A1" tooltip="Hi click here To return Index page" display="Index_Data!A1" xr:uid="{E92E664F-3F7A-456D-B3CD-A69008E9F5BC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BFAE9-6A38-4C34-8D70-D37B676DF28B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1393.36</v>
      </c>
      <c r="D5" s="13">
        <f>Balance_Sheet!D23</f>
        <v>1537.63</v>
      </c>
      <c r="E5" s="13">
        <f>Balance_Sheet!E23</f>
        <v>1595.99</v>
      </c>
      <c r="F5" s="13">
        <f>Balance_Sheet!F23</f>
        <v>1608.89</v>
      </c>
      <c r="G5" s="13">
        <f>Balance_Sheet!G23</f>
        <v>234.29</v>
      </c>
    </row>
    <row r="6" spans="2:15" ht="18.75" x14ac:dyDescent="0.25">
      <c r="B6" s="12" t="str">
        <f>Balance_Sheet!B25</f>
        <v>Short Term Provisions</v>
      </c>
      <c r="C6" s="13">
        <f>Balance_Sheet!C25</f>
        <v>1809.52</v>
      </c>
      <c r="D6" s="13">
        <f>Balance_Sheet!D25</f>
        <v>2028.58</v>
      </c>
      <c r="E6" s="13">
        <f>Balance_Sheet!E25</f>
        <v>2039.39</v>
      </c>
      <c r="F6" s="13">
        <f>Balance_Sheet!F25</f>
        <v>1950.28</v>
      </c>
      <c r="G6" s="13">
        <f>Balance_Sheet!G25</f>
        <v>2925.39</v>
      </c>
    </row>
  </sheetData>
  <hyperlinks>
    <hyperlink ref="F1" location="Index_Data!A1" tooltip="Hi click here To return Index page" display="Index_Data!A1" xr:uid="{9C2E6F55-E8A2-4897-A2B3-73FCBC315D77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A5C29-D002-400F-BF06-123C7F63DA6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90110.77</v>
      </c>
      <c r="D5" s="13">
        <f>Income_Statement!D17</f>
        <v>130693.29</v>
      </c>
      <c r="E5" s="13">
        <f>Income_Statement!E17</f>
        <v>121896.01</v>
      </c>
      <c r="F5" s="13">
        <f>Income_Statement!F17</f>
        <v>78778.039999999994</v>
      </c>
      <c r="G5" s="13">
        <f>Income_Statement!G17</f>
        <v>163541.19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AFF5F229-CAC5-4C7D-9648-1D85E0A8A0FC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48C23-6CD7-4513-9C9C-0B69DC3FD57D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3" width="18.85546875" bestFit="1" customWidth="1"/>
    <col min="4" max="4" width="17.140625" bestFit="1" customWidth="1"/>
    <col min="5" max="9" width="18.85546875" bestFit="1" customWidth="1"/>
    <col min="10" max="10" width="17.140625" bestFit="1" customWidth="1"/>
    <col min="11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278567.11</v>
      </c>
      <c r="D5" s="5">
        <v>339639</v>
      </c>
      <c r="E5" s="5">
        <v>328608.96999999997</v>
      </c>
      <c r="F5" s="5">
        <v>303229.69</v>
      </c>
      <c r="G5" s="5">
        <v>432569.62</v>
      </c>
      <c r="H5" s="24">
        <f>GROWTH(C5:G5,C4:G4,H4)</f>
        <v>418786.68486181559</v>
      </c>
      <c r="I5" s="24">
        <f t="shared" ref="I5:L5" si="0">GROWTH(D5:H5,D4:H4,I4)</f>
        <v>444530.61984433432</v>
      </c>
      <c r="J5" s="24">
        <f t="shared" si="0"/>
        <v>503129.80176805489</v>
      </c>
      <c r="K5" s="24">
        <f t="shared" si="0"/>
        <v>566733.85557161062</v>
      </c>
      <c r="L5" s="24">
        <f t="shared" si="0"/>
        <v>584119.88473032496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5">
        <v>43542.879999999997</v>
      </c>
      <c r="D7" s="5">
        <v>42653.56</v>
      </c>
      <c r="E7" s="5">
        <v>45225.26</v>
      </c>
      <c r="F7" s="5">
        <v>74103.649999999994</v>
      </c>
      <c r="G7" s="5">
        <v>85778.54</v>
      </c>
      <c r="H7" s="24">
        <f>H5*H8</f>
        <v>83045.384460625413</v>
      </c>
      <c r="I7" s="24">
        <f t="shared" ref="I7:L7" si="1">I5*I8</f>
        <v>88150.405836503327</v>
      </c>
      <c r="J7" s="24">
        <f t="shared" si="1"/>
        <v>99770.621492450548</v>
      </c>
      <c r="K7" s="24">
        <f t="shared" si="1"/>
        <v>112383.30306114336</v>
      </c>
      <c r="L7" s="24">
        <f t="shared" si="1"/>
        <v>115830.95201446548</v>
      </c>
    </row>
    <row r="8" spans="2:15" x14ac:dyDescent="0.25">
      <c r="B8" s="17" t="s">
        <v>239</v>
      </c>
      <c r="C8" s="18">
        <f>C7/Income_Statement!C5</f>
        <v>0.15631019756783204</v>
      </c>
      <c r="D8" s="18">
        <f>D7/Income_Statement!D5</f>
        <v>0.12558498876748547</v>
      </c>
      <c r="E8" s="18">
        <f>E7/Income_Statement!E5</f>
        <v>0.13762637094173055</v>
      </c>
      <c r="F8" s="18">
        <f>F7/Income_Statement!F5</f>
        <v>0.24438124775974276</v>
      </c>
      <c r="G8" s="18">
        <f>G7/Income_Statement!G5</f>
        <v>0.19829996383009976</v>
      </c>
      <c r="H8" s="25">
        <f>G8</f>
        <v>0.19829996383009976</v>
      </c>
      <c r="I8" s="25">
        <f t="shared" ref="I8:L8" si="2">H8</f>
        <v>0.19829996383009976</v>
      </c>
      <c r="J8" s="25">
        <f t="shared" si="2"/>
        <v>0.19829996383009976</v>
      </c>
      <c r="K8" s="25">
        <f t="shared" si="2"/>
        <v>0.19829996383009976</v>
      </c>
      <c r="L8" s="25">
        <f t="shared" si="2"/>
        <v>0.19829996383009976</v>
      </c>
    </row>
    <row r="9" spans="2:15" ht="18.75" x14ac:dyDescent="0.25">
      <c r="B9" s="9" t="s">
        <v>105</v>
      </c>
      <c r="C9" s="7">
        <f>C5 - C7</f>
        <v>235024.22999999998</v>
      </c>
      <c r="D9" s="7">
        <f t="shared" ref="D9:L9" si="3">D5 - D7</f>
        <v>296985.44</v>
      </c>
      <c r="E9" s="7">
        <f t="shared" si="3"/>
        <v>283383.70999999996</v>
      </c>
      <c r="F9" s="7">
        <f t="shared" si="3"/>
        <v>229126.04</v>
      </c>
      <c r="G9" s="7">
        <f t="shared" si="3"/>
        <v>346791.08</v>
      </c>
      <c r="H9" s="27">
        <f t="shared" si="3"/>
        <v>335741.30040119018</v>
      </c>
      <c r="I9" s="27">
        <f t="shared" si="3"/>
        <v>356380.214007831</v>
      </c>
      <c r="J9" s="27">
        <f t="shared" si="3"/>
        <v>403359.18027560436</v>
      </c>
      <c r="K9" s="27">
        <f t="shared" si="3"/>
        <v>454350.55251046724</v>
      </c>
      <c r="L9" s="27">
        <f t="shared" si="3"/>
        <v>468288.9327158595</v>
      </c>
    </row>
    <row r="10" spans="2:15" x14ac:dyDescent="0.25">
      <c r="B10" s="19" t="s">
        <v>240</v>
      </c>
      <c r="C10" s="21">
        <f>C9/Income_Statement!C5</f>
        <v>0.84368980243216796</v>
      </c>
      <c r="D10" s="21">
        <f>D9/Income_Statement!D5</f>
        <v>0.87441501123251453</v>
      </c>
      <c r="E10" s="21">
        <f>E9/Income_Statement!E5</f>
        <v>0.86237362905826942</v>
      </c>
      <c r="F10" s="21">
        <f>F9/Income_Statement!F5</f>
        <v>0.75561875224025721</v>
      </c>
      <c r="G10" s="21">
        <f>G9/Income_Statement!G5</f>
        <v>0.80170003616990027</v>
      </c>
      <c r="H10" s="29">
        <f>H9/Income_Statement!H5</f>
        <v>0.80170003616990027</v>
      </c>
      <c r="I10" s="29">
        <f>I9/Income_Statement!I5</f>
        <v>0.80170003616990027</v>
      </c>
      <c r="J10" s="29">
        <f>J9/Income_Statement!J5</f>
        <v>0.80170003616990027</v>
      </c>
      <c r="K10" s="29">
        <f>K9/Income_Statement!K5</f>
        <v>0.80170003616990027</v>
      </c>
      <c r="L10" s="29">
        <f>L9/Income_Statement!L5</f>
        <v>0.80170003616990027</v>
      </c>
    </row>
    <row r="11" spans="2:15" ht="18.75" x14ac:dyDescent="0.25">
      <c r="B11" s="8" t="s">
        <v>59</v>
      </c>
      <c r="C11" s="5">
        <v>1674.4</v>
      </c>
      <c r="D11" s="5">
        <v>2037.54</v>
      </c>
      <c r="E11" s="5">
        <v>1929.33</v>
      </c>
      <c r="F11" s="5">
        <v>2253.04</v>
      </c>
      <c r="G11" s="5">
        <v>2268.54</v>
      </c>
      <c r="H11" s="24">
        <f>H5*H12</f>
        <v>2512.3575969583694</v>
      </c>
      <c r="I11" s="24">
        <f t="shared" ref="I11:L11" si="4">I5*I12</f>
        <v>2666.7989222604733</v>
      </c>
      <c r="J11" s="24">
        <f t="shared" si="4"/>
        <v>3018.3432888875614</v>
      </c>
      <c r="K11" s="24">
        <f t="shared" si="4"/>
        <v>3399.9125544515778</v>
      </c>
      <c r="L11" s="24">
        <f t="shared" si="4"/>
        <v>3504.2136796228533</v>
      </c>
    </row>
    <row r="12" spans="2:15" x14ac:dyDescent="0.25">
      <c r="B12" s="17" t="s">
        <v>241</v>
      </c>
      <c r="C12" s="18">
        <f>C11/Income_Statement!C5</f>
        <v>6.0107598488565294E-3</v>
      </c>
      <c r="D12" s="18">
        <f>D11/Income_Statement!D5</f>
        <v>5.9991343750276024E-3</v>
      </c>
      <c r="E12" s="18">
        <f>E11/Income_Statement!E5</f>
        <v>5.871203089800014E-3</v>
      </c>
      <c r="F12" s="18">
        <f>F11/Income_Statement!F5</f>
        <v>7.4301431367093376E-3</v>
      </c>
      <c r="G12" s="18">
        <f>G11/Income_Statement!G5</f>
        <v>5.2443350043861149E-3</v>
      </c>
      <c r="H12" s="25">
        <f>MEDIAN(C12:G12)</f>
        <v>5.9991343750276024E-3</v>
      </c>
      <c r="I12" s="25">
        <f t="shared" ref="I12:L12" si="5">H12</f>
        <v>5.9991343750276024E-3</v>
      </c>
      <c r="J12" s="25">
        <f t="shared" si="5"/>
        <v>5.9991343750276024E-3</v>
      </c>
      <c r="K12" s="25">
        <f t="shared" si="5"/>
        <v>5.9991343750276024E-3</v>
      </c>
      <c r="L12" s="25">
        <f t="shared" si="5"/>
        <v>5.9991343750276024E-3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236699.47970056225</v>
      </c>
      <c r="D15" s="7">
        <f t="shared" ref="D15:L15" si="8">SUM(D9:D13)</f>
        <v>299023.86041414563</v>
      </c>
      <c r="E15" s="7">
        <f t="shared" si="8"/>
        <v>285313.90824483213</v>
      </c>
      <c r="F15" s="7">
        <f t="shared" si="8"/>
        <v>231379.84304889539</v>
      </c>
      <c r="G15" s="7">
        <f t="shared" si="8"/>
        <v>349060.42694437114</v>
      </c>
      <c r="H15" s="27">
        <f t="shared" si="8"/>
        <v>338254.46569731907</v>
      </c>
      <c r="I15" s="27">
        <f t="shared" si="8"/>
        <v>359047.82062926202</v>
      </c>
      <c r="J15" s="27">
        <f t="shared" si="8"/>
        <v>406378.33126366249</v>
      </c>
      <c r="K15" s="27">
        <f t="shared" si="8"/>
        <v>457751.27276408934</v>
      </c>
      <c r="L15" s="27">
        <f t="shared" si="8"/>
        <v>471793.9540946529</v>
      </c>
    </row>
    <row r="16" spans="2:15" x14ac:dyDescent="0.25">
      <c r="B16" s="19" t="s">
        <v>243</v>
      </c>
      <c r="C16" s="21">
        <f>C15/Income_Statement!C5</f>
        <v>0.8497036125354579</v>
      </c>
      <c r="D16" s="21">
        <f>D15/Income_Statement!D5</f>
        <v>0.88041673781322416</v>
      </c>
      <c r="E16" s="21">
        <f>E15/Income_Statement!E5</f>
        <v>0.86824747433045468</v>
      </c>
      <c r="F16" s="21">
        <f>F15/Income_Statement!F5</f>
        <v>0.76305141178258429</v>
      </c>
      <c r="G16" s="21">
        <f>G15/Income_Statement!G5</f>
        <v>0.80694623664133214</v>
      </c>
      <c r="H16" s="29">
        <f>H15/Income_Statement!H5</f>
        <v>0.80770109920980604</v>
      </c>
      <c r="I16" s="29">
        <f>I15/Income_Statement!I5</f>
        <v>0.80770098751576069</v>
      </c>
      <c r="J16" s="29">
        <f>J15/Income_Statement!J5</f>
        <v>0.80770077589441769</v>
      </c>
      <c r="K16" s="29">
        <f>K15/Income_Statement!K5</f>
        <v>0.80770059572742325</v>
      </c>
      <c r="L16" s="29">
        <f>L15/Income_Statement!L5</f>
        <v>0.80770055330759638</v>
      </c>
    </row>
    <row r="17" spans="2:12" ht="18.75" x14ac:dyDescent="0.25">
      <c r="B17" s="8" t="s">
        <v>62</v>
      </c>
      <c r="C17" s="5">
        <v>90110.77</v>
      </c>
      <c r="D17" s="5">
        <v>130693.29</v>
      </c>
      <c r="E17" s="5">
        <v>121896.01</v>
      </c>
      <c r="F17" s="5">
        <v>78778.039999999994</v>
      </c>
      <c r="G17" s="5">
        <v>163541.19</v>
      </c>
      <c r="H17" s="24">
        <f>H5*H18</f>
        <v>158330.28865609266</v>
      </c>
      <c r="I17" s="24">
        <f t="shared" ref="I17:L17" si="9">I5*I18</f>
        <v>168063.27397837152</v>
      </c>
      <c r="J17" s="24">
        <f t="shared" si="9"/>
        <v>190217.81165679597</v>
      </c>
      <c r="K17" s="24">
        <f t="shared" si="9"/>
        <v>214264.53654667042</v>
      </c>
      <c r="L17" s="24">
        <f t="shared" si="9"/>
        <v>220837.65626319338</v>
      </c>
    </row>
    <row r="18" spans="2:12" x14ac:dyDescent="0.25">
      <c r="B18" s="17" t="s">
        <v>244</v>
      </c>
      <c r="C18" s="18">
        <f>C17/Income_Statement!C5</f>
        <v>0.32347957373718672</v>
      </c>
      <c r="D18" s="18">
        <f>D17/Income_Statement!D5</f>
        <v>0.38480059710457276</v>
      </c>
      <c r="E18" s="18">
        <f>E17/Income_Statement!E5</f>
        <v>0.37094547358217278</v>
      </c>
      <c r="F18" s="18">
        <f>F17/Income_Statement!F5</f>
        <v>0.25979659181790543</v>
      </c>
      <c r="G18" s="18">
        <f>G17/Income_Statement!G5</f>
        <v>0.37806906088319381</v>
      </c>
      <c r="H18" s="25">
        <f>G18</f>
        <v>0.37806906088319381</v>
      </c>
      <c r="I18" s="25">
        <f t="shared" ref="I18:L18" si="10">H18</f>
        <v>0.37806906088319381</v>
      </c>
      <c r="J18" s="25">
        <f t="shared" si="10"/>
        <v>0.37806906088319381</v>
      </c>
      <c r="K18" s="25">
        <f t="shared" si="10"/>
        <v>0.37806906088319381</v>
      </c>
      <c r="L18" s="25">
        <f t="shared" si="10"/>
        <v>0.37806906088319381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3748.53</v>
      </c>
      <c r="D21" s="5">
        <v>3984.81</v>
      </c>
      <c r="E21" s="5">
        <v>4020.51</v>
      </c>
      <c r="F21" s="5">
        <v>4856.3500000000004</v>
      </c>
      <c r="G21" s="5">
        <v>3408</v>
      </c>
      <c r="H21" s="24">
        <f>H5*H22</f>
        <v>3299.4111375853613</v>
      </c>
      <c r="I21" s="24">
        <f t="shared" ref="I21:L21" si="13">I5*I22</f>
        <v>3502.234744153996</v>
      </c>
      <c r="J21" s="24">
        <f t="shared" si="13"/>
        <v>3963.908432648439</v>
      </c>
      <c r="K21" s="24">
        <f t="shared" si="13"/>
        <v>4465.0130071271506</v>
      </c>
      <c r="L21" s="24">
        <f t="shared" si="13"/>
        <v>4601.9888478551666</v>
      </c>
    </row>
    <row r="22" spans="2:12" x14ac:dyDescent="0.25">
      <c r="B22" s="17" t="s">
        <v>246</v>
      </c>
      <c r="C22" s="18">
        <f>C21/Income_Statement!C5</f>
        <v>1.3456470148252608E-2</v>
      </c>
      <c r="D22" s="18">
        <f>D21/Income_Statement!D5</f>
        <v>1.173248655189775E-2</v>
      </c>
      <c r="E22" s="18">
        <f>E21/Income_Statement!E5</f>
        <v>1.223493686127923E-2</v>
      </c>
      <c r="F22" s="18">
        <f>F21/Income_Statement!F5</f>
        <v>1.6015417223821323E-2</v>
      </c>
      <c r="G22" s="18">
        <f>G21/Income_Statement!G5</f>
        <v>7.8785005752368825E-3</v>
      </c>
      <c r="H22" s="25">
        <f>G22</f>
        <v>7.8785005752368825E-3</v>
      </c>
      <c r="I22" s="25">
        <f t="shared" ref="I22:L22" si="14">H22</f>
        <v>7.8785005752368825E-3</v>
      </c>
      <c r="J22" s="25">
        <f t="shared" si="14"/>
        <v>7.8785005752368825E-3</v>
      </c>
      <c r="K22" s="25">
        <f t="shared" si="14"/>
        <v>7.8785005752368825E-3</v>
      </c>
      <c r="L22" s="25">
        <f t="shared" si="14"/>
        <v>7.8785005752368825E-3</v>
      </c>
    </row>
    <row r="23" spans="2:12" ht="18.75" x14ac:dyDescent="0.25">
      <c r="B23" s="8" t="s">
        <v>69</v>
      </c>
      <c r="C23" s="5">
        <v>14753.9</v>
      </c>
      <c r="D23" s="5">
        <v>17986.099999999999</v>
      </c>
      <c r="E23" s="5">
        <v>19610.240000000002</v>
      </c>
      <c r="F23" s="5">
        <v>16611.150000000001</v>
      </c>
      <c r="G23" s="5">
        <v>20844.509999999998</v>
      </c>
      <c r="H23" s="24">
        <f>H5*H24</f>
        <v>22494.28700565522</v>
      </c>
      <c r="I23" s="24">
        <f t="shared" ref="I23:L23" si="15">I5*I24</f>
        <v>23877.070850234191</v>
      </c>
      <c r="J23" s="24">
        <f t="shared" si="15"/>
        <v>27024.608401299633</v>
      </c>
      <c r="K23" s="24">
        <f t="shared" si="15"/>
        <v>30440.972609374698</v>
      </c>
      <c r="L23" s="24">
        <f t="shared" si="15"/>
        <v>31374.828302312631</v>
      </c>
    </row>
    <row r="24" spans="2:12" x14ac:dyDescent="0.25">
      <c r="B24" s="17" t="s">
        <v>247</v>
      </c>
      <c r="C24" s="18">
        <f>C23/Income_Statement!C5</f>
        <v>5.2963539019376699E-2</v>
      </c>
      <c r="D24" s="18">
        <f>D23/Income_Statement!D5</f>
        <v>5.2956521483104112E-2</v>
      </c>
      <c r="E24" s="18">
        <f>E23/Income_Statement!E5</f>
        <v>5.9676520698750263E-2</v>
      </c>
      <c r="F24" s="18">
        <f>F23/Income_Statement!F5</f>
        <v>5.4780750526111088E-2</v>
      </c>
      <c r="G24" s="18">
        <f>G23/Income_Statement!G5</f>
        <v>4.8187642026270822E-2</v>
      </c>
      <c r="H24" s="25">
        <f>AVERAGE(C24:G24)</f>
        <v>5.3712994750722595E-2</v>
      </c>
      <c r="I24" s="25">
        <f t="shared" ref="I24:L24" si="16">H24</f>
        <v>5.3712994750722595E-2</v>
      </c>
      <c r="J24" s="25">
        <f t="shared" si="16"/>
        <v>5.3712994750722595E-2</v>
      </c>
      <c r="K24" s="25">
        <f t="shared" si="16"/>
        <v>5.3712994750722595E-2</v>
      </c>
      <c r="L24" s="25">
        <f t="shared" si="16"/>
        <v>5.3712994750722595E-2</v>
      </c>
    </row>
    <row r="25" spans="2:12" ht="18.75" x14ac:dyDescent="0.25">
      <c r="B25" s="9" t="s">
        <v>108</v>
      </c>
      <c r="C25" s="7">
        <f>C17+C19+C21+C23</f>
        <v>108613.2</v>
      </c>
      <c r="D25" s="7">
        <f t="shared" ref="D25:L25" si="17">D17+D19+D21+D23</f>
        <v>152664.20000000001</v>
      </c>
      <c r="E25" s="7">
        <f t="shared" si="17"/>
        <v>145526.75999999998</v>
      </c>
      <c r="F25" s="7">
        <f t="shared" si="17"/>
        <v>100245.54000000001</v>
      </c>
      <c r="G25" s="7">
        <f t="shared" si="17"/>
        <v>187793.7</v>
      </c>
      <c r="H25" s="27">
        <f t="shared" si="17"/>
        <v>184123.98679933324</v>
      </c>
      <c r="I25" s="27">
        <f t="shared" si="17"/>
        <v>195442.57957275971</v>
      </c>
      <c r="J25" s="27">
        <f t="shared" si="17"/>
        <v>221206.32849074402</v>
      </c>
      <c r="K25" s="27">
        <f t="shared" si="17"/>
        <v>249170.52216317228</v>
      </c>
      <c r="L25" s="27">
        <f t="shared" si="17"/>
        <v>256814.47341336118</v>
      </c>
    </row>
    <row r="26" spans="2:12" x14ac:dyDescent="0.25">
      <c r="B26" s="19" t="s">
        <v>248</v>
      </c>
      <c r="C26" s="21">
        <f>C25/Income_Statement!C5</f>
        <v>0.38989958290481602</v>
      </c>
      <c r="D26" s="21">
        <f>D25/Income_Statement!D5</f>
        <v>0.4494896051395747</v>
      </c>
      <c r="E26" s="21">
        <f>E25/Income_Statement!E5</f>
        <v>0.4428569311422022</v>
      </c>
      <c r="F26" s="21">
        <f>F25/Income_Statement!F5</f>
        <v>0.33059275956783785</v>
      </c>
      <c r="G26" s="21">
        <f>G25/Income_Statement!G5</f>
        <v>0.43413520348470153</v>
      </c>
      <c r="H26" s="29">
        <f>H25/Income_Statement!H5</f>
        <v>0.43966055620915329</v>
      </c>
      <c r="I26" s="29">
        <f>I25/Income_Statement!I5</f>
        <v>0.43966055620915334</v>
      </c>
      <c r="J26" s="29">
        <f>J25/Income_Statement!J5</f>
        <v>0.43966055620915323</v>
      </c>
      <c r="K26" s="29">
        <f>K25/Income_Statement!K5</f>
        <v>0.43966055620915329</v>
      </c>
      <c r="L26" s="29">
        <f>L25/Income_Statement!L5</f>
        <v>0.43966055620915329</v>
      </c>
    </row>
    <row r="27" spans="2:12" ht="18.75" x14ac:dyDescent="0.25">
      <c r="B27" s="9" t="s">
        <v>109</v>
      </c>
      <c r="C27" s="7">
        <f xml:space="preserve"> C15-C25-C11</f>
        <v>126411.87970056226</v>
      </c>
      <c r="D27" s="7">
        <f t="shared" ref="D27:L27" si="18" xml:space="preserve"> D15-D25-D11</f>
        <v>144322.12041414561</v>
      </c>
      <c r="E27" s="7">
        <f t="shared" si="18"/>
        <v>137857.81824483216</v>
      </c>
      <c r="F27" s="7">
        <f t="shared" si="18"/>
        <v>128881.26304889539</v>
      </c>
      <c r="G27" s="7">
        <f t="shared" si="18"/>
        <v>158998.18694437112</v>
      </c>
      <c r="H27" s="27">
        <f t="shared" si="18"/>
        <v>151618.12130102745</v>
      </c>
      <c r="I27" s="27">
        <f t="shared" si="18"/>
        <v>160938.44213424184</v>
      </c>
      <c r="J27" s="27">
        <f t="shared" si="18"/>
        <v>182153.65948403091</v>
      </c>
      <c r="K27" s="27">
        <f t="shared" si="18"/>
        <v>205180.83804646548</v>
      </c>
      <c r="L27" s="27">
        <f t="shared" si="18"/>
        <v>211475.26700166886</v>
      </c>
    </row>
    <row r="28" spans="2:12" x14ac:dyDescent="0.25">
      <c r="B28" s="19" t="s">
        <v>249</v>
      </c>
      <c r="C28" s="21">
        <f>C27/Income_Statement!C5</f>
        <v>0.4537932697817853</v>
      </c>
      <c r="D28" s="21">
        <f>D27/Income_Statement!D5</f>
        <v>0.42492799829862182</v>
      </c>
      <c r="E28" s="21">
        <f>E27/Income_Statement!E5</f>
        <v>0.41951934009845249</v>
      </c>
      <c r="F28" s="21">
        <f>F27/Income_Statement!F5</f>
        <v>0.42502850907803713</v>
      </c>
      <c r="G28" s="21">
        <f>G27/Income_Statement!G5</f>
        <v>0.36756669815224452</v>
      </c>
      <c r="H28" s="29">
        <f>H27/Income_Statement!H5</f>
        <v>0.36204140862562506</v>
      </c>
      <c r="I28" s="29">
        <f>I27/Income_Statement!I5</f>
        <v>0.36204129693157977</v>
      </c>
      <c r="J28" s="29">
        <f>J27/Income_Statement!J5</f>
        <v>0.36204108531023682</v>
      </c>
      <c r="K28" s="29">
        <f>K27/Income_Statement!K5</f>
        <v>0.36204090514324233</v>
      </c>
      <c r="L28" s="29">
        <f>L27/Income_Statement!L5</f>
        <v>0.36204086272341551</v>
      </c>
    </row>
    <row r="29" spans="2:12" ht="18.75" x14ac:dyDescent="0.25">
      <c r="B29" s="9" t="s">
        <v>110</v>
      </c>
      <c r="C29" s="7">
        <f xml:space="preserve"> C27+C11</f>
        <v>128086.27970056226</v>
      </c>
      <c r="D29" s="7">
        <f t="shared" ref="D29:L29" si="19" xml:space="preserve"> D27+D11</f>
        <v>146359.66041414562</v>
      </c>
      <c r="E29" s="7">
        <f t="shared" si="19"/>
        <v>139787.14824483215</v>
      </c>
      <c r="F29" s="7">
        <f t="shared" si="19"/>
        <v>131134.30304889538</v>
      </c>
      <c r="G29" s="7">
        <f t="shared" si="19"/>
        <v>161266.72694437113</v>
      </c>
      <c r="H29" s="27">
        <f t="shared" si="19"/>
        <v>154130.47889798583</v>
      </c>
      <c r="I29" s="27">
        <f t="shared" si="19"/>
        <v>163605.2410565023</v>
      </c>
      <c r="J29" s="27">
        <f t="shared" si="19"/>
        <v>185172.00277291847</v>
      </c>
      <c r="K29" s="27">
        <f t="shared" si="19"/>
        <v>208580.75060091706</v>
      </c>
      <c r="L29" s="27">
        <f t="shared" si="19"/>
        <v>214979.48068129172</v>
      </c>
    </row>
    <row r="30" spans="2:12" x14ac:dyDescent="0.25">
      <c r="B30" s="19" t="s">
        <v>250</v>
      </c>
      <c r="C30" s="21">
        <f>C29/Income_Statement!C5</f>
        <v>0.45980402963064182</v>
      </c>
      <c r="D30" s="21">
        <f>D29/Income_Statement!D5</f>
        <v>0.4309271326736494</v>
      </c>
      <c r="E30" s="21">
        <f>E29/Income_Statement!E5</f>
        <v>0.42539054318825248</v>
      </c>
      <c r="F30" s="21">
        <f>F29/Income_Statement!F5</f>
        <v>0.43245865221474644</v>
      </c>
      <c r="G30" s="21">
        <f>G29/Income_Statement!G5</f>
        <v>0.37281103315663067</v>
      </c>
      <c r="H30" s="29">
        <f>H29/Income_Statement!H5</f>
        <v>0.3680405430006527</v>
      </c>
      <c r="I30" s="29">
        <f>I29/Income_Statement!I5</f>
        <v>0.36804043130660735</v>
      </c>
      <c r="J30" s="29">
        <f>J29/Income_Statement!J5</f>
        <v>0.3680402196852644</v>
      </c>
      <c r="K30" s="29">
        <f>K29/Income_Statement!K5</f>
        <v>0.36804003951826991</v>
      </c>
      <c r="L30" s="29">
        <f>L29/Income_Statement!L5</f>
        <v>0.36803999709844309</v>
      </c>
    </row>
    <row r="31" spans="2:12" ht="18.75" x14ac:dyDescent="0.25">
      <c r="B31" s="8" t="s">
        <v>68</v>
      </c>
      <c r="C31" s="5">
        <v>2885</v>
      </c>
      <c r="D31" s="5">
        <v>3417.77</v>
      </c>
      <c r="E31" s="5">
        <v>4080.09</v>
      </c>
      <c r="F31" s="5">
        <v>4334.21</v>
      </c>
      <c r="G31" s="5">
        <v>5434.35</v>
      </c>
      <c r="H31" s="24">
        <f>Balance_Sheet!H40*H62</f>
        <v>11560.799442671512</v>
      </c>
      <c r="I31" s="24">
        <f>Balance_Sheet!I40*I62</f>
        <v>15171.010611827003</v>
      </c>
      <c r="J31" s="24">
        <f>Balance_Sheet!J40*J62</f>
        <v>21628.248332733911</v>
      </c>
      <c r="K31" s="24">
        <f>Balance_Sheet!K40*K62</f>
        <v>32313.498216649165</v>
      </c>
      <c r="L31" s="24">
        <f>Balance_Sheet!L40*L62</f>
        <v>47292.143974889332</v>
      </c>
    </row>
    <row r="32" spans="2:12" x14ac:dyDescent="0.25">
      <c r="B32" s="17" t="s">
        <v>251</v>
      </c>
      <c r="C32" s="18">
        <f>C31/Income_Statement!C5</f>
        <v>1.0356570809813118E-2</v>
      </c>
      <c r="D32" s="18">
        <f>D31/Income_Statement!D5</f>
        <v>1.0062949190169562E-2</v>
      </c>
      <c r="E32" s="18">
        <f>E31/Income_Statement!E5</f>
        <v>1.2416246580243992E-2</v>
      </c>
      <c r="F32" s="18">
        <f>F31/Income_Statement!F5</f>
        <v>1.4293488213505743E-2</v>
      </c>
      <c r="G32" s="18">
        <f>G31/Income_Statement!G5</f>
        <v>1.2562948826595822E-2</v>
      </c>
      <c r="H32" s="25">
        <f>H31/Income_Statement!H5</f>
        <v>2.7605460872009713E-2</v>
      </c>
      <c r="I32" s="25">
        <f>I31/Income_Statement!I5</f>
        <v>3.4128156609638242E-2</v>
      </c>
      <c r="J32" s="25">
        <f>J31/Income_Statement!J5</f>
        <v>4.2987412506136198E-2</v>
      </c>
      <c r="K32" s="25">
        <f>K31/Income_Statement!K5</f>
        <v>5.7017059946167514E-2</v>
      </c>
      <c r="L32" s="25">
        <f>L31/Income_Statement!L5</f>
        <v>8.0963078318628118E-2</v>
      </c>
    </row>
    <row r="33" spans="2:12" ht="18.75" x14ac:dyDescent="0.25">
      <c r="B33" s="9" t="s">
        <v>111</v>
      </c>
      <c r="C33" s="7">
        <f xml:space="preserve"> C29-C31</f>
        <v>125201.27970056226</v>
      </c>
      <c r="D33" s="7">
        <f t="shared" ref="D33:L33" si="20" xml:space="preserve"> D29-D31</f>
        <v>142941.89041414563</v>
      </c>
      <c r="E33" s="7">
        <f t="shared" si="20"/>
        <v>135707.05824483215</v>
      </c>
      <c r="F33" s="7">
        <f t="shared" si="20"/>
        <v>126800.09304889537</v>
      </c>
      <c r="G33" s="7">
        <f t="shared" si="20"/>
        <v>155832.37694437112</v>
      </c>
      <c r="H33" s="27">
        <f t="shared" si="20"/>
        <v>142569.67945531433</v>
      </c>
      <c r="I33" s="27">
        <f t="shared" si="20"/>
        <v>148434.23044467531</v>
      </c>
      <c r="J33" s="27">
        <f t="shared" si="20"/>
        <v>163543.75444018457</v>
      </c>
      <c r="K33" s="27">
        <f t="shared" si="20"/>
        <v>176267.25238426789</v>
      </c>
      <c r="L33" s="27">
        <f t="shared" si="20"/>
        <v>167687.33670640239</v>
      </c>
    </row>
    <row r="34" spans="2:12" x14ac:dyDescent="0.25">
      <c r="B34" s="19" t="s">
        <v>252</v>
      </c>
      <c r="C34" s="21">
        <f>C33/Income_Statement!C5</f>
        <v>0.4494474588208287</v>
      </c>
      <c r="D34" s="21">
        <f>D33/Income_Statement!D5</f>
        <v>0.42086418348347993</v>
      </c>
      <c r="E34" s="21">
        <f>E33/Income_Statement!E5</f>
        <v>0.4129742966080085</v>
      </c>
      <c r="F34" s="21">
        <f>F33/Income_Statement!F5</f>
        <v>0.41816516400124071</v>
      </c>
      <c r="G34" s="21">
        <f>G33/Income_Statement!G5</f>
        <v>0.36024808433003486</v>
      </c>
      <c r="H34" s="29">
        <f>H33/Income_Statement!H5</f>
        <v>0.34043508212864299</v>
      </c>
      <c r="I34" s="29">
        <f>I33/Income_Statement!I5</f>
        <v>0.3339122746969691</v>
      </c>
      <c r="J34" s="29">
        <f>J33/Income_Statement!J5</f>
        <v>0.32505280717912827</v>
      </c>
      <c r="K34" s="29">
        <f>K33/Income_Statement!K5</f>
        <v>0.3110229795721024</v>
      </c>
      <c r="L34" s="29">
        <f>L33/Income_Statement!L5</f>
        <v>0.287076918779815</v>
      </c>
    </row>
    <row r="35" spans="2:12" ht="18.75" x14ac:dyDescent="0.25">
      <c r="B35" s="8" t="s">
        <v>67</v>
      </c>
      <c r="C35" s="5">
        <v>1185.74</v>
      </c>
      <c r="D35" s="5">
        <v>1763.95</v>
      </c>
      <c r="E35" s="5">
        <v>2637.01</v>
      </c>
      <c r="F35" s="5">
        <v>1723.41</v>
      </c>
      <c r="G35" s="5">
        <v>2605.64</v>
      </c>
      <c r="H35" s="24">
        <f>Balance_Sheet!H21*H63</f>
        <v>4503.7044914778744</v>
      </c>
      <c r="I35" s="24">
        <f>Balance_Sheet!I21*I63</f>
        <v>5910.1229821725474</v>
      </c>
      <c r="J35" s="24">
        <f>Balance_Sheet!J21*J63</f>
        <v>8425.6488470061813</v>
      </c>
      <c r="K35" s="24">
        <f>Balance_Sheet!K21*K63</f>
        <v>12588.267934949381</v>
      </c>
      <c r="L35" s="24">
        <f>Balance_Sheet!L21*L63</f>
        <v>18423.451856956683</v>
      </c>
    </row>
    <row r="36" spans="2:12" x14ac:dyDescent="0.25">
      <c r="B36" s="17" t="s">
        <v>253</v>
      </c>
      <c r="C36" s="18">
        <f>C35/Income_Statement!C5</f>
        <v>4.2565685518293961E-3</v>
      </c>
      <c r="D36" s="18">
        <f>D35/Income_Statement!D5</f>
        <v>5.1936026192516173E-3</v>
      </c>
      <c r="E36" s="18">
        <f>E35/Income_Statement!E5</f>
        <v>8.0247657268759289E-3</v>
      </c>
      <c r="F36" s="18">
        <f>F35/Income_Statement!F5</f>
        <v>5.6835133789174801E-3</v>
      </c>
      <c r="G36" s="18">
        <f>G35/Income_Statement!G5</f>
        <v>6.023631525487157E-3</v>
      </c>
      <c r="H36" s="25">
        <f>H35/Income_Statement!H5</f>
        <v>1.0754173077312459E-2</v>
      </c>
      <c r="I36" s="25">
        <f>I35/Income_Statement!I5</f>
        <v>1.3295198841965382E-2</v>
      </c>
      <c r="J36" s="25">
        <f>J35/Income_Statement!J5</f>
        <v>1.6746471422280095E-2</v>
      </c>
      <c r="K36" s="25">
        <f>K35/Income_Statement!K5</f>
        <v>2.2211956831576243E-2</v>
      </c>
      <c r="L36" s="25">
        <f>L35/Income_Statement!L5</f>
        <v>3.1540531898622791E-2</v>
      </c>
    </row>
    <row r="37" spans="2:12" ht="18.75" x14ac:dyDescent="0.25">
      <c r="B37" s="9" t="s">
        <v>112</v>
      </c>
      <c r="C37" s="7">
        <f xml:space="preserve"> C33-C35</f>
        <v>124015.53970056225</v>
      </c>
      <c r="D37" s="7">
        <f t="shared" ref="D37:L37" si="21" xml:space="preserve"> D33-D35</f>
        <v>141177.94041414562</v>
      </c>
      <c r="E37" s="7">
        <f t="shared" si="21"/>
        <v>133070.04824483214</v>
      </c>
      <c r="F37" s="7">
        <f t="shared" si="21"/>
        <v>125076.68304889537</v>
      </c>
      <c r="G37" s="7">
        <f t="shared" si="21"/>
        <v>153226.73694437111</v>
      </c>
      <c r="H37" s="27">
        <f t="shared" si="21"/>
        <v>138065.97496383646</v>
      </c>
      <c r="I37" s="27">
        <f t="shared" si="21"/>
        <v>142524.10746250275</v>
      </c>
      <c r="J37" s="27">
        <f t="shared" si="21"/>
        <v>155118.10559317839</v>
      </c>
      <c r="K37" s="27">
        <f t="shared" si="21"/>
        <v>163678.98444931852</v>
      </c>
      <c r="L37" s="27">
        <f t="shared" si="21"/>
        <v>149263.88484944572</v>
      </c>
    </row>
    <row r="38" spans="2:12" x14ac:dyDescent="0.25">
      <c r="B38" s="19" t="s">
        <v>254</v>
      </c>
      <c r="C38" s="21">
        <f>C37/Income_Statement!C5</f>
        <v>0.44519089026899927</v>
      </c>
      <c r="D38" s="21">
        <f>D37/Income_Statement!D5</f>
        <v>0.41567058086422826</v>
      </c>
      <c r="E38" s="21">
        <f>E37/Income_Statement!E5</f>
        <v>0.4049495308811325</v>
      </c>
      <c r="F38" s="21">
        <f>F37/Income_Statement!F5</f>
        <v>0.41248165062232317</v>
      </c>
      <c r="G38" s="21">
        <f>G37/Income_Statement!G5</f>
        <v>0.35422445280454762</v>
      </c>
      <c r="H38" s="29">
        <f>H37/Income_Statement!H5</f>
        <v>0.32968090905133057</v>
      </c>
      <c r="I38" s="29">
        <f>I37/Income_Statement!I5</f>
        <v>0.32061707585500371</v>
      </c>
      <c r="J38" s="29">
        <f>J37/Income_Statement!J5</f>
        <v>0.30830633575684818</v>
      </c>
      <c r="K38" s="29">
        <f>K37/Income_Statement!K5</f>
        <v>0.28881102274052617</v>
      </c>
      <c r="L38" s="29">
        <f>L37/Income_Statement!L5</f>
        <v>0.25553638688119223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124015.53970056225</v>
      </c>
      <c r="D41" s="7">
        <f t="shared" ref="D41:L41" si="24" xml:space="preserve"> D37+D39</f>
        <v>141177.94041414562</v>
      </c>
      <c r="E41" s="7">
        <f t="shared" si="24"/>
        <v>133070.04824483214</v>
      </c>
      <c r="F41" s="7">
        <f t="shared" si="24"/>
        <v>125076.68304889537</v>
      </c>
      <c r="G41" s="7">
        <f t="shared" si="24"/>
        <v>153226.73694437111</v>
      </c>
      <c r="H41" s="27">
        <f t="shared" si="24"/>
        <v>138065.97496383646</v>
      </c>
      <c r="I41" s="27">
        <f t="shared" si="24"/>
        <v>142524.10746250275</v>
      </c>
      <c r="J41" s="27">
        <f t="shared" si="24"/>
        <v>155118.10559317839</v>
      </c>
      <c r="K41" s="27">
        <f t="shared" si="24"/>
        <v>163678.98444931852</v>
      </c>
      <c r="L41" s="27">
        <f t="shared" si="24"/>
        <v>149263.88484944572</v>
      </c>
    </row>
    <row r="42" spans="2:12" x14ac:dyDescent="0.25">
      <c r="B42" s="19" t="s">
        <v>256</v>
      </c>
      <c r="C42" s="21">
        <f>C41/Income_Statement!C5</f>
        <v>0.44519089026899927</v>
      </c>
      <c r="D42" s="21">
        <f>D41/Income_Statement!D5</f>
        <v>0.41567058086422826</v>
      </c>
      <c r="E42" s="21">
        <f>E41/Income_Statement!E5</f>
        <v>0.4049495308811325</v>
      </c>
      <c r="F42" s="21">
        <f>F41/Income_Statement!F5</f>
        <v>0.41248165062232317</v>
      </c>
      <c r="G42" s="21">
        <f>G41/Income_Statement!G5</f>
        <v>0.35422445280454762</v>
      </c>
      <c r="H42" s="29">
        <f>H41/Income_Statement!H5</f>
        <v>0.32968090905133057</v>
      </c>
      <c r="I42" s="29">
        <f>I41/Income_Statement!I5</f>
        <v>0.32061707585500371</v>
      </c>
      <c r="J42" s="29">
        <f>J41/Income_Statement!J5</f>
        <v>0.30830633575684818</v>
      </c>
      <c r="K42" s="29">
        <f>K41/Income_Statement!K5</f>
        <v>0.28881102274052617</v>
      </c>
      <c r="L42" s="29">
        <f>L41/Income_Statement!L5</f>
        <v>0.25553638688119223</v>
      </c>
    </row>
    <row r="43" spans="2:12" ht="18.75" x14ac:dyDescent="0.25">
      <c r="B43" s="8" t="s">
        <v>72</v>
      </c>
      <c r="C43" s="5">
        <v>0</v>
      </c>
      <c r="D43" s="5">
        <v>0</v>
      </c>
      <c r="E43" s="5">
        <v>-1310.3499999999999</v>
      </c>
      <c r="F43" s="4">
        <v>5265.76</v>
      </c>
      <c r="G43" s="4">
        <v>1135.1500000000001</v>
      </c>
      <c r="H43" s="26">
        <f>H5*H44</f>
        <v>1098.9807960181995</v>
      </c>
      <c r="I43" s="26">
        <f t="shared" ref="I43:L43" si="25">I5*I44</f>
        <v>1166.5380780007069</v>
      </c>
      <c r="J43" s="26">
        <f t="shared" si="25"/>
        <v>1320.3141600119943</v>
      </c>
      <c r="K43" s="26">
        <f t="shared" si="25"/>
        <v>1487.2240361033996</v>
      </c>
      <c r="L43" s="26">
        <f t="shared" si="25"/>
        <v>1532.8484861041061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-3.9875661336937944E-3</v>
      </c>
      <c r="F44" s="18">
        <f>F43/Income_Statement!F5</f>
        <v>1.736558184655335E-2</v>
      </c>
      <c r="G44" s="18">
        <f>G43/Income_Statement!G5</f>
        <v>2.6242018568016869E-3</v>
      </c>
      <c r="H44" s="25">
        <f>G44</f>
        <v>2.6242018568016869E-3</v>
      </c>
      <c r="I44" s="25">
        <f t="shared" ref="I44:L44" si="26">H44</f>
        <v>2.6242018568016869E-3</v>
      </c>
      <c r="J44" s="25">
        <f t="shared" si="26"/>
        <v>2.6242018568016869E-3</v>
      </c>
      <c r="K44" s="25">
        <f t="shared" si="26"/>
        <v>2.6242018568016869E-3</v>
      </c>
      <c r="L44" s="25">
        <f t="shared" si="26"/>
        <v>2.6242018568016869E-3</v>
      </c>
    </row>
    <row r="45" spans="2:12" ht="18.75" x14ac:dyDescent="0.25">
      <c r="B45" s="9" t="s">
        <v>115</v>
      </c>
      <c r="C45" s="7">
        <f xml:space="preserve"> C41+C43</f>
        <v>124015.53970056225</v>
      </c>
      <c r="D45" s="7">
        <f t="shared" ref="D45:L45" si="27" xml:space="preserve"> D41+D43</f>
        <v>141177.94041414562</v>
      </c>
      <c r="E45" s="7">
        <f t="shared" si="27"/>
        <v>131759.69824483214</v>
      </c>
      <c r="F45" s="7">
        <f t="shared" si="27"/>
        <v>130342.44304889537</v>
      </c>
      <c r="G45" s="7">
        <f t="shared" si="27"/>
        <v>154361.8869443711</v>
      </c>
      <c r="H45" s="27">
        <f t="shared" si="27"/>
        <v>139164.95575985467</v>
      </c>
      <c r="I45" s="27">
        <f t="shared" si="27"/>
        <v>143690.64554050346</v>
      </c>
      <c r="J45" s="27">
        <f t="shared" si="27"/>
        <v>156438.41975319039</v>
      </c>
      <c r="K45" s="27">
        <f t="shared" si="27"/>
        <v>165166.20848542193</v>
      </c>
      <c r="L45" s="27">
        <f t="shared" si="27"/>
        <v>150796.73333554983</v>
      </c>
    </row>
    <row r="46" spans="2:12" x14ac:dyDescent="0.25">
      <c r="B46" s="19" t="s">
        <v>258</v>
      </c>
      <c r="C46" s="21">
        <f>C45/Income_Statement!C5</f>
        <v>0.44519089026899927</v>
      </c>
      <c r="D46" s="21">
        <f>D45/Income_Statement!D5</f>
        <v>0.41567058086422826</v>
      </c>
      <c r="E46" s="21">
        <f>E45/Income_Statement!E5</f>
        <v>0.40096196474743873</v>
      </c>
      <c r="F46" s="21">
        <f>F45/Income_Statement!F5</f>
        <v>0.42984723246887652</v>
      </c>
      <c r="G46" s="21">
        <f>G45/Income_Statement!G5</f>
        <v>0.3568486546613493</v>
      </c>
      <c r="H46" s="29">
        <f>H45/Income_Statement!H5</f>
        <v>0.33230511090813225</v>
      </c>
      <c r="I46" s="29">
        <f>I45/Income_Statement!I5</f>
        <v>0.32324127771180539</v>
      </c>
      <c r="J46" s="29">
        <f>J45/Income_Statement!J5</f>
        <v>0.31093053761364986</v>
      </c>
      <c r="K46" s="29">
        <f>K45/Income_Statement!K5</f>
        <v>0.2914352245973279</v>
      </c>
      <c r="L46" s="29">
        <f>L45/Income_Statement!L5</f>
        <v>0.25816058873799391</v>
      </c>
    </row>
    <row r="47" spans="2:12" ht="18.75" x14ac:dyDescent="0.25">
      <c r="B47" s="8" t="s">
        <v>79</v>
      </c>
      <c r="C47" s="5">
        <v>4381.6099999999997</v>
      </c>
      <c r="D47" s="5">
        <v>4377.5200000000004</v>
      </c>
      <c r="E47" s="4">
        <v>-14.21</v>
      </c>
      <c r="F47" s="5">
        <v>5112.1899999999996</v>
      </c>
      <c r="G47" s="5">
        <v>4355.2299999999996</v>
      </c>
      <c r="H47" s="24">
        <f>H45*H64</f>
        <v>3926.4575101522069</v>
      </c>
      <c r="I47" s="24">
        <f t="shared" ref="I47:L47" si="28">I45*I64</f>
        <v>4054.1471898623176</v>
      </c>
      <c r="J47" s="24">
        <f t="shared" si="28"/>
        <v>4413.8181538764375</v>
      </c>
      <c r="K47" s="24">
        <f t="shared" si="28"/>
        <v>4660.0675880646531</v>
      </c>
      <c r="L47" s="24">
        <f t="shared" si="28"/>
        <v>4254.6412843584094</v>
      </c>
    </row>
    <row r="48" spans="2:12" x14ac:dyDescent="0.25">
      <c r="B48" s="17" t="s">
        <v>259</v>
      </c>
      <c r="C48" s="18">
        <f>C47/Income_Statement!C5</f>
        <v>1.5729100251641336E-2</v>
      </c>
      <c r="D48" s="18">
        <f>D47/Income_Statement!D5</f>
        <v>1.2888743636625948E-2</v>
      </c>
      <c r="E48" s="18">
        <f>E47/Income_Statement!E5</f>
        <v>-4.3242885305291584E-5</v>
      </c>
      <c r="F48" s="18">
        <f>F47/Income_Statement!F5</f>
        <v>1.6859134077537061E-2</v>
      </c>
      <c r="G48" s="18">
        <f>G47/Income_Statement!G5</f>
        <v>1.0068275252432196E-2</v>
      </c>
      <c r="H48" s="25">
        <f>H47/Income_Statement!H5</f>
        <v>9.3757935772189015E-3</v>
      </c>
      <c r="I48" s="25">
        <f>I47/Income_Statement!I5</f>
        <v>9.1200628457990107E-3</v>
      </c>
      <c r="J48" s="25">
        <f>J47/Income_Statement!J5</f>
        <v>8.7727225427032592E-3</v>
      </c>
      <c r="K48" s="25">
        <f>K47/Income_Statement!K5</f>
        <v>8.2226737334484545E-3</v>
      </c>
      <c r="L48" s="25">
        <f>L47/Income_Statement!L5</f>
        <v>7.2838494212924829E-3</v>
      </c>
    </row>
    <row r="49" spans="2:12" ht="18.75" x14ac:dyDescent="0.25">
      <c r="B49" s="9" t="s">
        <v>116</v>
      </c>
      <c r="C49" s="7">
        <f xml:space="preserve"> C45-C47</f>
        <v>119633.92970056225</v>
      </c>
      <c r="D49" s="7">
        <f t="shared" ref="D49:L49" si="29" xml:space="preserve"> D45-D47</f>
        <v>136800.42041414563</v>
      </c>
      <c r="E49" s="7">
        <f t="shared" si="29"/>
        <v>131773.90824483213</v>
      </c>
      <c r="F49" s="7">
        <f t="shared" si="29"/>
        <v>125230.25304889536</v>
      </c>
      <c r="G49" s="7">
        <f t="shared" si="29"/>
        <v>150006.65694437109</v>
      </c>
      <c r="H49" s="27">
        <f t="shared" si="29"/>
        <v>135238.49824970245</v>
      </c>
      <c r="I49" s="27">
        <f t="shared" si="29"/>
        <v>139636.49835064114</v>
      </c>
      <c r="J49" s="27">
        <f t="shared" si="29"/>
        <v>152024.60159931396</v>
      </c>
      <c r="K49" s="27">
        <f t="shared" si="29"/>
        <v>160506.14089735728</v>
      </c>
      <c r="L49" s="27">
        <f t="shared" si="29"/>
        <v>146542.09205119143</v>
      </c>
    </row>
    <row r="50" spans="2:12" x14ac:dyDescent="0.25">
      <c r="B50" s="19" t="s">
        <v>260</v>
      </c>
      <c r="C50" s="21">
        <f>C49/Income_Statement!C5</f>
        <v>0.42946179001735796</v>
      </c>
      <c r="D50" s="21">
        <f>D49/Income_Statement!D5</f>
        <v>0.40278183722760236</v>
      </c>
      <c r="E50" s="21">
        <f>E49/Income_Statement!E5</f>
        <v>0.401005207632744</v>
      </c>
      <c r="F50" s="21">
        <f>F49/Income_Statement!F5</f>
        <v>0.41298809839133943</v>
      </c>
      <c r="G50" s="21">
        <f>G49/Income_Statement!G5</f>
        <v>0.34678037940891709</v>
      </c>
      <c r="H50" s="29">
        <f>H49/Income_Statement!H5</f>
        <v>0.32292931733091335</v>
      </c>
      <c r="I50" s="29">
        <f>I49/Income_Statement!I5</f>
        <v>0.31412121486600636</v>
      </c>
      <c r="J50" s="29">
        <f>J49/Income_Statement!J5</f>
        <v>0.30215781507094663</v>
      </c>
      <c r="K50" s="29">
        <f>K49/Income_Statement!K5</f>
        <v>0.28321255086387948</v>
      </c>
      <c r="L50" s="29">
        <f>L49/Income_Statement!L5</f>
        <v>0.25087673931670146</v>
      </c>
    </row>
    <row r="51" spans="2:12" ht="18.75" x14ac:dyDescent="0.25">
      <c r="B51" s="8" t="s">
        <v>88</v>
      </c>
      <c r="C51" s="4">
        <v>2884.76</v>
      </c>
      <c r="D51" s="5">
        <v>3540.39</v>
      </c>
      <c r="E51" s="5">
        <v>4818.8599999999997</v>
      </c>
      <c r="F51" s="5">
        <v>4555.43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1.0355709257995319E-2</v>
      </c>
      <c r="D52" s="18">
        <f>D51/Income_Statement!D5</f>
        <v>1.0423979578316978E-2</v>
      </c>
      <c r="E52" s="18">
        <f>E51/Income_Statement!E5</f>
        <v>1.4664420146534648E-2</v>
      </c>
      <c r="F52" s="18">
        <f>F51/Income_Statement!F5</f>
        <v>1.5023034189033403E-2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647.61</v>
      </c>
      <c r="D53" s="4">
        <v>801.76</v>
      </c>
      <c r="E53" s="5">
        <v>1091.23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2.3247898863580844E-3</v>
      </c>
      <c r="D54" s="18">
        <f>D53/Income_Statement!D5</f>
        <v>2.3606240743848615E-3</v>
      </c>
      <c r="E54" s="18">
        <f>E53/Income_Statement!E5</f>
        <v>3.3207553646511846E-3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116101.55970056225</v>
      </c>
      <c r="D55" s="7">
        <f t="shared" ref="D55:L55" si="34" xml:space="preserve"> D49-D51-D53</f>
        <v>132458.27041414561</v>
      </c>
      <c r="E55" s="7">
        <f t="shared" si="34"/>
        <v>125863.81824483213</v>
      </c>
      <c r="F55" s="7">
        <f t="shared" si="34"/>
        <v>120674.82304889537</v>
      </c>
      <c r="G55" s="7">
        <f t="shared" si="34"/>
        <v>150006.65694437109</v>
      </c>
      <c r="H55" s="27">
        <f t="shared" si="34"/>
        <v>135238.49824970245</v>
      </c>
      <c r="I55" s="27">
        <f t="shared" si="34"/>
        <v>139636.49835064114</v>
      </c>
      <c r="J55" s="27">
        <f t="shared" si="34"/>
        <v>152024.60159931396</v>
      </c>
      <c r="K55" s="27">
        <f t="shared" si="34"/>
        <v>160506.14089735728</v>
      </c>
      <c r="L55" s="27">
        <f t="shared" si="34"/>
        <v>146542.09205119143</v>
      </c>
    </row>
    <row r="56" spans="2:12" x14ac:dyDescent="0.25">
      <c r="B56" s="19" t="s">
        <v>263</v>
      </c>
      <c r="C56" s="21">
        <f>C55/Income_Statement!C5</f>
        <v>0.41678129087300458</v>
      </c>
      <c r="D56" s="21">
        <f>D55/Income_Statement!D5</f>
        <v>0.3899972335749004</v>
      </c>
      <c r="E56" s="21">
        <f>E55/Income_Statement!E5</f>
        <v>0.38302003212155816</v>
      </c>
      <c r="F56" s="21">
        <f>F55/Income_Statement!F5</f>
        <v>0.3979650642023061</v>
      </c>
      <c r="G56" s="21">
        <f>G55/Income_Statement!G5</f>
        <v>0.34678037940891709</v>
      </c>
      <c r="H56" s="29">
        <f>H55/Income_Statement!H5</f>
        <v>0.32292931733091335</v>
      </c>
      <c r="I56" s="29">
        <f>I55/Income_Statement!I5</f>
        <v>0.31412121486600636</v>
      </c>
      <c r="J56" s="29">
        <f>J55/Income_Statement!J5</f>
        <v>0.30215781507094663</v>
      </c>
      <c r="K56" s="29">
        <f>K55/Income_Statement!K5</f>
        <v>0.28321255086387948</v>
      </c>
      <c r="L56" s="29">
        <f>L55/Income_Statement!L5</f>
        <v>0.25087673931670146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46</v>
      </c>
      <c r="D60" s="4">
        <v>40</v>
      </c>
      <c r="E60" s="4">
        <v>16</v>
      </c>
      <c r="F60" s="4">
        <v>82</v>
      </c>
      <c r="G60" s="4">
        <v>55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2600.737602186136</v>
      </c>
      <c r="D61" s="4">
        <f t="shared" ref="D61:G61" si="35">D49/D60</f>
        <v>3420.0105103536407</v>
      </c>
      <c r="E61" s="4">
        <f t="shared" si="35"/>
        <v>8235.869265302008</v>
      </c>
      <c r="F61" s="4">
        <f t="shared" si="35"/>
        <v>1527.1982079133581</v>
      </c>
      <c r="G61" s="4">
        <f t="shared" si="35"/>
        <v>2727.393762624929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6.3741495426299144E-2</v>
      </c>
      <c r="D62" s="23">
        <f>D31/Balance_Sheet!D40</f>
        <v>6.9791314419390307E-2</v>
      </c>
      <c r="E62" s="23">
        <f>E31/Balance_Sheet!E40</f>
        <v>6.8235810400279498E-2</v>
      </c>
      <c r="F62" s="23">
        <f>F31/Balance_Sheet!F40</f>
        <v>6.8159862516864192E-2</v>
      </c>
      <c r="G62" s="23">
        <f>G31/Balance_Sheet!G40</f>
        <v>5.5378846296709396E-2</v>
      </c>
      <c r="H62" s="23">
        <f>MEDIAN(C62:G62)</f>
        <v>6.8159862516864192E-2</v>
      </c>
      <c r="I62" s="23">
        <f t="shared" ref="I62:L62" si="36">H62</f>
        <v>6.8159862516864192E-2</v>
      </c>
      <c r="J62" s="23">
        <f t="shared" si="36"/>
        <v>6.8159862516864192E-2</v>
      </c>
      <c r="K62" s="23">
        <f t="shared" si="36"/>
        <v>6.8159862516864192E-2</v>
      </c>
      <c r="L62" s="23">
        <f t="shared" si="36"/>
        <v>6.8159862516864192E-2</v>
      </c>
    </row>
    <row r="63" spans="2:12" x14ac:dyDescent="0.25">
      <c r="B63" t="s">
        <v>267</v>
      </c>
      <c r="C63" s="23">
        <f>C35/Balance_Sheet!C21</f>
        <v>2.788683177754505E-2</v>
      </c>
      <c r="D63" s="23">
        <f>D35/Balance_Sheet!D21</f>
        <v>3.5487281955251762E-2</v>
      </c>
      <c r="E63" s="23">
        <f>E35/Balance_Sheet!E21</f>
        <v>4.2530388871757092E-2</v>
      </c>
      <c r="F63" s="23">
        <f>F35/Balance_Sheet!F21</f>
        <v>3.8376877275092744E-2</v>
      </c>
      <c r="G63" s="23">
        <f>G35/Balance_Sheet!G21</f>
        <v>4.1818438605388676E-2</v>
      </c>
      <c r="H63" s="23">
        <f>G63</f>
        <v>4.1818438605388676E-2</v>
      </c>
      <c r="I63" s="23">
        <f t="shared" ref="I63:L63" si="37">H63</f>
        <v>4.1818438605388676E-2</v>
      </c>
      <c r="J63" s="23">
        <f t="shared" si="37"/>
        <v>4.1818438605388676E-2</v>
      </c>
      <c r="K63" s="23">
        <f t="shared" si="37"/>
        <v>4.1818438605388676E-2</v>
      </c>
      <c r="L63" s="23">
        <f t="shared" si="37"/>
        <v>4.1818438605388676E-2</v>
      </c>
    </row>
    <row r="64" spans="2:12" x14ac:dyDescent="0.25">
      <c r="B64" t="s">
        <v>268</v>
      </c>
      <c r="C64" s="23">
        <f>C47/Income_Statement!C45</f>
        <v>3.5331136812204955E-2</v>
      </c>
      <c r="D64" s="23">
        <f>D47/Income_Statement!D45</f>
        <v>3.1007110510031112E-2</v>
      </c>
      <c r="E64" s="23">
        <f>E47/Income_Statement!E45</f>
        <v>-1.0784784869190716E-4</v>
      </c>
      <c r="F64" s="23">
        <f>F47/Income_Statement!F45</f>
        <v>3.9221222806774182E-2</v>
      </c>
      <c r="G64" s="23">
        <f>G47/Income_Statement!G45</f>
        <v>2.8214412807544498E-2</v>
      </c>
      <c r="H64" s="23">
        <f>G64</f>
        <v>2.8214412807544498E-2</v>
      </c>
      <c r="I64" s="23">
        <f t="shared" ref="I64:L64" si="38">H64</f>
        <v>2.8214412807544498E-2</v>
      </c>
      <c r="J64" s="23">
        <f t="shared" si="38"/>
        <v>2.8214412807544498E-2</v>
      </c>
      <c r="K64" s="23">
        <f t="shared" si="38"/>
        <v>2.8214412807544498E-2</v>
      </c>
      <c r="L64" s="23">
        <f t="shared" si="38"/>
        <v>2.8214412807544498E-2</v>
      </c>
    </row>
    <row r="65" spans="2:12" x14ac:dyDescent="0.25">
      <c r="B65" t="s">
        <v>269</v>
      </c>
      <c r="C65" s="23">
        <f>C53/Income_Statement!C51</f>
        <v>0.22449354539025776</v>
      </c>
      <c r="D65" s="23">
        <f>D53/Income_Statement!D51</f>
        <v>0.22646092662107847</v>
      </c>
      <c r="E65" s="23">
        <f>E53/Income_Statement!E51</f>
        <v>0.22644982423228732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D0A45568-3CB4-4324-ADDA-7F444F9FC4C8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1354-D79B-491B-B34A-8481D02A760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278567.11</v>
      </c>
      <c r="D5" s="13">
        <f>Income_Statement!D5</f>
        <v>339639</v>
      </c>
      <c r="E5" s="13">
        <f>Income_Statement!E5</f>
        <v>328608.96999999997</v>
      </c>
      <c r="F5" s="13">
        <f>Income_Statement!F5</f>
        <v>303229.69</v>
      </c>
      <c r="G5" s="13">
        <f>Income_Statement!G5</f>
        <v>432569.62</v>
      </c>
    </row>
    <row r="6" spans="2:15" ht="18.75" x14ac:dyDescent="0.25">
      <c r="B6" s="12" t="str">
        <f>Income_Statement!B15</f>
        <v>Total Income</v>
      </c>
      <c r="C6" s="13">
        <f>Income_Statement!C15</f>
        <v>236699.47970056225</v>
      </c>
      <c r="D6" s="13">
        <f>Income_Statement!D15</f>
        <v>299023.86041414563</v>
      </c>
      <c r="E6" s="13">
        <f>Income_Statement!E15</f>
        <v>285313.90824483213</v>
      </c>
      <c r="F6" s="13">
        <f>Income_Statement!F15</f>
        <v>231379.84304889539</v>
      </c>
      <c r="G6" s="13">
        <f>Income_Statement!G15</f>
        <v>349060.42694437114</v>
      </c>
    </row>
  </sheetData>
  <hyperlinks>
    <hyperlink ref="F1" location="Index_Data!A1" tooltip="Hi click here To return Index page" display="Index_Data!A1" xr:uid="{2A13E0A3-DB15-426A-A3F5-A67F66DBA98A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D658-83C5-4DB1-BD00-EFE9D63A802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120356.06</v>
      </c>
      <c r="D5" s="13">
        <f>Balance_Sheet!D37</f>
        <v>267242.50041414559</v>
      </c>
      <c r="E5" s="13">
        <f>Balance_Sheet!E37</f>
        <v>409271.88865897775</v>
      </c>
      <c r="F5" s="13">
        <f>Balance_Sheet!F37</f>
        <v>523178.46170787304</v>
      </c>
      <c r="G5" s="13">
        <f>Balance_Sheet!G37</f>
        <v>701407.71865224408</v>
      </c>
    </row>
    <row r="6" spans="2:15" ht="18.75" x14ac:dyDescent="0.25">
      <c r="B6" s="12" t="str">
        <f>Balance_Sheet!B21</f>
        <v>Total Debt</v>
      </c>
      <c r="C6" s="13">
        <f>Balance_Sheet!C21</f>
        <v>42519.71</v>
      </c>
      <c r="D6" s="13">
        <f>Balance_Sheet!D21</f>
        <v>49706.540000000008</v>
      </c>
      <c r="E6" s="13">
        <f>Balance_Sheet!E21</f>
        <v>62002.96</v>
      </c>
      <c r="F6" s="13">
        <f>Balance_Sheet!F21</f>
        <v>44907.509999999995</v>
      </c>
      <c r="G6" s="13">
        <f>Balance_Sheet!G21</f>
        <v>62308.4</v>
      </c>
    </row>
  </sheetData>
  <hyperlinks>
    <hyperlink ref="F1" location="Index_Data!A1" tooltip="Hi click here To return Index page" display="Index_Data!A1" xr:uid="{192C2719-BFBD-4D7D-9A5F-30BF9CDA8ACB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24B8-A2DE-4E9B-8200-62390957419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120356.06</v>
      </c>
      <c r="D5" s="13">
        <f>Balance_Sheet!D37</f>
        <v>267242.50041414559</v>
      </c>
      <c r="E5" s="13">
        <f>Balance_Sheet!E37</f>
        <v>409271.88865897775</v>
      </c>
      <c r="F5" s="13">
        <f>Balance_Sheet!F37</f>
        <v>523178.46170787304</v>
      </c>
      <c r="G5" s="13">
        <f>Balance_Sheet!G37</f>
        <v>701407.71865224408</v>
      </c>
    </row>
    <row r="6" spans="2:15" ht="18.75" x14ac:dyDescent="0.25">
      <c r="B6" s="12" t="str">
        <f>Balance_Sheet!B33</f>
        <v>Total Current Liabilities</v>
      </c>
      <c r="C6" s="13">
        <f>Balance_Sheet!C33</f>
        <v>39312.69</v>
      </c>
      <c r="D6" s="13">
        <f>Balance_Sheet!D33</f>
        <v>46389.08</v>
      </c>
      <c r="E6" s="13">
        <f>Balance_Sheet!E33</f>
        <v>50271.93</v>
      </c>
      <c r="F6" s="13">
        <f>Balance_Sheet!F33</f>
        <v>62529.440000000002</v>
      </c>
      <c r="G6" s="13">
        <f>Balance_Sheet!G33</f>
        <v>73314.61</v>
      </c>
    </row>
  </sheetData>
  <hyperlinks>
    <hyperlink ref="F1" location="Index_Data!A1" tooltip="Hi click here To return Index page" display="Index_Data!A1" xr:uid="{178AC0EB-662D-4C81-BCAF-75CFABABEAAD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76B6-6B68-44C6-B2D3-FC26235255F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120356.06000000001</v>
      </c>
      <c r="D5" s="13">
        <f>Balance_Sheet!D74</f>
        <v>267242.50041414559</v>
      </c>
      <c r="E5" s="13">
        <f>Balance_Sheet!E74</f>
        <v>409271.8886589777</v>
      </c>
      <c r="F5" s="13">
        <f>Balance_Sheet!F74</f>
        <v>523178.4617078731</v>
      </c>
      <c r="G5" s="13">
        <f>Balance_Sheet!G74</f>
        <v>701407.71865224419</v>
      </c>
    </row>
    <row r="6" spans="2:15" ht="18.75" x14ac:dyDescent="0.25">
      <c r="B6" s="12" t="str">
        <f>Balance_Sheet!B54</f>
        <v>Total Non Current Assets</v>
      </c>
      <c r="C6" s="13">
        <f>Balance_Sheet!C54</f>
        <v>79138.610000000015</v>
      </c>
      <c r="D6" s="13">
        <f>Balance_Sheet!D54</f>
        <v>78096.87999999999</v>
      </c>
      <c r="E6" s="13">
        <f>Balance_Sheet!E54</f>
        <v>89653.729999999981</v>
      </c>
      <c r="F6" s="13">
        <f>Balance_Sheet!F54</f>
        <v>86679.39</v>
      </c>
      <c r="G6" s="13">
        <f>Balance_Sheet!G54</f>
        <v>104479.91</v>
      </c>
    </row>
  </sheetData>
  <hyperlinks>
    <hyperlink ref="F1" location="Index_Data!A1" tooltip="Hi click here To return Index page" display="Index_Data!A1" xr:uid="{4D6641A3-C626-4A94-AB7C-9D892B9AD1F1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80A4E-49E8-4DA4-858B-89D371339F4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120356.06000000001</v>
      </c>
      <c r="D5" s="13">
        <f>Balance_Sheet!D74</f>
        <v>267242.50041414559</v>
      </c>
      <c r="E5" s="13">
        <f>Balance_Sheet!E74</f>
        <v>409271.8886589777</v>
      </c>
      <c r="F5" s="13">
        <f>Balance_Sheet!F74</f>
        <v>523178.4617078731</v>
      </c>
      <c r="G5" s="13">
        <f>Balance_Sheet!G74</f>
        <v>701407.71865224419</v>
      </c>
    </row>
    <row r="6" spans="2:15" ht="18.75" x14ac:dyDescent="0.25">
      <c r="B6" s="12" t="str">
        <f>Balance_Sheet!B72</f>
        <v>Total Current Assets</v>
      </c>
      <c r="C6" s="13">
        <f>Balance_Sheet!C72</f>
        <v>41217.449999999997</v>
      </c>
      <c r="D6" s="13">
        <f>Balance_Sheet!D72</f>
        <v>189145.62041414558</v>
      </c>
      <c r="E6" s="13">
        <f>Balance_Sheet!E72</f>
        <v>319618.15865897771</v>
      </c>
      <c r="F6" s="13">
        <f>Balance_Sheet!F72</f>
        <v>436499.07170787308</v>
      </c>
      <c r="G6" s="13">
        <f>Balance_Sheet!G72</f>
        <v>596927.80865224416</v>
      </c>
    </row>
  </sheetData>
  <hyperlinks>
    <hyperlink ref="F1" location="Index_Data!A1" tooltip="Hi click here To return Index page" display="Index_Data!A1" xr:uid="{F5CE5263-D3B2-48E4-B971-72DFDC42FD40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F90C-1D7D-4D9E-93F9-5C811107E6C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108613.2</v>
      </c>
      <c r="D5" s="13">
        <f>Income_Statement!D25</f>
        <v>152664.20000000001</v>
      </c>
      <c r="E5" s="13">
        <f>Income_Statement!E25</f>
        <v>145526.75999999998</v>
      </c>
      <c r="F5" s="13">
        <f>Income_Statement!F25</f>
        <v>100245.54000000001</v>
      </c>
      <c r="G5" s="13">
        <f>Income_Statement!G25</f>
        <v>187793.7</v>
      </c>
    </row>
    <row r="6" spans="2:15" ht="18.75" x14ac:dyDescent="0.25">
      <c r="B6" s="12" t="str">
        <f>Income_Statement!B15</f>
        <v>Total Income</v>
      </c>
      <c r="C6" s="13">
        <f>Income_Statement!C15</f>
        <v>236699.47970056225</v>
      </c>
      <c r="D6" s="13">
        <f>Income_Statement!D15</f>
        <v>299023.86041414563</v>
      </c>
      <c r="E6" s="13">
        <f>Income_Statement!E15</f>
        <v>285313.90824483213</v>
      </c>
      <c r="F6" s="13">
        <f>Income_Statement!F15</f>
        <v>231379.84304889539</v>
      </c>
      <c r="G6" s="13">
        <f>Income_Statement!G15</f>
        <v>349060.42694437114</v>
      </c>
    </row>
  </sheetData>
  <hyperlinks>
    <hyperlink ref="F1" location="Index_Data!A1" tooltip="Hi click here To return Index page" display="Index_Data!A1" xr:uid="{620A39DB-2B59-44FF-952F-98D988FE18B9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E08ED-16A7-49CB-9EF4-2FB425031A9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116101.55970056225</v>
      </c>
      <c r="D5" s="13">
        <f>Income_Statement!D55</f>
        <v>132458.27041414561</v>
      </c>
      <c r="E5" s="13">
        <f>Income_Statement!E55</f>
        <v>125863.81824483213</v>
      </c>
      <c r="F5" s="13">
        <f>Income_Statement!F55</f>
        <v>120674.82304889537</v>
      </c>
      <c r="G5" s="13">
        <f>Income_Statement!G55</f>
        <v>150006.65694437109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119633.92970056225</v>
      </c>
      <c r="D6" s="13">
        <f>Income_Statement!D49</f>
        <v>136800.42041414563</v>
      </c>
      <c r="E6" s="13">
        <f>Income_Statement!E49</f>
        <v>131773.90824483213</v>
      </c>
      <c r="F6" s="13">
        <f>Income_Statement!F49</f>
        <v>125230.25304889536</v>
      </c>
      <c r="G6" s="13">
        <f>Income_Statement!G49</f>
        <v>150006.65694437109</v>
      </c>
    </row>
  </sheetData>
  <hyperlinks>
    <hyperlink ref="F1" location="Index_Data!A1" tooltip="Hi click here To return Index page" display="Index_Data!A1" xr:uid="{5E045617-FA8D-4AE2-B0DE-7C28D6BE23B1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AC61-02D5-44C1-8809-0D5C7408ACA3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1966.88</v>
      </c>
      <c r="D5" s="5">
        <v>1966.88</v>
      </c>
      <c r="E5" s="5">
        <v>1966.89</v>
      </c>
      <c r="F5" s="5">
        <v>2092.91</v>
      </c>
      <c r="G5" s="5">
        <v>2129.4499999999998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1966.88</v>
      </c>
      <c r="D7" s="7">
        <f t="shared" ref="D7:G7" si="0">D5+D6</f>
        <v>1966.88</v>
      </c>
      <c r="E7" s="7">
        <f t="shared" si="0"/>
        <v>1966.89</v>
      </c>
      <c r="F7" s="7">
        <f t="shared" si="0"/>
        <v>2092.91</v>
      </c>
      <c r="G7" s="7">
        <f t="shared" si="0"/>
        <v>2129.4499999999998</v>
      </c>
    </row>
    <row r="8" spans="2:15" ht="18.75" x14ac:dyDescent="0.25">
      <c r="B8" s="8" t="s">
        <v>7</v>
      </c>
      <c r="C8" s="5">
        <v>34651.69</v>
      </c>
      <c r="D8" s="5">
        <f>Income_Statement!D55+C8</f>
        <v>167109.96041414561</v>
      </c>
      <c r="E8" s="5">
        <f>Income_Statement!E55+D8</f>
        <v>292973.77865897771</v>
      </c>
      <c r="F8" s="5">
        <f>Income_Statement!F55+E8</f>
        <v>413648.60170787305</v>
      </c>
      <c r="G8" s="5">
        <f>Income_Statement!G55+F8</f>
        <v>563655.25865224411</v>
      </c>
    </row>
    <row r="9" spans="2:15" ht="18.75" x14ac:dyDescent="0.25">
      <c r="B9" s="9" t="s">
        <v>122</v>
      </c>
      <c r="C9" s="7">
        <f>C7+C8</f>
        <v>36618.57</v>
      </c>
      <c r="D9" s="7">
        <f t="shared" ref="D9:G9" si="1">D7+D8</f>
        <v>169076.84041414561</v>
      </c>
      <c r="E9" s="7">
        <f t="shared" si="1"/>
        <v>294940.66865897772</v>
      </c>
      <c r="F9" s="7">
        <f t="shared" si="1"/>
        <v>415741.51170787303</v>
      </c>
      <c r="G9" s="7">
        <f t="shared" si="1"/>
        <v>565784.70865224407</v>
      </c>
    </row>
    <row r="10" spans="2:15" ht="18.75" x14ac:dyDescent="0.25">
      <c r="B10" s="8" t="s">
        <v>12</v>
      </c>
      <c r="C10" s="5">
        <v>28904.28</v>
      </c>
      <c r="D10" s="5">
        <v>34315.58</v>
      </c>
      <c r="E10" s="5">
        <v>38043.89</v>
      </c>
      <c r="F10" s="5">
        <v>35740.22</v>
      </c>
      <c r="G10" s="5">
        <v>36358.93</v>
      </c>
    </row>
    <row r="11" spans="2:15" ht="18.75" x14ac:dyDescent="0.25">
      <c r="B11" s="8" t="s">
        <v>13</v>
      </c>
      <c r="C11" s="5">
        <v>5522.4</v>
      </c>
      <c r="D11" s="5">
        <v>6792.01</v>
      </c>
      <c r="E11" s="5">
        <v>6163.92</v>
      </c>
      <c r="F11" s="5">
        <v>4934.4799999999996</v>
      </c>
      <c r="G11" s="5">
        <v>6375.72</v>
      </c>
    </row>
    <row r="12" spans="2:15" ht="18.75" x14ac:dyDescent="0.25">
      <c r="B12" s="8" t="s">
        <v>18</v>
      </c>
      <c r="C12" s="5">
        <v>8093.03</v>
      </c>
      <c r="D12" s="5">
        <v>8598.9500000000007</v>
      </c>
      <c r="E12" s="5">
        <v>17795.150000000001</v>
      </c>
      <c r="F12" s="5">
        <v>4232.8100000000004</v>
      </c>
      <c r="G12" s="5">
        <v>19573.75</v>
      </c>
    </row>
    <row r="13" spans="2:15" ht="18.75" x14ac:dyDescent="0.25">
      <c r="B13" s="9" t="s">
        <v>123</v>
      </c>
      <c r="C13" s="7">
        <f>C10+C11+C12</f>
        <v>42519.71</v>
      </c>
      <c r="D13" s="7">
        <f t="shared" ref="D13:G13" si="2">D10+D11+D12</f>
        <v>49706.540000000008</v>
      </c>
      <c r="E13" s="7">
        <f t="shared" si="2"/>
        <v>62002.96</v>
      </c>
      <c r="F13" s="7">
        <f t="shared" si="2"/>
        <v>44907.509999999995</v>
      </c>
      <c r="G13" s="7">
        <f t="shared" si="2"/>
        <v>62308.4</v>
      </c>
    </row>
    <row r="14" spans="2:15" ht="18.75" x14ac:dyDescent="0.25">
      <c r="B14" s="8" t="s">
        <v>15</v>
      </c>
      <c r="C14" s="4">
        <v>1393.36</v>
      </c>
      <c r="D14" s="5">
        <v>1537.63</v>
      </c>
      <c r="E14" s="5">
        <v>1595.99</v>
      </c>
      <c r="F14" s="5">
        <v>1608.89</v>
      </c>
      <c r="G14" s="5">
        <v>234.29</v>
      </c>
    </row>
    <row r="15" spans="2:15" ht="18.75" x14ac:dyDescent="0.25">
      <c r="B15" s="8" t="s">
        <v>21</v>
      </c>
      <c r="C15" s="5">
        <v>1809.52</v>
      </c>
      <c r="D15" s="5">
        <v>2028.58</v>
      </c>
      <c r="E15" s="5">
        <v>2039.39</v>
      </c>
      <c r="F15" s="5">
        <v>1950.28</v>
      </c>
      <c r="G15" s="5">
        <v>2925.39</v>
      </c>
    </row>
    <row r="16" spans="2:15" ht="18.75" x14ac:dyDescent="0.25">
      <c r="B16" s="8" t="s">
        <v>14</v>
      </c>
      <c r="C16" s="5">
        <v>202.2</v>
      </c>
      <c r="D16" s="5">
        <v>340.68</v>
      </c>
      <c r="E16" s="5">
        <v>6249.59</v>
      </c>
      <c r="F16" s="4">
        <v>8222.98</v>
      </c>
      <c r="G16" s="4">
        <v>9585.6</v>
      </c>
    </row>
    <row r="17" spans="2:7" ht="18.75" x14ac:dyDescent="0.25">
      <c r="B17" s="8" t="s">
        <v>19</v>
      </c>
      <c r="C17" s="5">
        <v>15198.21</v>
      </c>
      <c r="D17" s="5">
        <v>17384.73</v>
      </c>
      <c r="E17" s="5">
        <v>13107.21</v>
      </c>
      <c r="F17" s="5">
        <v>16262.67</v>
      </c>
      <c r="G17" s="5">
        <v>30347.72</v>
      </c>
    </row>
    <row r="18" spans="2:7" ht="18.75" x14ac:dyDescent="0.25">
      <c r="B18" s="8" t="s">
        <v>20</v>
      </c>
      <c r="C18" s="5">
        <v>20709.400000000001</v>
      </c>
      <c r="D18" s="5">
        <v>25097.46</v>
      </c>
      <c r="E18" s="5">
        <v>27279.75</v>
      </c>
      <c r="F18" s="5">
        <v>34484.620000000003</v>
      </c>
      <c r="G18" s="5">
        <v>30221.61</v>
      </c>
    </row>
    <row r="19" spans="2:7" ht="18.75" x14ac:dyDescent="0.25">
      <c r="B19" s="9" t="s">
        <v>22</v>
      </c>
      <c r="C19" s="7">
        <f>C14+C15+C16+C17+C18</f>
        <v>39312.69</v>
      </c>
      <c r="D19" s="7">
        <f t="shared" ref="D19:G19" si="3">D14+D15+D16+D17+D18</f>
        <v>46389.08</v>
      </c>
      <c r="E19" s="7">
        <f t="shared" si="3"/>
        <v>50271.93</v>
      </c>
      <c r="F19" s="7">
        <f t="shared" si="3"/>
        <v>62529.440000000002</v>
      </c>
      <c r="G19" s="7">
        <f t="shared" si="3"/>
        <v>73314.61</v>
      </c>
    </row>
    <row r="20" spans="2:7" ht="18.75" x14ac:dyDescent="0.25">
      <c r="B20" s="8" t="s">
        <v>10</v>
      </c>
      <c r="C20" s="4">
        <v>1905.09</v>
      </c>
      <c r="D20" s="4">
        <v>2070.04</v>
      </c>
      <c r="E20" s="5">
        <v>2056.33</v>
      </c>
      <c r="F20" s="5">
        <v>0</v>
      </c>
      <c r="G20" s="5">
        <v>0</v>
      </c>
    </row>
    <row r="21" spans="2:7" ht="18.75" x14ac:dyDescent="0.25">
      <c r="B21" s="9" t="s">
        <v>124</v>
      </c>
      <c r="C21" s="7">
        <f>C9+C13+C19+C20</f>
        <v>120356.06</v>
      </c>
      <c r="D21" s="7">
        <f t="shared" ref="D21:G21" si="4">D9+D13+D19+D20</f>
        <v>267242.50041414559</v>
      </c>
      <c r="E21" s="7">
        <f t="shared" si="4"/>
        <v>409271.88865897775</v>
      </c>
      <c r="F21" s="7">
        <f t="shared" si="4"/>
        <v>523178.46170787304</v>
      </c>
      <c r="G21" s="7">
        <f t="shared" si="4"/>
        <v>701407.71865224408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45260.94</v>
      </c>
      <c r="D23" s="5">
        <v>48971.28</v>
      </c>
      <c r="E23" s="5">
        <v>59793.97</v>
      </c>
      <c r="F23" s="5">
        <v>63588.89</v>
      </c>
      <c r="G23" s="5">
        <v>98130.43</v>
      </c>
    </row>
    <row r="24" spans="2:7" ht="18.75" x14ac:dyDescent="0.25">
      <c r="B24" s="8" t="s">
        <v>27</v>
      </c>
      <c r="C24" s="4">
        <v>278.36</v>
      </c>
      <c r="D24" s="4">
        <v>343.56</v>
      </c>
      <c r="E24" s="4">
        <v>380.6</v>
      </c>
      <c r="F24" s="4">
        <v>509.42</v>
      </c>
      <c r="G24" s="4">
        <v>0</v>
      </c>
    </row>
    <row r="25" spans="2:7" ht="18.75" x14ac:dyDescent="0.25">
      <c r="B25" s="8" t="s">
        <v>125</v>
      </c>
      <c r="C25" s="4"/>
      <c r="D25" s="5">
        <f>Income_Statement!D31</f>
        <v>3417.77</v>
      </c>
      <c r="E25" s="5">
        <f>Income_Statement!E31+D25</f>
        <v>7497.8600000000006</v>
      </c>
      <c r="F25" s="5">
        <f>Income_Statement!F31+E25</f>
        <v>11832.07</v>
      </c>
      <c r="G25" s="5">
        <f>Income_Statement!G31+F25</f>
        <v>17266.419999999998</v>
      </c>
    </row>
    <row r="26" spans="2:7" ht="18.75" x14ac:dyDescent="0.25">
      <c r="B26" s="9" t="s">
        <v>126</v>
      </c>
      <c r="C26" s="7">
        <f>C23+C24-C25</f>
        <v>45539.3</v>
      </c>
      <c r="D26" s="7">
        <f t="shared" ref="D26:G26" si="5">D23+D24-D25</f>
        <v>45897.07</v>
      </c>
      <c r="E26" s="7">
        <f t="shared" si="5"/>
        <v>52676.71</v>
      </c>
      <c r="F26" s="7">
        <f t="shared" si="5"/>
        <v>52266.239999999998</v>
      </c>
      <c r="G26" s="7">
        <f t="shared" si="5"/>
        <v>80864.009999999995</v>
      </c>
    </row>
    <row r="27" spans="2:7" ht="18.75" x14ac:dyDescent="0.25">
      <c r="B27" s="8" t="s">
        <v>30</v>
      </c>
      <c r="C27" s="5">
        <v>18275.29</v>
      </c>
      <c r="D27" s="5">
        <v>19107.82</v>
      </c>
      <c r="E27" s="5">
        <v>21819.97</v>
      </c>
      <c r="F27" s="5">
        <v>19973.46</v>
      </c>
      <c r="G27" s="5">
        <v>19173.63</v>
      </c>
    </row>
    <row r="28" spans="2:7" ht="18.75" x14ac:dyDescent="0.25">
      <c r="B28" s="8" t="s">
        <v>36</v>
      </c>
      <c r="C28" s="5">
        <v>5449.28</v>
      </c>
      <c r="D28" s="5">
        <v>5799.09</v>
      </c>
      <c r="E28" s="5">
        <v>5208.54</v>
      </c>
      <c r="F28" s="5">
        <v>6794.27</v>
      </c>
      <c r="G28" s="5">
        <v>4442.2700000000004</v>
      </c>
    </row>
    <row r="29" spans="2:7" ht="18.75" x14ac:dyDescent="0.25">
      <c r="B29" s="8" t="s">
        <v>28</v>
      </c>
      <c r="C29" s="4">
        <v>9874.7400000000016</v>
      </c>
      <c r="D29" s="5">
        <v>7292.9</v>
      </c>
      <c r="E29" s="5">
        <v>9948.51</v>
      </c>
      <c r="F29" s="5">
        <v>7645.42</v>
      </c>
      <c r="G29" s="5">
        <v>0</v>
      </c>
    </row>
    <row r="30" spans="2:7" ht="18.75" x14ac:dyDescent="0.25">
      <c r="B30" s="9" t="s">
        <v>127</v>
      </c>
      <c r="C30" s="7">
        <f>C26+C27+C28+C29</f>
        <v>79138.610000000015</v>
      </c>
      <c r="D30" s="7">
        <f t="shared" ref="D30:G30" si="6">D26+D27+D28+D29</f>
        <v>78096.87999999999</v>
      </c>
      <c r="E30" s="7">
        <f t="shared" si="6"/>
        <v>89653.729999999981</v>
      </c>
      <c r="F30" s="7">
        <f t="shared" si="6"/>
        <v>86679.39</v>
      </c>
      <c r="G30" s="7">
        <f t="shared" si="6"/>
        <v>104479.91</v>
      </c>
    </row>
    <row r="31" spans="2:7" ht="18.75" x14ac:dyDescent="0.25">
      <c r="B31" s="8" t="s">
        <v>31</v>
      </c>
      <c r="C31" s="4">
        <v>0</v>
      </c>
      <c r="D31" s="4">
        <v>4.2699999999999996</v>
      </c>
      <c r="E31" s="4">
        <v>3.58</v>
      </c>
      <c r="F31" s="4">
        <v>3.53</v>
      </c>
      <c r="G31" s="4">
        <v>0</v>
      </c>
    </row>
    <row r="32" spans="2:7" ht="18.75" x14ac:dyDescent="0.25">
      <c r="B32" s="8" t="s">
        <v>32</v>
      </c>
      <c r="C32" s="5">
        <v>4074.42</v>
      </c>
      <c r="D32" s="5">
        <v>3829.26</v>
      </c>
      <c r="E32" s="5">
        <v>4987.2700000000004</v>
      </c>
      <c r="F32" s="5">
        <v>5312</v>
      </c>
      <c r="G32" s="5">
        <v>3956.62</v>
      </c>
    </row>
    <row r="33" spans="2:7" ht="18.75" x14ac:dyDescent="0.25">
      <c r="B33" s="8" t="s">
        <v>33</v>
      </c>
      <c r="C33" s="5">
        <v>1990.8</v>
      </c>
      <c r="D33" s="5">
        <v>2238.11</v>
      </c>
      <c r="E33" s="5">
        <v>2869.68</v>
      </c>
      <c r="F33" s="5">
        <v>2482.17</v>
      </c>
      <c r="G33" s="5">
        <v>3064.61</v>
      </c>
    </row>
    <row r="34" spans="2:7" ht="18.75" x14ac:dyDescent="0.25">
      <c r="B34" s="8" t="s">
        <v>40</v>
      </c>
      <c r="C34" s="4">
        <v>270.42</v>
      </c>
      <c r="D34" s="4">
        <v>1684.67</v>
      </c>
      <c r="E34" s="4">
        <v>704.86</v>
      </c>
      <c r="F34" s="5">
        <v>138.06</v>
      </c>
      <c r="G34" s="4">
        <v>136</v>
      </c>
    </row>
    <row r="35" spans="2:7" ht="18.75" x14ac:dyDescent="0.25">
      <c r="B35" s="8" t="s">
        <v>41</v>
      </c>
      <c r="C35" s="5">
        <v>5787.73</v>
      </c>
      <c r="D35" s="5">
        <v>10794.19</v>
      </c>
      <c r="E35" s="5">
        <v>8552.89</v>
      </c>
      <c r="F35" s="5">
        <v>2399.2600000000002</v>
      </c>
      <c r="G35" s="5">
        <v>3298.19</v>
      </c>
    </row>
    <row r="36" spans="2:7" ht="18.75" x14ac:dyDescent="0.25">
      <c r="B36" s="8" t="s">
        <v>37</v>
      </c>
      <c r="C36" s="5">
        <v>22530.94</v>
      </c>
      <c r="D36" s="5">
        <v>22934.87</v>
      </c>
      <c r="E36" s="5">
        <v>22242.6</v>
      </c>
      <c r="F36" s="5">
        <v>26706.02</v>
      </c>
      <c r="G36" s="5">
        <v>42178.74</v>
      </c>
    </row>
    <row r="37" spans="2:7" ht="18.75" x14ac:dyDescent="0.25">
      <c r="B37" s="8" t="s">
        <v>38</v>
      </c>
      <c r="C37" s="5">
        <v>5209.28</v>
      </c>
      <c r="D37" s="5">
        <v>6906.25</v>
      </c>
      <c r="E37" s="5">
        <v>5378.02</v>
      </c>
      <c r="F37" s="5">
        <v>7834.77</v>
      </c>
      <c r="G37" s="5">
        <v>9707.4699999999993</v>
      </c>
    </row>
    <row r="38" spans="2:7" ht="18.75" x14ac:dyDescent="0.25">
      <c r="B38" s="8" t="s">
        <v>39</v>
      </c>
      <c r="C38" s="5">
        <v>1353.86</v>
      </c>
      <c r="D38" s="5">
        <f>CashFlow_Statement!D48+C38</f>
        <v>140754.00041414559</v>
      </c>
      <c r="E38" s="5">
        <f>CashFlow_Statement!E48+D38</f>
        <v>274879.25865897775</v>
      </c>
      <c r="F38" s="5">
        <f>CashFlow_Statement!F48+E38</f>
        <v>391623.26170787308</v>
      </c>
      <c r="G38" s="5">
        <f>CashFlow_Statement!G48+F38</f>
        <v>534586.17865224415</v>
      </c>
    </row>
    <row r="39" spans="2:7" ht="18.75" x14ac:dyDescent="0.25">
      <c r="B39" s="9" t="s">
        <v>42</v>
      </c>
      <c r="C39" s="7">
        <f>C31+C32+C33+C34+C35+C36+C37+C38</f>
        <v>41217.449999999997</v>
      </c>
      <c r="D39" s="7">
        <f t="shared" ref="D39:G39" si="7">D31+D32+D33+D34+D35+D36+D37+D38</f>
        <v>189145.62041414558</v>
      </c>
      <c r="E39" s="7">
        <f t="shared" si="7"/>
        <v>319618.15865897771</v>
      </c>
      <c r="F39" s="7">
        <f t="shared" si="7"/>
        <v>436499.07170787308</v>
      </c>
      <c r="G39" s="7">
        <f t="shared" si="7"/>
        <v>596927.80865224416</v>
      </c>
    </row>
    <row r="40" spans="2:7" ht="18.75" x14ac:dyDescent="0.25">
      <c r="B40" s="9" t="s">
        <v>43</v>
      </c>
      <c r="C40" s="7">
        <f>C30+C39</f>
        <v>120356.06000000001</v>
      </c>
      <c r="D40" s="7">
        <f t="shared" ref="D40:G40" si="8">D30+D39</f>
        <v>267242.50041414559</v>
      </c>
      <c r="E40" s="7">
        <f t="shared" si="8"/>
        <v>409271.8886589777</v>
      </c>
      <c r="F40" s="7">
        <f t="shared" si="8"/>
        <v>523178.4617078731</v>
      </c>
      <c r="G40" s="7">
        <f t="shared" si="8"/>
        <v>701407.71865224419</v>
      </c>
    </row>
  </sheetData>
  <mergeCells count="1">
    <mergeCell ref="B3:G3"/>
  </mergeCells>
  <hyperlinks>
    <hyperlink ref="F1" location="Index_Data!A1" tooltip="Hi click here To return Index page" display="Index_Data!A1" xr:uid="{369F6015-CE9A-4581-A020-E3F951E4422B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A6119-1FEB-4F87-898C-87D5088A8FF0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5" width="17.140625" bestFit="1" customWidth="1"/>
    <col min="6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278567.11</v>
      </c>
      <c r="D5" s="5">
        <v>339639</v>
      </c>
      <c r="E5" s="5">
        <v>328608.96999999997</v>
      </c>
      <c r="F5" s="5">
        <v>303229.69</v>
      </c>
      <c r="G5" s="5">
        <v>432569.62</v>
      </c>
    </row>
    <row r="6" spans="2:15" ht="18.75" x14ac:dyDescent="0.25">
      <c r="B6" s="8" t="s">
        <v>98</v>
      </c>
      <c r="C6" s="5">
        <v>43542.879999999997</v>
      </c>
      <c r="D6" s="5">
        <v>42653.56</v>
      </c>
      <c r="E6" s="5">
        <v>45225.26</v>
      </c>
      <c r="F6" s="5">
        <v>74103.649999999994</v>
      </c>
      <c r="G6" s="5">
        <v>85778.54</v>
      </c>
    </row>
    <row r="7" spans="2:15" ht="18.75" x14ac:dyDescent="0.25">
      <c r="B7" s="9" t="s">
        <v>105</v>
      </c>
      <c r="C7" s="7">
        <f>C5 - C6</f>
        <v>235024.22999999998</v>
      </c>
      <c r="D7" s="7">
        <f t="shared" ref="D7:G7" si="0">D5 - D6</f>
        <v>296985.44</v>
      </c>
      <c r="E7" s="7">
        <f t="shared" si="0"/>
        <v>283383.70999999996</v>
      </c>
      <c r="F7" s="7">
        <f t="shared" si="0"/>
        <v>229126.04</v>
      </c>
      <c r="G7" s="7">
        <f t="shared" si="0"/>
        <v>346791.08</v>
      </c>
    </row>
    <row r="8" spans="2:15" ht="18.75" x14ac:dyDescent="0.25">
      <c r="B8" s="8" t="s">
        <v>59</v>
      </c>
      <c r="C8" s="5">
        <v>1674.4</v>
      </c>
      <c r="D8" s="5">
        <v>2037.54</v>
      </c>
      <c r="E8" s="5">
        <v>1929.33</v>
      </c>
      <c r="F8" s="5">
        <v>2253.04</v>
      </c>
      <c r="G8" s="5">
        <v>2268.54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236698.62999999998</v>
      </c>
      <c r="D10" s="7">
        <f t="shared" ref="D10:G10" si="1">SUM(D7:D9)</f>
        <v>299022.98</v>
      </c>
      <c r="E10" s="7">
        <f t="shared" si="1"/>
        <v>285313.03999999998</v>
      </c>
      <c r="F10" s="7">
        <f t="shared" si="1"/>
        <v>231379.08000000002</v>
      </c>
      <c r="G10" s="7">
        <f t="shared" si="1"/>
        <v>349059.62</v>
      </c>
    </row>
    <row r="11" spans="2:15" ht="18.75" x14ac:dyDescent="0.25">
      <c r="B11" s="8" t="s">
        <v>62</v>
      </c>
      <c r="C11" s="5">
        <v>90110.77</v>
      </c>
      <c r="D11" s="5">
        <v>130693.29</v>
      </c>
      <c r="E11" s="5">
        <v>121896.01</v>
      </c>
      <c r="F11" s="5">
        <v>78778.039999999994</v>
      </c>
      <c r="G11" s="5">
        <v>163541.19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3748.53</v>
      </c>
      <c r="D13" s="5">
        <v>3984.81</v>
      </c>
      <c r="E13" s="5">
        <v>4020.51</v>
      </c>
      <c r="F13" s="5">
        <v>4856.3500000000004</v>
      </c>
      <c r="G13" s="5">
        <v>3408</v>
      </c>
    </row>
    <row r="14" spans="2:15" ht="18.75" x14ac:dyDescent="0.25">
      <c r="B14" s="8" t="s">
        <v>69</v>
      </c>
      <c r="C14" s="5">
        <v>14753.9</v>
      </c>
      <c r="D14" s="5">
        <v>17986.099999999999</v>
      </c>
      <c r="E14" s="5">
        <v>19610.240000000002</v>
      </c>
      <c r="F14" s="5">
        <v>16611.150000000001</v>
      </c>
      <c r="G14" s="5">
        <v>20844.509999999998</v>
      </c>
    </row>
    <row r="15" spans="2:15" ht="18.75" x14ac:dyDescent="0.25">
      <c r="B15" s="9" t="s">
        <v>108</v>
      </c>
      <c r="C15" s="7">
        <f>C11+C12+C13+C14</f>
        <v>108613.2</v>
      </c>
      <c r="D15" s="7">
        <f t="shared" ref="D15:G15" si="2">D11+D12+D13+D14</f>
        <v>152664.20000000001</v>
      </c>
      <c r="E15" s="7">
        <f t="shared" si="2"/>
        <v>145526.75999999998</v>
      </c>
      <c r="F15" s="7">
        <f t="shared" si="2"/>
        <v>100245.54000000001</v>
      </c>
      <c r="G15" s="7">
        <f t="shared" si="2"/>
        <v>187793.7</v>
      </c>
    </row>
    <row r="16" spans="2:15" ht="18.75" x14ac:dyDescent="0.25">
      <c r="B16" s="9" t="s">
        <v>109</v>
      </c>
      <c r="C16" s="7">
        <f xml:space="preserve"> C10-C15-C8</f>
        <v>126411.02999999998</v>
      </c>
      <c r="D16" s="7">
        <f t="shared" ref="D16:G16" si="3" xml:space="preserve"> D10-D15-D8</f>
        <v>144321.23999999996</v>
      </c>
      <c r="E16" s="7">
        <f t="shared" si="3"/>
        <v>137856.95000000001</v>
      </c>
      <c r="F16" s="7">
        <f t="shared" si="3"/>
        <v>128880.50000000001</v>
      </c>
      <c r="G16" s="7">
        <f t="shared" si="3"/>
        <v>158997.37999999998</v>
      </c>
    </row>
    <row r="17" spans="2:7" ht="18.75" x14ac:dyDescent="0.25">
      <c r="B17" s="9" t="s">
        <v>110</v>
      </c>
      <c r="C17" s="7">
        <f xml:space="preserve"> C16+C8</f>
        <v>128085.42999999998</v>
      </c>
      <c r="D17" s="7">
        <f t="shared" ref="D17:G17" si="4" xml:space="preserve"> D16+D8</f>
        <v>146358.77999999997</v>
      </c>
      <c r="E17" s="7">
        <f t="shared" si="4"/>
        <v>139786.28</v>
      </c>
      <c r="F17" s="7">
        <f t="shared" si="4"/>
        <v>131133.54</v>
      </c>
      <c r="G17" s="7">
        <f t="shared" si="4"/>
        <v>161265.91999999998</v>
      </c>
    </row>
    <row r="18" spans="2:7" ht="18.75" x14ac:dyDescent="0.25">
      <c r="B18" s="8" t="s">
        <v>68</v>
      </c>
      <c r="C18" s="5">
        <v>2885</v>
      </c>
      <c r="D18" s="5">
        <v>3417.77</v>
      </c>
      <c r="E18" s="5">
        <v>4080.09</v>
      </c>
      <c r="F18" s="5">
        <v>4334.21</v>
      </c>
      <c r="G18" s="5">
        <v>5434.35</v>
      </c>
    </row>
    <row r="19" spans="2:7" ht="18.75" x14ac:dyDescent="0.25">
      <c r="B19" s="9" t="s">
        <v>111</v>
      </c>
      <c r="C19" s="7">
        <f xml:space="preserve"> C17-C18</f>
        <v>125200.42999999998</v>
      </c>
      <c r="D19" s="7">
        <f t="shared" ref="D19:G19" si="5" xml:space="preserve"> D17-D18</f>
        <v>142941.00999999998</v>
      </c>
      <c r="E19" s="7">
        <f t="shared" si="5"/>
        <v>135706.19</v>
      </c>
      <c r="F19" s="7">
        <f t="shared" si="5"/>
        <v>126799.33</v>
      </c>
      <c r="G19" s="7">
        <f t="shared" si="5"/>
        <v>155831.56999999998</v>
      </c>
    </row>
    <row r="20" spans="2:7" ht="18.75" x14ac:dyDescent="0.25">
      <c r="B20" s="8" t="s">
        <v>67</v>
      </c>
      <c r="C20" s="5">
        <v>1185.74</v>
      </c>
      <c r="D20" s="5">
        <v>1763.95</v>
      </c>
      <c r="E20" s="5">
        <v>2637.01</v>
      </c>
      <c r="F20" s="5">
        <v>1723.41</v>
      </c>
      <c r="G20" s="5">
        <v>2605.64</v>
      </c>
    </row>
    <row r="21" spans="2:7" ht="18.75" x14ac:dyDescent="0.25">
      <c r="B21" s="9" t="s">
        <v>112</v>
      </c>
      <c r="C21" s="7">
        <f xml:space="preserve"> C19-C20</f>
        <v>124014.68999999997</v>
      </c>
      <c r="D21" s="7">
        <f t="shared" ref="D21:G21" si="6" xml:space="preserve"> D19-D20</f>
        <v>141177.05999999997</v>
      </c>
      <c r="E21" s="7">
        <f t="shared" si="6"/>
        <v>133069.18</v>
      </c>
      <c r="F21" s="7">
        <f t="shared" si="6"/>
        <v>125075.92</v>
      </c>
      <c r="G21" s="7">
        <f t="shared" si="6"/>
        <v>153225.92999999996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124014.68999999997</v>
      </c>
      <c r="D23" s="7">
        <f t="shared" ref="D23:G23" si="7" xml:space="preserve"> D21+D22</f>
        <v>141177.05999999997</v>
      </c>
      <c r="E23" s="7">
        <f t="shared" si="7"/>
        <v>133069.18</v>
      </c>
      <c r="F23" s="7">
        <f t="shared" si="7"/>
        <v>125075.92</v>
      </c>
      <c r="G23" s="7">
        <f t="shared" si="7"/>
        <v>153225.92999999996</v>
      </c>
    </row>
    <row r="24" spans="2:7" ht="18.75" x14ac:dyDescent="0.25">
      <c r="B24" s="8" t="s">
        <v>72</v>
      </c>
      <c r="C24" s="5">
        <v>0</v>
      </c>
      <c r="D24" s="5">
        <v>0</v>
      </c>
      <c r="E24" s="5">
        <v>-1310.3499999999999</v>
      </c>
      <c r="F24" s="4">
        <v>5265.76</v>
      </c>
      <c r="G24" s="4">
        <v>1135.1500000000001</v>
      </c>
    </row>
    <row r="25" spans="2:7" ht="18.75" x14ac:dyDescent="0.25">
      <c r="B25" s="9" t="s">
        <v>115</v>
      </c>
      <c r="C25" s="7">
        <f xml:space="preserve"> C23+C24</f>
        <v>124014.68999999997</v>
      </c>
      <c r="D25" s="7">
        <f t="shared" ref="D25:G25" si="8" xml:space="preserve"> D23+D24</f>
        <v>141177.05999999997</v>
      </c>
      <c r="E25" s="7">
        <f t="shared" si="8"/>
        <v>131758.82999999999</v>
      </c>
      <c r="F25" s="7">
        <f t="shared" si="8"/>
        <v>130341.68</v>
      </c>
      <c r="G25" s="7">
        <f t="shared" si="8"/>
        <v>154361.07999999996</v>
      </c>
    </row>
    <row r="26" spans="2:7" ht="18.75" x14ac:dyDescent="0.25">
      <c r="B26" s="8" t="s">
        <v>79</v>
      </c>
      <c r="C26" s="5">
        <v>4381.6099999999997</v>
      </c>
      <c r="D26" s="5">
        <v>4377.5200000000004</v>
      </c>
      <c r="E26" s="4">
        <v>-14.21</v>
      </c>
      <c r="F26" s="5">
        <v>5112.1899999999996</v>
      </c>
      <c r="G26" s="5">
        <v>4355.2299999999996</v>
      </c>
    </row>
    <row r="27" spans="2:7" ht="18.75" x14ac:dyDescent="0.25">
      <c r="B27" s="9" t="s">
        <v>116</v>
      </c>
      <c r="C27" s="7">
        <f xml:space="preserve"> C25-C26</f>
        <v>119633.07999999997</v>
      </c>
      <c r="D27" s="7">
        <f t="shared" ref="D27:G27" si="9" xml:space="preserve"> D25-D26</f>
        <v>136799.53999999998</v>
      </c>
      <c r="E27" s="7">
        <f t="shared" si="9"/>
        <v>131773.03999999998</v>
      </c>
      <c r="F27" s="7">
        <f t="shared" si="9"/>
        <v>125229.48999999999</v>
      </c>
      <c r="G27" s="7">
        <f t="shared" si="9"/>
        <v>150005.84999999995</v>
      </c>
    </row>
    <row r="28" spans="2:7" ht="18.75" x14ac:dyDescent="0.25">
      <c r="B28" s="8" t="s">
        <v>88</v>
      </c>
      <c r="C28" s="4">
        <v>2884.76</v>
      </c>
      <c r="D28" s="5">
        <v>3540.39</v>
      </c>
      <c r="E28" s="5">
        <v>4818.8599999999997</v>
      </c>
      <c r="F28" s="5">
        <v>4555.43</v>
      </c>
      <c r="G28" s="5">
        <v>0</v>
      </c>
    </row>
    <row r="29" spans="2:7" ht="18.75" x14ac:dyDescent="0.25">
      <c r="B29" s="8" t="s">
        <v>89</v>
      </c>
      <c r="C29" s="4">
        <v>647.61</v>
      </c>
      <c r="D29" s="4">
        <v>801.76</v>
      </c>
      <c r="E29" s="5">
        <v>1091.23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116100.70999999998</v>
      </c>
      <c r="D30" s="7">
        <f t="shared" ref="D30:G30" si="10" xml:space="preserve"> D27-D28-D29</f>
        <v>132457.38999999996</v>
      </c>
      <c r="E30" s="7">
        <f t="shared" si="10"/>
        <v>125862.94999999998</v>
      </c>
      <c r="F30" s="7">
        <f t="shared" si="10"/>
        <v>120674.06</v>
      </c>
      <c r="G30" s="7">
        <f t="shared" si="10"/>
        <v>150005.84999999995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46</v>
      </c>
      <c r="D34" s="4">
        <v>40</v>
      </c>
      <c r="E34" s="4">
        <v>16</v>
      </c>
      <c r="F34" s="4">
        <v>82</v>
      </c>
      <c r="G34" s="4">
        <v>55</v>
      </c>
    </row>
    <row r="35" spans="2:7" ht="18.75" x14ac:dyDescent="0.25">
      <c r="B35" s="8" t="s">
        <v>118</v>
      </c>
      <c r="C35" s="4">
        <f>C27/C34</f>
        <v>2600.7191304347821</v>
      </c>
      <c r="D35" s="4">
        <f t="shared" ref="D35:G35" si="11">D27/D34</f>
        <v>3419.9884999999995</v>
      </c>
      <c r="E35" s="4">
        <f t="shared" si="11"/>
        <v>8235.8149999999987</v>
      </c>
      <c r="F35" s="4">
        <f t="shared" si="11"/>
        <v>1527.1889024390243</v>
      </c>
      <c r="G35" s="4">
        <f t="shared" si="11"/>
        <v>2727.3790909090899</v>
      </c>
    </row>
  </sheetData>
  <mergeCells count="1">
    <mergeCell ref="B3:G3"/>
  </mergeCells>
  <hyperlinks>
    <hyperlink ref="F1" location="Index_Data!A1" tooltip="Hi click here To return Index page" display="Index_Data!A1" xr:uid="{ADA2B8AB-179D-42A7-9E95-F787162286E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505B8-723E-417F-92E6-C6E9DF021F88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2" width="2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1966.88</v>
      </c>
      <c r="D5" s="5">
        <v>1966.88</v>
      </c>
      <c r="E5" s="5">
        <v>1966.89</v>
      </c>
      <c r="F5" s="5">
        <v>2092.91</v>
      </c>
      <c r="G5" s="5">
        <v>2129.4499999999998</v>
      </c>
      <c r="H5" s="24">
        <f>G5</f>
        <v>2129.4499999999998</v>
      </c>
      <c r="I5" s="24">
        <f t="shared" ref="I5:L5" si="0">H5</f>
        <v>2129.4499999999998</v>
      </c>
      <c r="J5" s="24">
        <f t="shared" si="0"/>
        <v>2129.4499999999998</v>
      </c>
      <c r="K5" s="24">
        <f t="shared" si="0"/>
        <v>2129.4499999999998</v>
      </c>
      <c r="L5" s="24">
        <f t="shared" si="0"/>
        <v>2129.4499999999998</v>
      </c>
    </row>
    <row r="6" spans="2:15" x14ac:dyDescent="0.25">
      <c r="B6" s="17" t="s">
        <v>203</v>
      </c>
      <c r="C6" s="18">
        <f>C5/Balance_Sheet!C74</f>
        <v>1.6342176704687739E-2</v>
      </c>
      <c r="D6" s="18">
        <f>D5/Balance_Sheet!D74</f>
        <v>7.3599071889835152E-3</v>
      </c>
      <c r="E6" s="18">
        <f>E5/Balance_Sheet!E74</f>
        <v>4.8058272617860992E-3</v>
      </c>
      <c r="F6" s="18">
        <f>F5/Balance_Sheet!F74</f>
        <v>4.00037492592464E-3</v>
      </c>
      <c r="G6" s="18">
        <f>G5/Balance_Sheet!G74</f>
        <v>3.0359660200086486E-3</v>
      </c>
      <c r="H6" s="25">
        <f>G6</f>
        <v>3.0359660200086486E-3</v>
      </c>
      <c r="I6" s="25">
        <f t="shared" ref="I6:L6" si="1">H6</f>
        <v>3.0359660200086486E-3</v>
      </c>
      <c r="J6" s="25">
        <f t="shared" si="1"/>
        <v>3.0359660200086486E-3</v>
      </c>
      <c r="K6" s="25">
        <f t="shared" si="1"/>
        <v>3.0359660200086486E-3</v>
      </c>
      <c r="L6" s="25">
        <f t="shared" si="1"/>
        <v>3.0359660200086486E-3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1966.88</v>
      </c>
      <c r="D9" s="7">
        <f t="shared" ref="D9:L9" si="4">D5+D7</f>
        <v>1966.88</v>
      </c>
      <c r="E9" s="7">
        <f t="shared" si="4"/>
        <v>1966.89</v>
      </c>
      <c r="F9" s="7">
        <f t="shared" si="4"/>
        <v>2092.91</v>
      </c>
      <c r="G9" s="7">
        <f t="shared" si="4"/>
        <v>2129.4499999999998</v>
      </c>
      <c r="H9" s="27">
        <f t="shared" si="4"/>
        <v>2129.4499999999998</v>
      </c>
      <c r="I9" s="27">
        <f t="shared" si="4"/>
        <v>2129.4499999999998</v>
      </c>
      <c r="J9" s="27">
        <f t="shared" si="4"/>
        <v>2129.4499999999998</v>
      </c>
      <c r="K9" s="27">
        <f t="shared" si="4"/>
        <v>2129.4499999999998</v>
      </c>
      <c r="L9" s="27">
        <f t="shared" si="4"/>
        <v>2129.4499999999998</v>
      </c>
    </row>
    <row r="10" spans="2:15" x14ac:dyDescent="0.25">
      <c r="B10" s="19" t="s">
        <v>205</v>
      </c>
      <c r="C10" s="20">
        <f>C9/Balance_Sheet!C74</f>
        <v>1.6342176704687739E-2</v>
      </c>
      <c r="D10" s="20">
        <f>D9/Balance_Sheet!D74</f>
        <v>7.3599071889835152E-3</v>
      </c>
      <c r="E10" s="20">
        <f>E9/Balance_Sheet!E74</f>
        <v>4.8058272617860992E-3</v>
      </c>
      <c r="F10" s="20">
        <f>F9/Balance_Sheet!F74</f>
        <v>4.00037492592464E-3</v>
      </c>
      <c r="G10" s="20">
        <f>G9/Balance_Sheet!G74</f>
        <v>3.0359660200086486E-3</v>
      </c>
      <c r="H10" s="28">
        <f>H9/Balance_Sheet!H74</f>
        <v>1.7564728476851693E-3</v>
      </c>
      <c r="I10" s="28">
        <f>I9/Balance_Sheet!I74</f>
        <v>1.3384889877585155E-3</v>
      </c>
      <c r="J10" s="28">
        <f>J9/Balance_Sheet!J74</f>
        <v>9.3887542564652349E-4</v>
      </c>
      <c r="K10" s="28">
        <f>K9/Balance_Sheet!K74</f>
        <v>6.2841325936369358E-4</v>
      </c>
      <c r="L10" s="28">
        <f>L9/Balance_Sheet!L74</f>
        <v>4.2937851708382498E-4</v>
      </c>
    </row>
    <row r="11" spans="2:15" ht="18.75" x14ac:dyDescent="0.25">
      <c r="B11" s="8" t="s">
        <v>7</v>
      </c>
      <c r="C11" s="5">
        <v>34651.69</v>
      </c>
      <c r="D11" s="5">
        <f>Income_Statement!D55+C11</f>
        <v>167109.96041414561</v>
      </c>
      <c r="E11" s="5">
        <f>Income_Statement!E55+D11</f>
        <v>292973.77865897771</v>
      </c>
      <c r="F11" s="5">
        <f>Income_Statement!F55+E11</f>
        <v>413648.60170787305</v>
      </c>
      <c r="G11" s="5">
        <f>Income_Statement!G55+F11</f>
        <v>563655.25865224411</v>
      </c>
      <c r="H11" s="24">
        <f>H74-H9-H21-H33-H35</f>
        <v>935827.79095869197</v>
      </c>
      <c r="I11" s="24">
        <f t="shared" ref="I11:L11" si="5">I74-I9-I21-I33-I35</f>
        <v>1228733.4416512107</v>
      </c>
      <c r="J11" s="24">
        <f t="shared" si="5"/>
        <v>1752625.6408045515</v>
      </c>
      <c r="K11" s="24">
        <f t="shared" si="5"/>
        <v>2619547.3045257996</v>
      </c>
      <c r="L11" s="24">
        <f t="shared" si="5"/>
        <v>3834803.1627410324</v>
      </c>
    </row>
    <row r="12" spans="2:15" x14ac:dyDescent="0.25">
      <c r="B12" s="17" t="s">
        <v>206</v>
      </c>
      <c r="C12" s="18">
        <f>C11/Balance_Sheet!C74</f>
        <v>0.28790980695114149</v>
      </c>
      <c r="D12" s="18">
        <f>D11/Balance_Sheet!D74</f>
        <v>0.62531206733650291</v>
      </c>
      <c r="E12" s="18">
        <f>E11/Balance_Sheet!E74</f>
        <v>0.71584144129453176</v>
      </c>
      <c r="F12" s="18">
        <f>F11/Balance_Sheet!F74</f>
        <v>0.79064531891766188</v>
      </c>
      <c r="G12" s="18">
        <f>G11/Balance_Sheet!G74</f>
        <v>0.80360572554762932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36618.57</v>
      </c>
      <c r="D13" s="7">
        <f t="shared" ref="D13:L13" si="6">D9+D11</f>
        <v>169076.84041414561</v>
      </c>
      <c r="E13" s="7">
        <f t="shared" si="6"/>
        <v>294940.66865897772</v>
      </c>
      <c r="F13" s="7">
        <f t="shared" si="6"/>
        <v>415741.51170787303</v>
      </c>
      <c r="G13" s="7">
        <f t="shared" si="6"/>
        <v>565784.70865224407</v>
      </c>
      <c r="H13" s="27">
        <f t="shared" si="6"/>
        <v>937957.24095869192</v>
      </c>
      <c r="I13" s="27">
        <f t="shared" si="6"/>
        <v>1230862.8916512106</v>
      </c>
      <c r="J13" s="27">
        <f t="shared" si="6"/>
        <v>1754755.0908045515</v>
      </c>
      <c r="K13" s="27">
        <f t="shared" si="6"/>
        <v>2621676.7545257998</v>
      </c>
      <c r="L13" s="27">
        <f t="shared" si="6"/>
        <v>3836932.6127410326</v>
      </c>
    </row>
    <row r="14" spans="2:15" x14ac:dyDescent="0.25">
      <c r="B14" s="19" t="s">
        <v>207</v>
      </c>
      <c r="C14" s="20">
        <f>C13/Balance_Sheet!C74</f>
        <v>0.30425198365582917</v>
      </c>
      <c r="D14" s="20">
        <f>D13/Balance_Sheet!D74</f>
        <v>0.6326719745254864</v>
      </c>
      <c r="E14" s="20">
        <f>E13/Balance_Sheet!E74</f>
        <v>0.72064726855631789</v>
      </c>
      <c r="F14" s="20">
        <f>F13/Balance_Sheet!F74</f>
        <v>0.79464569384358641</v>
      </c>
      <c r="G14" s="20">
        <f>G13/Balance_Sheet!G74</f>
        <v>0.80664169156763788</v>
      </c>
      <c r="H14" s="28">
        <f>H13/Balance_Sheet!H74</f>
        <v>0.77367227501638369</v>
      </c>
      <c r="I14" s="28">
        <f>I13/Balance_Sheet!I74</f>
        <v>0.77367227496102209</v>
      </c>
      <c r="J14" s="28">
        <f>J13/Balance_Sheet!J74</f>
        <v>0.77367227818663387</v>
      </c>
      <c r="K14" s="28">
        <f>K13/Balance_Sheet!K74</f>
        <v>0.77367227890280954</v>
      </c>
      <c r="L14" s="28">
        <f>L13/Balance_Sheet!L74</f>
        <v>0.77367227941924488</v>
      </c>
    </row>
    <row r="15" spans="2:15" ht="18.75" x14ac:dyDescent="0.25">
      <c r="B15" s="8" t="s">
        <v>12</v>
      </c>
      <c r="C15" s="5">
        <v>28904.28</v>
      </c>
      <c r="D15" s="5">
        <v>34315.58</v>
      </c>
      <c r="E15" s="5">
        <v>38043.89</v>
      </c>
      <c r="F15" s="5">
        <v>35740.22</v>
      </c>
      <c r="G15" s="5">
        <v>36358.93</v>
      </c>
      <c r="H15" s="24">
        <f>ROUND(H74*H16,2)</f>
        <v>62844.4</v>
      </c>
      <c r="I15" s="24">
        <f t="shared" ref="I15:L15" si="7">ROUND(I74*I16,2)</f>
        <v>82469.47</v>
      </c>
      <c r="J15" s="24">
        <f t="shared" si="7"/>
        <v>117570.95</v>
      </c>
      <c r="K15" s="24">
        <f t="shared" si="7"/>
        <v>175655.87</v>
      </c>
      <c r="L15" s="24">
        <f t="shared" si="7"/>
        <v>257079.64</v>
      </c>
    </row>
    <row r="16" spans="2:15" x14ac:dyDescent="0.25">
      <c r="B16" s="17" t="s">
        <v>208</v>
      </c>
      <c r="C16" s="18">
        <f>C15/Balance_Sheet!C74</f>
        <v>0.24015641588799097</v>
      </c>
      <c r="D16" s="18">
        <f>D15/Balance_Sheet!D74</f>
        <v>0.12840614777522721</v>
      </c>
      <c r="E16" s="18">
        <f>E15/Balance_Sheet!E74</f>
        <v>9.2955052751496806E-2</v>
      </c>
      <c r="F16" s="18">
        <f>F15/Balance_Sheet!F74</f>
        <v>6.831363027317483E-2</v>
      </c>
      <c r="G16" s="18">
        <f>G15/Balance_Sheet!G74</f>
        <v>5.1837082816630145E-2</v>
      </c>
      <c r="H16" s="25">
        <f>G16</f>
        <v>5.1837082816630145E-2</v>
      </c>
      <c r="I16" s="25">
        <f t="shared" ref="I16:L16" si="8">H16</f>
        <v>5.1837082816630145E-2</v>
      </c>
      <c r="J16" s="25">
        <f t="shared" si="8"/>
        <v>5.1837082816630145E-2</v>
      </c>
      <c r="K16" s="25">
        <f t="shared" si="8"/>
        <v>5.1837082816630145E-2</v>
      </c>
      <c r="L16" s="25">
        <f t="shared" si="8"/>
        <v>5.1837082816630145E-2</v>
      </c>
    </row>
    <row r="17" spans="2:12" ht="18.75" x14ac:dyDescent="0.25">
      <c r="B17" s="8" t="s">
        <v>13</v>
      </c>
      <c r="C17" s="5">
        <v>5522.4</v>
      </c>
      <c r="D17" s="5">
        <v>6792.01</v>
      </c>
      <c r="E17" s="5">
        <v>6163.92</v>
      </c>
      <c r="F17" s="5">
        <v>4934.4799999999996</v>
      </c>
      <c r="G17" s="5">
        <v>6375.72</v>
      </c>
      <c r="H17" s="24">
        <f>H74*H18</f>
        <v>18258.751770347943</v>
      </c>
      <c r="I17" s="24">
        <f t="shared" ref="I17:L17" si="9">I74*I18</f>
        <v>23960.601850708532</v>
      </c>
      <c r="J17" s="24">
        <f t="shared" si="9"/>
        <v>34158.953191425913</v>
      </c>
      <c r="K17" s="24">
        <f t="shared" si="9"/>
        <v>51034.890240402478</v>
      </c>
      <c r="L17" s="24">
        <f t="shared" si="9"/>
        <v>74691.677485528809</v>
      </c>
    </row>
    <row r="18" spans="2:12" x14ac:dyDescent="0.25">
      <c r="B18" s="17" t="s">
        <v>209</v>
      </c>
      <c r="C18" s="18">
        <f>C17/Balance_Sheet!C74</f>
        <v>4.588385495503923E-2</v>
      </c>
      <c r="D18" s="18">
        <f>D17/Balance_Sheet!D74</f>
        <v>2.5415156606731434E-2</v>
      </c>
      <c r="E18" s="18">
        <f>E17/Balance_Sheet!E74</f>
        <v>1.5060697230383282E-2</v>
      </c>
      <c r="F18" s="18">
        <f>F17/Balance_Sheet!F74</f>
        <v>9.4317338368475542E-3</v>
      </c>
      <c r="G18" s="18">
        <f>G17/Balance_Sheet!G74</f>
        <v>9.0898914147265926E-3</v>
      </c>
      <c r="H18" s="25">
        <f>MEDIAN(C18:G18)</f>
        <v>1.5060697230383282E-2</v>
      </c>
      <c r="I18" s="25">
        <f t="shared" ref="I18:L18" si="10">H18</f>
        <v>1.5060697230383282E-2</v>
      </c>
      <c r="J18" s="25">
        <f t="shared" si="10"/>
        <v>1.5060697230383282E-2</v>
      </c>
      <c r="K18" s="25">
        <f t="shared" si="10"/>
        <v>1.5060697230383282E-2</v>
      </c>
      <c r="L18" s="25">
        <f t="shared" si="10"/>
        <v>1.5060697230383282E-2</v>
      </c>
    </row>
    <row r="19" spans="2:12" ht="18.75" x14ac:dyDescent="0.25">
      <c r="B19" s="8" t="s">
        <v>18</v>
      </c>
      <c r="C19" s="5">
        <v>8093.03</v>
      </c>
      <c r="D19" s="5">
        <v>8598.9500000000007</v>
      </c>
      <c r="E19" s="5">
        <v>17795.150000000001</v>
      </c>
      <c r="F19" s="5">
        <v>4232.8100000000004</v>
      </c>
      <c r="G19" s="5">
        <v>19573.75</v>
      </c>
      <c r="H19" s="24">
        <f>ROUND(H74*H20,2)</f>
        <v>33832.14</v>
      </c>
      <c r="I19" s="24">
        <f t="shared" ref="I19:L19" si="11">ROUND(I74*I20,2)</f>
        <v>44397.26</v>
      </c>
      <c r="J19" s="24">
        <f t="shared" si="11"/>
        <v>63294.06</v>
      </c>
      <c r="K19" s="24">
        <f t="shared" si="11"/>
        <v>94563.95</v>
      </c>
      <c r="L19" s="24">
        <f t="shared" si="11"/>
        <v>138398.26</v>
      </c>
    </row>
    <row r="20" spans="2:12" x14ac:dyDescent="0.25">
      <c r="B20" s="17" t="s">
        <v>210</v>
      </c>
      <c r="C20" s="18">
        <f>C19/Balance_Sheet!C74</f>
        <v>6.7242397266909532E-2</v>
      </c>
      <c r="D20" s="18">
        <f>D19/Balance_Sheet!D74</f>
        <v>3.2176581145118052E-2</v>
      </c>
      <c r="E20" s="18">
        <f>E19/Balance_Sheet!E74</f>
        <v>4.3480020233756286E-2</v>
      </c>
      <c r="F20" s="18">
        <f>F19/Balance_Sheet!F74</f>
        <v>8.0905662404035898E-3</v>
      </c>
      <c r="G20" s="18">
        <f>G19/Balance_Sheet!G74</f>
        <v>2.7906379527175697E-2</v>
      </c>
      <c r="H20" s="25">
        <f>G20</f>
        <v>2.7906379527175697E-2</v>
      </c>
      <c r="I20" s="25">
        <f t="shared" ref="I20:L20" si="12">H20</f>
        <v>2.7906379527175697E-2</v>
      </c>
      <c r="J20" s="25">
        <f t="shared" si="12"/>
        <v>2.7906379527175697E-2</v>
      </c>
      <c r="K20" s="25">
        <f t="shared" si="12"/>
        <v>2.7906379527175697E-2</v>
      </c>
      <c r="L20" s="25">
        <f t="shared" si="12"/>
        <v>2.7906379527175697E-2</v>
      </c>
    </row>
    <row r="21" spans="2:12" ht="18.75" x14ac:dyDescent="0.25">
      <c r="B21" s="9" t="s">
        <v>123</v>
      </c>
      <c r="C21" s="7">
        <f>C15+C17+C19</f>
        <v>42519.71</v>
      </c>
      <c r="D21" s="7">
        <f t="shared" ref="D21:G21" si="13">D15+D17+D19</f>
        <v>49706.540000000008</v>
      </c>
      <c r="E21" s="7">
        <f t="shared" si="13"/>
        <v>62002.96</v>
      </c>
      <c r="F21" s="7">
        <f t="shared" si="13"/>
        <v>44907.509999999995</v>
      </c>
      <c r="G21" s="7">
        <f t="shared" si="13"/>
        <v>62308.4</v>
      </c>
      <c r="H21" s="27">
        <f>ROUND(H74*H22,2)</f>
        <v>107696.62</v>
      </c>
      <c r="I21" s="27">
        <f t="shared" ref="I21:L21" si="14">ROUND(I74*I22,2)</f>
        <v>141328.16</v>
      </c>
      <c r="J21" s="27">
        <f t="shared" si="14"/>
        <v>201481.67</v>
      </c>
      <c r="K21" s="27">
        <f t="shared" si="14"/>
        <v>301021.95</v>
      </c>
      <c r="L21" s="27">
        <f t="shared" si="14"/>
        <v>440558.1</v>
      </c>
    </row>
    <row r="22" spans="2:12" x14ac:dyDescent="0.25">
      <c r="B22" s="19" t="s">
        <v>211</v>
      </c>
      <c r="C22" s="20">
        <f>C21/Balance_Sheet!C74</f>
        <v>0.35328266810993975</v>
      </c>
      <c r="D22" s="20">
        <f>D21/Balance_Sheet!D74</f>
        <v>0.18599788552707675</v>
      </c>
      <c r="E22" s="20">
        <f>E21/Balance_Sheet!E74</f>
        <v>0.15149577021563637</v>
      </c>
      <c r="F22" s="20">
        <f>F21/Balance_Sheet!F74</f>
        <v>8.5835930350425971E-2</v>
      </c>
      <c r="G22" s="20">
        <f>G21/Balance_Sheet!G74</f>
        <v>8.8833353758532435E-2</v>
      </c>
      <c r="H22" s="28">
        <f>G22</f>
        <v>8.8833353758532435E-2</v>
      </c>
      <c r="I22" s="28">
        <f t="shared" ref="I22:L22" si="15">H22</f>
        <v>8.8833353758532435E-2</v>
      </c>
      <c r="J22" s="28">
        <f t="shared" si="15"/>
        <v>8.8833353758532435E-2</v>
      </c>
      <c r="K22" s="28">
        <f t="shared" si="15"/>
        <v>8.8833353758532435E-2</v>
      </c>
      <c r="L22" s="28">
        <f t="shared" si="15"/>
        <v>8.8833353758532435E-2</v>
      </c>
    </row>
    <row r="23" spans="2:12" ht="18.75" x14ac:dyDescent="0.25">
      <c r="B23" s="8" t="s">
        <v>15</v>
      </c>
      <c r="C23" s="4">
        <v>1393.36</v>
      </c>
      <c r="D23" s="5">
        <v>1537.63</v>
      </c>
      <c r="E23" s="5">
        <v>1595.99</v>
      </c>
      <c r="F23" s="5">
        <v>1608.89</v>
      </c>
      <c r="G23" s="5">
        <v>234.29</v>
      </c>
      <c r="H23" s="24">
        <f>H74*H24</f>
        <v>4727.6384570139799</v>
      </c>
      <c r="I23" s="24">
        <f t="shared" ref="I23:L23" si="16">I74*I24</f>
        <v>6203.9872269127936</v>
      </c>
      <c r="J23" s="24">
        <f t="shared" si="16"/>
        <v>8844.5904074004593</v>
      </c>
      <c r="K23" s="24">
        <f t="shared" si="16"/>
        <v>13214.184232563037</v>
      </c>
      <c r="L23" s="24">
        <f t="shared" si="16"/>
        <v>19339.50640990297</v>
      </c>
    </row>
    <row r="24" spans="2:12" x14ac:dyDescent="0.25">
      <c r="B24" s="17" t="s">
        <v>212</v>
      </c>
      <c r="C24" s="18">
        <f>C23/Balance_Sheet!C74</f>
        <v>1.1576982496768336E-2</v>
      </c>
      <c r="D24" s="18">
        <f>D23/Balance_Sheet!D74</f>
        <v>5.7536881207784522E-3</v>
      </c>
      <c r="E24" s="18">
        <f>E23/Balance_Sheet!E74</f>
        <v>3.8995837344935388E-3</v>
      </c>
      <c r="F24" s="18">
        <f>F23/Balance_Sheet!F74</f>
        <v>3.0752221617608472E-3</v>
      </c>
      <c r="G24" s="18">
        <f>G23/Balance_Sheet!G74</f>
        <v>3.3402826026806279E-4</v>
      </c>
      <c r="H24" s="25">
        <f>MEDIAN(C24:G24)</f>
        <v>3.8995837344935388E-3</v>
      </c>
      <c r="I24" s="25">
        <f t="shared" ref="I24:L24" si="17">H24</f>
        <v>3.8995837344935388E-3</v>
      </c>
      <c r="J24" s="25">
        <f t="shared" si="17"/>
        <v>3.8995837344935388E-3</v>
      </c>
      <c r="K24" s="25">
        <f t="shared" si="17"/>
        <v>3.8995837344935388E-3</v>
      </c>
      <c r="L24" s="25">
        <f t="shared" si="17"/>
        <v>3.8995837344935388E-3</v>
      </c>
    </row>
    <row r="25" spans="2:12" ht="18.75" x14ac:dyDescent="0.25">
      <c r="B25" s="8" t="s">
        <v>21</v>
      </c>
      <c r="C25" s="5">
        <v>1809.52</v>
      </c>
      <c r="D25" s="5">
        <v>2028.58</v>
      </c>
      <c r="E25" s="5">
        <v>2039.39</v>
      </c>
      <c r="F25" s="5">
        <v>1950.28</v>
      </c>
      <c r="G25" s="5">
        <v>2925.39</v>
      </c>
      <c r="H25" s="24">
        <f>H74*H26</f>
        <v>6041.0770699376199</v>
      </c>
      <c r="I25" s="24">
        <f t="shared" ref="I25:L25" si="18">I74*I26</f>
        <v>7927.5869589995455</v>
      </c>
      <c r="J25" s="24">
        <f t="shared" si="18"/>
        <v>11301.805920430845</v>
      </c>
      <c r="K25" s="24">
        <f t="shared" si="18"/>
        <v>16885.365937159215</v>
      </c>
      <c r="L25" s="24">
        <f t="shared" si="18"/>
        <v>24712.433021066561</v>
      </c>
    </row>
    <row r="26" spans="2:12" x14ac:dyDescent="0.25">
      <c r="B26" s="17" t="s">
        <v>213</v>
      </c>
      <c r="C26" s="18">
        <f>C25/Balance_Sheet!C74</f>
        <v>1.5034722804983811E-2</v>
      </c>
      <c r="D26" s="18">
        <f>D25/Balance_Sheet!D74</f>
        <v>7.5907836397889946E-3</v>
      </c>
      <c r="E26" s="18">
        <f>E25/Balance_Sheet!E74</f>
        <v>4.9829711165413184E-3</v>
      </c>
      <c r="F26" s="18">
        <f>F25/Balance_Sheet!F74</f>
        <v>3.7277528467694774E-3</v>
      </c>
      <c r="G26" s="18">
        <f>G25/Balance_Sheet!G74</f>
        <v>4.1707410999427558E-3</v>
      </c>
      <c r="H26" s="25">
        <f>MEDIAN(C26:G26)</f>
        <v>4.9829711165413184E-3</v>
      </c>
      <c r="I26" s="25">
        <f t="shared" ref="I26:L26" si="19">H26</f>
        <v>4.9829711165413184E-3</v>
      </c>
      <c r="J26" s="25">
        <f t="shared" si="19"/>
        <v>4.9829711165413184E-3</v>
      </c>
      <c r="K26" s="25">
        <f t="shared" si="19"/>
        <v>4.9829711165413184E-3</v>
      </c>
      <c r="L26" s="25">
        <f t="shared" si="19"/>
        <v>4.9829711165413184E-3</v>
      </c>
    </row>
    <row r="27" spans="2:12" ht="18.75" x14ac:dyDescent="0.25">
      <c r="B27" s="8" t="s">
        <v>14</v>
      </c>
      <c r="C27" s="5">
        <v>202.2</v>
      </c>
      <c r="D27" s="5">
        <v>340.68</v>
      </c>
      <c r="E27" s="5">
        <v>6249.59</v>
      </c>
      <c r="F27" s="4">
        <v>8222.98</v>
      </c>
      <c r="G27" s="4">
        <v>9585.6</v>
      </c>
      <c r="H27" s="26">
        <f>ROUND(H74*H28,2)</f>
        <v>16568.18</v>
      </c>
      <c r="I27" s="26">
        <f t="shared" ref="I27:L27" si="20">ROUND(I74*I28,2)</f>
        <v>21742.1</v>
      </c>
      <c r="J27" s="26">
        <f t="shared" si="20"/>
        <v>30996.18</v>
      </c>
      <c r="K27" s="26">
        <f t="shared" si="20"/>
        <v>46309.58</v>
      </c>
      <c r="L27" s="26">
        <f t="shared" si="20"/>
        <v>67775.990000000005</v>
      </c>
    </row>
    <row r="28" spans="2:12" x14ac:dyDescent="0.25">
      <c r="B28" s="17" t="s">
        <v>214</v>
      </c>
      <c r="C28" s="18">
        <f>C27/Balance_Sheet!C74</f>
        <v>1.6800151151508281E-3</v>
      </c>
      <c r="D28" s="18">
        <f>D27/Balance_Sheet!D74</f>
        <v>1.274797232745721E-3</v>
      </c>
      <c r="E28" s="18">
        <f>E27/Balance_Sheet!E74</f>
        <v>1.5270020182616103E-2</v>
      </c>
      <c r="F28" s="18">
        <f>F27/Balance_Sheet!F74</f>
        <v>1.5717351920713166E-2</v>
      </c>
      <c r="G28" s="18">
        <f>G27/Balance_Sheet!G74</f>
        <v>1.3666231130759073E-2</v>
      </c>
      <c r="H28" s="25">
        <f>G28</f>
        <v>1.3666231130759073E-2</v>
      </c>
      <c r="I28" s="25">
        <f t="shared" ref="I28:L28" si="21">H28</f>
        <v>1.3666231130759073E-2</v>
      </c>
      <c r="J28" s="25">
        <f t="shared" si="21"/>
        <v>1.3666231130759073E-2</v>
      </c>
      <c r="K28" s="25">
        <f t="shared" si="21"/>
        <v>1.3666231130759073E-2</v>
      </c>
      <c r="L28" s="25">
        <f t="shared" si="21"/>
        <v>1.3666231130759073E-2</v>
      </c>
    </row>
    <row r="29" spans="2:12" ht="18.75" x14ac:dyDescent="0.25">
      <c r="B29" s="8" t="s">
        <v>19</v>
      </c>
      <c r="C29" s="5">
        <v>15198.21</v>
      </c>
      <c r="D29" s="5">
        <v>17384.73</v>
      </c>
      <c r="E29" s="5">
        <v>13107.21</v>
      </c>
      <c r="F29" s="5">
        <v>16262.67</v>
      </c>
      <c r="G29" s="5">
        <v>30347.72</v>
      </c>
      <c r="H29" s="24">
        <f>H74*H30</f>
        <v>52454.352952941925</v>
      </c>
      <c r="I29" s="24">
        <f t="shared" ref="I29:L29" si="22">I74*I30</f>
        <v>68834.818625612344</v>
      </c>
      <c r="J29" s="24">
        <f t="shared" si="22"/>
        <v>98132.98355454515</v>
      </c>
      <c r="K29" s="24">
        <f t="shared" si="22"/>
        <v>146614.74011230885</v>
      </c>
      <c r="L29" s="24">
        <f t="shared" si="22"/>
        <v>214576.74997454512</v>
      </c>
    </row>
    <row r="30" spans="2:12" x14ac:dyDescent="0.25">
      <c r="B30" s="17" t="s">
        <v>215</v>
      </c>
      <c r="C30" s="18">
        <f>C29/Balance_Sheet!C74</f>
        <v>0.12627706490225749</v>
      </c>
      <c r="D30" s="18">
        <f>D29/Balance_Sheet!D74</f>
        <v>6.5052265163882586E-2</v>
      </c>
      <c r="E30" s="18">
        <f>E29/Balance_Sheet!E74</f>
        <v>3.2025678682567595E-2</v>
      </c>
      <c r="F30" s="18">
        <f>F29/Balance_Sheet!F74</f>
        <v>3.1084364495648102E-2</v>
      </c>
      <c r="G30" s="18">
        <f>G29/Balance_Sheet!G74</f>
        <v>4.3266874876018165E-2</v>
      </c>
      <c r="H30" s="25">
        <f>MEDIAN(C30:G30)</f>
        <v>4.3266874876018165E-2</v>
      </c>
      <c r="I30" s="25">
        <f t="shared" ref="I30:L30" si="23">H30</f>
        <v>4.3266874876018165E-2</v>
      </c>
      <c r="J30" s="25">
        <f t="shared" si="23"/>
        <v>4.3266874876018165E-2</v>
      </c>
      <c r="K30" s="25">
        <f t="shared" si="23"/>
        <v>4.3266874876018165E-2</v>
      </c>
      <c r="L30" s="25">
        <f t="shared" si="23"/>
        <v>4.3266874876018165E-2</v>
      </c>
    </row>
    <row r="31" spans="2:12" ht="18.75" x14ac:dyDescent="0.25">
      <c r="B31" s="8" t="s">
        <v>20</v>
      </c>
      <c r="C31" s="5">
        <v>20709.400000000001</v>
      </c>
      <c r="D31" s="5">
        <v>25097.46</v>
      </c>
      <c r="E31" s="5">
        <v>27279.75</v>
      </c>
      <c r="F31" s="5">
        <v>34484.620000000003</v>
      </c>
      <c r="G31" s="5">
        <v>30221.61</v>
      </c>
      <c r="H31" s="24">
        <f>H74*H32</f>
        <v>80808.02210397755</v>
      </c>
      <c r="I31" s="24">
        <f t="shared" ref="I31:L31" si="24">I74*I32</f>
        <v>106042.78256967418</v>
      </c>
      <c r="J31" s="24">
        <f t="shared" si="24"/>
        <v>151177.7737744489</v>
      </c>
      <c r="K31" s="24">
        <f t="shared" si="24"/>
        <v>225865.85274234897</v>
      </c>
      <c r="L31" s="24">
        <f t="shared" si="24"/>
        <v>330564.03861274227</v>
      </c>
    </row>
    <row r="32" spans="2:12" x14ac:dyDescent="0.25">
      <c r="B32" s="17" t="s">
        <v>216</v>
      </c>
      <c r="C32" s="18">
        <f>C31/Balance_Sheet!C74</f>
        <v>0.17206777955343502</v>
      </c>
      <c r="D32" s="18">
        <f>D31/Balance_Sheet!D74</f>
        <v>9.3912682156118421E-2</v>
      </c>
      <c r="E32" s="18">
        <f>E31/Balance_Sheet!E74</f>
        <v>6.6654345817361085E-2</v>
      </c>
      <c r="F32" s="18">
        <f>F31/Balance_Sheet!F74</f>
        <v>6.5913684381095877E-2</v>
      </c>
      <c r="G32" s="18">
        <f>G31/Balance_Sheet!G74</f>
        <v>4.3087079306841476E-2</v>
      </c>
      <c r="H32" s="25">
        <f>MEDIAN(C32:G32)</f>
        <v>6.6654345817361085E-2</v>
      </c>
      <c r="I32" s="25">
        <f t="shared" ref="I32:L32" si="25">H32</f>
        <v>6.6654345817361085E-2</v>
      </c>
      <c r="J32" s="25">
        <f t="shared" si="25"/>
        <v>6.6654345817361085E-2</v>
      </c>
      <c r="K32" s="25">
        <f t="shared" si="25"/>
        <v>6.6654345817361085E-2</v>
      </c>
      <c r="L32" s="25">
        <f t="shared" si="25"/>
        <v>6.6654345817361085E-2</v>
      </c>
    </row>
    <row r="33" spans="2:12" ht="18.75" x14ac:dyDescent="0.25">
      <c r="B33" s="9" t="s">
        <v>22</v>
      </c>
      <c r="C33" s="7">
        <f>C23+C25+C27+C29+C31</f>
        <v>39312.69</v>
      </c>
      <c r="D33" s="7">
        <f t="shared" ref="D33:L33" si="26">D23+D25+D27+D29+D31</f>
        <v>46389.08</v>
      </c>
      <c r="E33" s="7">
        <f t="shared" si="26"/>
        <v>50271.93</v>
      </c>
      <c r="F33" s="7">
        <f t="shared" si="26"/>
        <v>62529.440000000002</v>
      </c>
      <c r="G33" s="7">
        <f t="shared" si="26"/>
        <v>73314.61</v>
      </c>
      <c r="H33" s="27">
        <f t="shared" si="26"/>
        <v>160599.27058387105</v>
      </c>
      <c r="I33" s="27">
        <f t="shared" si="26"/>
        <v>210751.27538119885</v>
      </c>
      <c r="J33" s="27">
        <f t="shared" si="26"/>
        <v>300453.33365682536</v>
      </c>
      <c r="K33" s="27">
        <f t="shared" si="26"/>
        <v>448889.72302438004</v>
      </c>
      <c r="L33" s="27">
        <f t="shared" si="26"/>
        <v>656968.71801825694</v>
      </c>
    </row>
    <row r="34" spans="2:12" x14ac:dyDescent="0.25">
      <c r="B34" s="19" t="s">
        <v>217</v>
      </c>
      <c r="C34" s="20">
        <f>C33/Balance_Sheet!C74</f>
        <v>0.32663656487259551</v>
      </c>
      <c r="D34" s="20">
        <f>D33/Balance_Sheet!D74</f>
        <v>0.17358421631331419</v>
      </c>
      <c r="E34" s="20">
        <f>E33/Balance_Sheet!E74</f>
        <v>0.12283259953357964</v>
      </c>
      <c r="F34" s="20">
        <f>F33/Balance_Sheet!F74</f>
        <v>0.11951837580598747</v>
      </c>
      <c r="G34" s="20">
        <f>G33/Balance_Sheet!G74</f>
        <v>0.10452495467382954</v>
      </c>
      <c r="H34" s="28">
        <f>H33/Balance_Sheet!H74</f>
        <v>0.13247000781357302</v>
      </c>
      <c r="I34" s="28">
        <f>I33/Balance_Sheet!I74</f>
        <v>0.13247000927647845</v>
      </c>
      <c r="J34" s="28">
        <f>J33/Balance_Sheet!J74</f>
        <v>0.13247000470730419</v>
      </c>
      <c r="K34" s="28">
        <f>K33/Balance_Sheet!K74</f>
        <v>0.13247000584217347</v>
      </c>
      <c r="L34" s="28">
        <f>L33/Balance_Sheet!L74</f>
        <v>0.13247000582927082</v>
      </c>
    </row>
    <row r="35" spans="2:12" ht="18.75" x14ac:dyDescent="0.25">
      <c r="B35" s="8" t="s">
        <v>10</v>
      </c>
      <c r="C35" s="4">
        <v>1905.09</v>
      </c>
      <c r="D35" s="4">
        <v>2070.04</v>
      </c>
      <c r="E35" s="5">
        <v>2056.33</v>
      </c>
      <c r="F35" s="5">
        <v>0</v>
      </c>
      <c r="G35" s="5">
        <v>0</v>
      </c>
      <c r="H35" s="24">
        <f>H74*H36</f>
        <v>6091.2567048111559</v>
      </c>
      <c r="I35" s="24">
        <f t="shared" ref="I35:L35" si="27">I74*I36</f>
        <v>7993.4367097021805</v>
      </c>
      <c r="J35" s="24">
        <f t="shared" si="27"/>
        <v>11395.683301555639</v>
      </c>
      <c r="K35" s="24">
        <f t="shared" si="27"/>
        <v>17025.62263106056</v>
      </c>
      <c r="L35" s="24">
        <f t="shared" si="27"/>
        <v>24917.704506842631</v>
      </c>
    </row>
    <row r="36" spans="2:12" x14ac:dyDescent="0.25">
      <c r="B36" s="17" t="s">
        <v>218</v>
      </c>
      <c r="C36" s="18">
        <f>C35/Balance_Sheet!C74</f>
        <v>1.5828783361635464E-2</v>
      </c>
      <c r="D36" s="18">
        <f>D35/Balance_Sheet!D74</f>
        <v>7.7459236341227908E-3</v>
      </c>
      <c r="E36" s="18">
        <f>E35/Balance_Sheet!E74</f>
        <v>5.0243616944661918E-3</v>
      </c>
      <c r="F36" s="18">
        <f>F35/Balance_Sheet!F74</f>
        <v>0</v>
      </c>
      <c r="G36" s="18">
        <f>G35/Balance_Sheet!G74</f>
        <v>0</v>
      </c>
      <c r="H36" s="25">
        <f>MEDIAN(C36:G36)</f>
        <v>5.0243616944661918E-3</v>
      </c>
      <c r="I36" s="25">
        <f t="shared" ref="I36:L36" si="28">H36</f>
        <v>5.0243616944661918E-3</v>
      </c>
      <c r="J36" s="25">
        <f t="shared" si="28"/>
        <v>5.0243616944661918E-3</v>
      </c>
      <c r="K36" s="25">
        <f t="shared" si="28"/>
        <v>5.0243616944661918E-3</v>
      </c>
      <c r="L36" s="25">
        <f t="shared" si="28"/>
        <v>5.0243616944661918E-3</v>
      </c>
    </row>
    <row r="37" spans="2:12" ht="18.75" x14ac:dyDescent="0.25">
      <c r="B37" s="9" t="s">
        <v>124</v>
      </c>
      <c r="C37" s="7">
        <f>C13+C21+C33+C35</f>
        <v>120356.06</v>
      </c>
      <c r="D37" s="7">
        <f t="shared" ref="D37:L37" si="29">D13+D21+D33+D35</f>
        <v>267242.50041414559</v>
      </c>
      <c r="E37" s="7">
        <f t="shared" si="29"/>
        <v>409271.88865897775</v>
      </c>
      <c r="F37" s="7">
        <f t="shared" si="29"/>
        <v>523178.46170787304</v>
      </c>
      <c r="G37" s="7">
        <f t="shared" si="29"/>
        <v>701407.71865224408</v>
      </c>
      <c r="H37" s="27">
        <f t="shared" si="29"/>
        <v>1212344.3882473742</v>
      </c>
      <c r="I37" s="27">
        <f t="shared" si="29"/>
        <v>1590935.7637421116</v>
      </c>
      <c r="J37" s="27">
        <f t="shared" si="29"/>
        <v>2268085.7777629322</v>
      </c>
      <c r="K37" s="27">
        <f t="shared" si="29"/>
        <v>3388614.0501812403</v>
      </c>
      <c r="L37" s="27">
        <f t="shared" si="29"/>
        <v>4959377.1352661317</v>
      </c>
    </row>
    <row r="38" spans="2:12" x14ac:dyDescent="0.25">
      <c r="B38" s="19" t="s">
        <v>219</v>
      </c>
      <c r="C38" s="20">
        <f>C37/Balance_Sheet!C74</f>
        <v>0.99999999999999989</v>
      </c>
      <c r="D38" s="20">
        <f>D37/Balance_Sheet!D74</f>
        <v>1</v>
      </c>
      <c r="E38" s="20">
        <f>E37/Balance_Sheet!E74</f>
        <v>1.0000000000000002</v>
      </c>
      <c r="F38" s="20">
        <f>F37/Balance_Sheet!F74</f>
        <v>0.99999999999999989</v>
      </c>
      <c r="G38" s="20">
        <f>G37/Balance_Sheet!G74</f>
        <v>0.99999999999999989</v>
      </c>
      <c r="H38" s="28">
        <f>H37/Balance_Sheet!H74</f>
        <v>1</v>
      </c>
      <c r="I38" s="28">
        <f>I37/Balance_Sheet!I74</f>
        <v>1</v>
      </c>
      <c r="J38" s="28">
        <f>J37/Balance_Sheet!J74</f>
        <v>0.99999999999999978</v>
      </c>
      <c r="K38" s="28">
        <f>K37/Balance_Sheet!K74</f>
        <v>1</v>
      </c>
      <c r="L38" s="28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45260.94</v>
      </c>
      <c r="D40" s="5">
        <v>48971.28</v>
      </c>
      <c r="E40" s="5">
        <v>59793.97</v>
      </c>
      <c r="F40" s="5">
        <v>63588.89</v>
      </c>
      <c r="G40" s="5">
        <v>98130.43</v>
      </c>
      <c r="H40" s="24">
        <f>ROUND(H74*H41,2)</f>
        <v>169613.01</v>
      </c>
      <c r="I40" s="24">
        <f t="shared" ref="I40:L40" si="30">ROUND(I74*I41,2)</f>
        <v>222579.83</v>
      </c>
      <c r="J40" s="24">
        <f t="shared" si="30"/>
        <v>317316.49</v>
      </c>
      <c r="K40" s="24">
        <f t="shared" si="30"/>
        <v>474083.97</v>
      </c>
      <c r="L40" s="24">
        <f t="shared" si="30"/>
        <v>693841.54</v>
      </c>
    </row>
    <row r="41" spans="2:12" x14ac:dyDescent="0.25">
      <c r="B41" s="17" t="s">
        <v>220</v>
      </c>
      <c r="C41" s="18">
        <f>C40/Balance_Sheet!C74</f>
        <v>0.37605867124596798</v>
      </c>
      <c r="D41" s="18">
        <f>D40/Balance_Sheet!D74</f>
        <v>0.18324660158511175</v>
      </c>
      <c r="E41" s="18">
        <f>E40/Balance_Sheet!E74</f>
        <v>0.14609840464714355</v>
      </c>
      <c r="F41" s="18">
        <f>F40/Balance_Sheet!F74</f>
        <v>0.12154340182969171</v>
      </c>
      <c r="G41" s="18">
        <f>G40/Balance_Sheet!G74</f>
        <v>0.13990497593690263</v>
      </c>
      <c r="H41" s="25">
        <f>G41</f>
        <v>0.13990497593690263</v>
      </c>
      <c r="I41" s="25">
        <f t="shared" ref="I41:L41" si="31">H41</f>
        <v>0.13990497593690263</v>
      </c>
      <c r="J41" s="25">
        <f t="shared" si="31"/>
        <v>0.13990497593690263</v>
      </c>
      <c r="K41" s="25">
        <f t="shared" si="31"/>
        <v>0.13990497593690263</v>
      </c>
      <c r="L41" s="25">
        <f t="shared" si="31"/>
        <v>0.13990497593690263</v>
      </c>
    </row>
    <row r="42" spans="2:12" ht="18.75" x14ac:dyDescent="0.25">
      <c r="B42" s="8" t="s">
        <v>27</v>
      </c>
      <c r="C42" s="4">
        <v>278.36</v>
      </c>
      <c r="D42" s="4">
        <v>343.56</v>
      </c>
      <c r="E42" s="4">
        <v>380.6</v>
      </c>
      <c r="F42" s="4">
        <v>509.42</v>
      </c>
      <c r="G42" s="4">
        <v>0</v>
      </c>
      <c r="H42" s="26">
        <f>ROUND(H74*H43,2)</f>
        <v>0</v>
      </c>
      <c r="I42" s="26">
        <f t="shared" ref="I42:L42" si="32">ROUND(I74*I43,2)</f>
        <v>0</v>
      </c>
      <c r="J42" s="26">
        <f t="shared" si="32"/>
        <v>0</v>
      </c>
      <c r="K42" s="26">
        <f t="shared" si="32"/>
        <v>0</v>
      </c>
      <c r="L42" s="26">
        <f t="shared" si="32"/>
        <v>0</v>
      </c>
    </row>
    <row r="43" spans="2:12" x14ac:dyDescent="0.25">
      <c r="B43" s="17" t="s">
        <v>221</v>
      </c>
      <c r="C43" s="18">
        <f>C42/Balance_Sheet!C74</f>
        <v>2.3128041911641174E-3</v>
      </c>
      <c r="D43" s="18">
        <f>D42/Balance_Sheet!D74</f>
        <v>1.2855739617298341E-3</v>
      </c>
      <c r="E43" s="18">
        <f>E42/Balance_Sheet!E74</f>
        <v>9.2994415337705177E-4</v>
      </c>
      <c r="F43" s="18">
        <f>F42/Balance_Sheet!F74</f>
        <v>9.7370216338233859E-4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3417.77</v>
      </c>
      <c r="E44" s="5">
        <f>Income_Statement!E31+D44</f>
        <v>7497.8600000000006</v>
      </c>
      <c r="F44" s="5">
        <f>Income_Statement!F31+E44</f>
        <v>11832.07</v>
      </c>
      <c r="G44" s="5">
        <f>Income_Statement!G31+F44</f>
        <v>17266.419999999998</v>
      </c>
      <c r="H44" s="24">
        <f>Income_Statement!H31+G44</f>
        <v>28827.21944267151</v>
      </c>
      <c r="I44" s="24">
        <f>Income_Statement!I31+H44</f>
        <v>43998.230054498512</v>
      </c>
      <c r="J44" s="24">
        <f>Income_Statement!J31+I44</f>
        <v>65626.478387232419</v>
      </c>
      <c r="K44" s="24">
        <f>Income_Statement!K31+J44</f>
        <v>97939.976603881587</v>
      </c>
      <c r="L44" s="24">
        <f>Income_Statement!L31+K44</f>
        <v>145232.12057877093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1.278902118751128E-2</v>
      </c>
      <c r="E45" s="18">
        <f>E44/Balance_Sheet!E74</f>
        <v>1.8319997556068477E-2</v>
      </c>
      <c r="F45" s="18">
        <f>F44/Balance_Sheet!F74</f>
        <v>2.2615743701250964E-2</v>
      </c>
      <c r="G45" s="18">
        <f>G44/Balance_Sheet!G74</f>
        <v>2.4616809226418901E-2</v>
      </c>
      <c r="H45" s="25">
        <f>H44/Balance_Sheet!H74</f>
        <v>2.377807801324967E-2</v>
      </c>
      <c r="I45" s="25">
        <f>I44/Balance_Sheet!I74</f>
        <v>2.7655566652803314E-2</v>
      </c>
      <c r="J45" s="25">
        <f>J44/Balance_Sheet!J74</f>
        <v>2.8934742693885847E-2</v>
      </c>
      <c r="K45" s="25">
        <f>K44/Balance_Sheet!K74</f>
        <v>2.8902664969663115E-2</v>
      </c>
      <c r="L45" s="25">
        <f>L44/Balance_Sheet!L74</f>
        <v>2.9284346928574012E-2</v>
      </c>
    </row>
    <row r="46" spans="2:12" ht="18.75" x14ac:dyDescent="0.25">
      <c r="B46" s="9" t="s">
        <v>126</v>
      </c>
      <c r="C46" s="7">
        <f>C40+C42-C44</f>
        <v>45539.3</v>
      </c>
      <c r="D46" s="7">
        <f t="shared" ref="D46:L46" si="34">D40+D42-D44</f>
        <v>45897.07</v>
      </c>
      <c r="E46" s="7">
        <f t="shared" si="34"/>
        <v>52676.71</v>
      </c>
      <c r="F46" s="7">
        <f t="shared" si="34"/>
        <v>52266.239999999998</v>
      </c>
      <c r="G46" s="7">
        <f t="shared" si="34"/>
        <v>80864.009999999995</v>
      </c>
      <c r="H46" s="27">
        <f t="shared" si="34"/>
        <v>140785.7905573285</v>
      </c>
      <c r="I46" s="27">
        <f t="shared" si="34"/>
        <v>178581.59994550148</v>
      </c>
      <c r="J46" s="27">
        <f t="shared" si="34"/>
        <v>251690.01161276759</v>
      </c>
      <c r="K46" s="27">
        <f t="shared" si="34"/>
        <v>376143.9933961184</v>
      </c>
      <c r="L46" s="27">
        <f t="shared" si="34"/>
        <v>548609.41942122905</v>
      </c>
    </row>
    <row r="47" spans="2:12" x14ac:dyDescent="0.25">
      <c r="B47" s="19" t="s">
        <v>223</v>
      </c>
      <c r="C47" s="20">
        <f>C46/Balance_Sheet!C74</f>
        <v>0.37837147543713212</v>
      </c>
      <c r="D47" s="20">
        <f>D46/Balance_Sheet!D74</f>
        <v>0.1717431543593303</v>
      </c>
      <c r="E47" s="20">
        <f>E46/Balance_Sheet!E74</f>
        <v>0.12870835124445212</v>
      </c>
      <c r="F47" s="20">
        <f>F46/Balance_Sheet!F74</f>
        <v>9.9901360291823088E-2</v>
      </c>
      <c r="G47" s="20">
        <f>G46/Balance_Sheet!G74</f>
        <v>0.11528816671048372</v>
      </c>
      <c r="H47" s="28">
        <f>H46/Balance_Sheet!H74</f>
        <v>0.11612689589041236</v>
      </c>
      <c r="I47" s="28">
        <f>I46/Balance_Sheet!I74</f>
        <v>0.11224940944532648</v>
      </c>
      <c r="J47" s="28">
        <f>J46/Balance_Sheet!J74</f>
        <v>0.11097023493574193</v>
      </c>
      <c r="K47" s="28">
        <f>K46/Balance_Sheet!K74</f>
        <v>0.11100231180827462</v>
      </c>
      <c r="L47" s="28">
        <f>L46/Balance_Sheet!L74</f>
        <v>0.11062062925605463</v>
      </c>
    </row>
    <row r="48" spans="2:12" ht="18.75" x14ac:dyDescent="0.25">
      <c r="B48" s="8" t="s">
        <v>30</v>
      </c>
      <c r="C48" s="5">
        <v>18275.29</v>
      </c>
      <c r="D48" s="5">
        <v>19107.82</v>
      </c>
      <c r="E48" s="5">
        <v>21819.97</v>
      </c>
      <c r="F48" s="5">
        <v>19973.46</v>
      </c>
      <c r="G48" s="5">
        <v>19173.63</v>
      </c>
      <c r="H48" s="24">
        <f>H74*H49</f>
        <v>64635.07246467167</v>
      </c>
      <c r="I48" s="24">
        <f t="shared" ref="I48:L48" si="35">I74*I49</f>
        <v>84819.337947994893</v>
      </c>
      <c r="J48" s="24">
        <f t="shared" si="35"/>
        <v>120920.99408628237</v>
      </c>
      <c r="K48" s="24">
        <f t="shared" si="35"/>
        <v>180660.97126485661</v>
      </c>
      <c r="L48" s="24">
        <f t="shared" si="35"/>
        <v>264404.82063101308</v>
      </c>
    </row>
    <row r="49" spans="2:12" x14ac:dyDescent="0.25">
      <c r="B49" s="17" t="s">
        <v>224</v>
      </c>
      <c r="C49" s="18">
        <f>C48/Balance_Sheet!C74</f>
        <v>0.15184353824809485</v>
      </c>
      <c r="D49" s="18">
        <f>D48/Balance_Sheet!D74</f>
        <v>7.149992972820049E-2</v>
      </c>
      <c r="E49" s="18">
        <f>E48/Balance_Sheet!E74</f>
        <v>5.3314118571630764E-2</v>
      </c>
      <c r="F49" s="18">
        <f>F48/Balance_Sheet!F74</f>
        <v>3.8177145012427083E-2</v>
      </c>
      <c r="G49" s="18">
        <f>G48/Balance_Sheet!G74</f>
        <v>2.7335926722965288E-2</v>
      </c>
      <c r="H49" s="25">
        <f>MEDIAN(C49:G49)</f>
        <v>5.3314118571630764E-2</v>
      </c>
      <c r="I49" s="25">
        <f t="shared" ref="I49:L49" si="36">H49</f>
        <v>5.3314118571630764E-2</v>
      </c>
      <c r="J49" s="25">
        <f t="shared" si="36"/>
        <v>5.3314118571630764E-2</v>
      </c>
      <c r="K49" s="25">
        <f t="shared" si="36"/>
        <v>5.3314118571630764E-2</v>
      </c>
      <c r="L49" s="25">
        <f t="shared" si="36"/>
        <v>5.3314118571630764E-2</v>
      </c>
    </row>
    <row r="50" spans="2:12" ht="18.75" x14ac:dyDescent="0.25">
      <c r="B50" s="8" t="s">
        <v>36</v>
      </c>
      <c r="C50" s="5">
        <v>5449.28</v>
      </c>
      <c r="D50" s="5">
        <v>5799.09</v>
      </c>
      <c r="E50" s="5">
        <v>5208.54</v>
      </c>
      <c r="F50" s="5">
        <v>6794.27</v>
      </c>
      <c r="G50" s="5">
        <v>4442.2700000000004</v>
      </c>
      <c r="H50" s="24">
        <f>H74*H51</f>
        <v>15744.140307015878</v>
      </c>
      <c r="I50" s="24">
        <f t="shared" ref="I50:L50" si="37">I74*I51</f>
        <v>20660.72654488531</v>
      </c>
      <c r="J50" s="24">
        <f t="shared" si="37"/>
        <v>29454.551907539779</v>
      </c>
      <c r="K50" s="24">
        <f t="shared" si="37"/>
        <v>44006.319961199639</v>
      </c>
      <c r="L50" s="24">
        <f t="shared" si="37"/>
        <v>64405.073517034572</v>
      </c>
    </row>
    <row r="51" spans="2:12" x14ac:dyDescent="0.25">
      <c r="B51" s="17" t="s">
        <v>225</v>
      </c>
      <c r="C51" s="18">
        <f>C50/Balance_Sheet!C74</f>
        <v>4.5276324266513866E-2</v>
      </c>
      <c r="D51" s="18">
        <f>D50/Balance_Sheet!D74</f>
        <v>2.169972961266697E-2</v>
      </c>
      <c r="E51" s="18">
        <f>E50/Balance_Sheet!E74</f>
        <v>1.2726356596506855E-2</v>
      </c>
      <c r="F51" s="18">
        <f>F50/Balance_Sheet!F74</f>
        <v>1.2986524670416791E-2</v>
      </c>
      <c r="G51" s="18">
        <f>G50/Balance_Sheet!G74</f>
        <v>6.3333634373682508E-3</v>
      </c>
      <c r="H51" s="25">
        <f>MEDIAN(C51:G51)</f>
        <v>1.2986524670416791E-2</v>
      </c>
      <c r="I51" s="25">
        <f t="shared" ref="I51:L51" si="38">H51</f>
        <v>1.2986524670416791E-2</v>
      </c>
      <c r="J51" s="25">
        <f t="shared" si="38"/>
        <v>1.2986524670416791E-2</v>
      </c>
      <c r="K51" s="25">
        <f t="shared" si="38"/>
        <v>1.2986524670416791E-2</v>
      </c>
      <c r="L51" s="25">
        <f t="shared" si="38"/>
        <v>1.2986524670416791E-2</v>
      </c>
    </row>
    <row r="52" spans="2:12" ht="18.75" x14ac:dyDescent="0.25">
      <c r="B52" s="8" t="s">
        <v>28</v>
      </c>
      <c r="C52" s="4">
        <v>9874.7400000000016</v>
      </c>
      <c r="D52" s="5">
        <v>7292.9</v>
      </c>
      <c r="E52" s="5">
        <v>9948.51</v>
      </c>
      <c r="F52" s="5">
        <v>7645.42</v>
      </c>
      <c r="G52" s="5">
        <v>0</v>
      </c>
      <c r="H52" s="24">
        <f>H74*H53</f>
        <v>29469.456867516808</v>
      </c>
      <c r="I52" s="24">
        <f t="shared" ref="I52:L52" si="39">I74*I53</f>
        <v>38672.190281151008</v>
      </c>
      <c r="J52" s="24">
        <f t="shared" si="39"/>
        <v>55132.235235764354</v>
      </c>
      <c r="K52" s="24">
        <f t="shared" si="39"/>
        <v>82369.841903455352</v>
      </c>
      <c r="L52" s="24">
        <f t="shared" si="39"/>
        <v>120551.67821476563</v>
      </c>
    </row>
    <row r="53" spans="2:12" x14ac:dyDescent="0.25">
      <c r="B53" s="17" t="s">
        <v>226</v>
      </c>
      <c r="C53" s="18">
        <f>C52/Balance_Sheet!C74</f>
        <v>8.2046055678459406E-2</v>
      </c>
      <c r="D53" s="18">
        <f>D52/Balance_Sheet!D74</f>
        <v>2.7289446808416312E-2</v>
      </c>
      <c r="E53" s="18">
        <f>E52/Balance_Sheet!E74</f>
        <v>2.4307826351321948E-2</v>
      </c>
      <c r="F53" s="18">
        <f>F52/Balance_Sheet!F74</f>
        <v>1.4613407392655566E-2</v>
      </c>
      <c r="G53" s="18">
        <f>G52/Balance_Sheet!G74</f>
        <v>0</v>
      </c>
      <c r="H53" s="25">
        <f>MEDIAN(C53:G53)</f>
        <v>2.4307826351321948E-2</v>
      </c>
      <c r="I53" s="25">
        <f t="shared" ref="I53:L53" si="40">H53</f>
        <v>2.4307826351321948E-2</v>
      </c>
      <c r="J53" s="25">
        <f t="shared" si="40"/>
        <v>2.4307826351321948E-2</v>
      </c>
      <c r="K53" s="25">
        <f t="shared" si="40"/>
        <v>2.4307826351321948E-2</v>
      </c>
      <c r="L53" s="25">
        <f t="shared" si="40"/>
        <v>2.4307826351321948E-2</v>
      </c>
    </row>
    <row r="54" spans="2:12" ht="18.75" x14ac:dyDescent="0.25">
      <c r="B54" s="9" t="s">
        <v>127</v>
      </c>
      <c r="C54" s="7">
        <f>C46+C48+C50+C52</f>
        <v>79138.610000000015</v>
      </c>
      <c r="D54" s="7">
        <f t="shared" ref="D54:L54" si="41">D46+D48+D50+D52</f>
        <v>78096.87999999999</v>
      </c>
      <c r="E54" s="7">
        <f t="shared" si="41"/>
        <v>89653.729999999981</v>
      </c>
      <c r="F54" s="7">
        <f t="shared" si="41"/>
        <v>86679.39</v>
      </c>
      <c r="G54" s="7">
        <f t="shared" si="41"/>
        <v>104479.91</v>
      </c>
      <c r="H54" s="27">
        <f t="shared" si="41"/>
        <v>250634.46019653286</v>
      </c>
      <c r="I54" s="27">
        <f t="shared" si="41"/>
        <v>322733.85471953265</v>
      </c>
      <c r="J54" s="27">
        <f t="shared" si="41"/>
        <v>457197.7928423541</v>
      </c>
      <c r="K54" s="27">
        <f t="shared" si="41"/>
        <v>683181.12652563001</v>
      </c>
      <c r="L54" s="27">
        <f t="shared" si="41"/>
        <v>997970.99178404221</v>
      </c>
    </row>
    <row r="55" spans="2:12" x14ac:dyDescent="0.25">
      <c r="B55" s="19" t="s">
        <v>227</v>
      </c>
      <c r="C55" s="20">
        <f>C54/Balance_Sheet!C74</f>
        <v>0.65753739363020036</v>
      </c>
      <c r="D55" s="20">
        <f>D54/Balance_Sheet!D74</f>
        <v>0.29223226050861406</v>
      </c>
      <c r="E55" s="20">
        <f>E54/Balance_Sheet!E74</f>
        <v>0.21905665276391165</v>
      </c>
      <c r="F55" s="20">
        <f>F54/Balance_Sheet!F74</f>
        <v>0.16567843736732252</v>
      </c>
      <c r="G55" s="20">
        <f>G54/Balance_Sheet!G74</f>
        <v>0.14895745687081727</v>
      </c>
      <c r="H55" s="28">
        <f>H54/Balance_Sheet!H74</f>
        <v>0.20673536548378188</v>
      </c>
      <c r="I55" s="28">
        <f>I54/Balance_Sheet!I74</f>
        <v>0.20285787903869595</v>
      </c>
      <c r="J55" s="28">
        <f>J54/Balance_Sheet!J74</f>
        <v>0.20157870452911142</v>
      </c>
      <c r="K55" s="28">
        <f>K54/Balance_Sheet!K74</f>
        <v>0.20161078140164412</v>
      </c>
      <c r="L55" s="28">
        <f>L54/Balance_Sheet!L74</f>
        <v>0.20122909884942411</v>
      </c>
    </row>
    <row r="56" spans="2:12" ht="18.75" x14ac:dyDescent="0.25">
      <c r="B56" s="8" t="s">
        <v>31</v>
      </c>
      <c r="C56" s="4">
        <v>0</v>
      </c>
      <c r="D56" s="4">
        <v>4.2699999999999996</v>
      </c>
      <c r="E56" s="4">
        <v>3.58</v>
      </c>
      <c r="F56" s="4">
        <v>3.53</v>
      </c>
      <c r="G56" s="4">
        <v>0</v>
      </c>
      <c r="H56" s="26">
        <f>H74*H57</f>
        <v>8.1799538852247622</v>
      </c>
      <c r="I56" s="26">
        <f t="shared" ref="I56:L56" si="42">I74*I57</f>
        <v>10.734393055242895</v>
      </c>
      <c r="J56" s="26">
        <f t="shared" si="42"/>
        <v>15.303272939346746</v>
      </c>
      <c r="K56" s="26">
        <f t="shared" si="42"/>
        <v>22.863723323187731</v>
      </c>
      <c r="L56" s="26">
        <f t="shared" si="42"/>
        <v>33.462006884497086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1.5977997486862239E-5</v>
      </c>
      <c r="E57" s="18">
        <f>E56/Balance_Sheet!E74</f>
        <v>8.7472413796370079E-6</v>
      </c>
      <c r="F57" s="18">
        <f>F56/Balance_Sheet!F74</f>
        <v>6.7472196551757977E-6</v>
      </c>
      <c r="G57" s="18">
        <f>G56/Balance_Sheet!G74</f>
        <v>0</v>
      </c>
      <c r="H57" s="25">
        <f>MEDIAN(C57:G57)</f>
        <v>6.7472196551757977E-6</v>
      </c>
      <c r="I57" s="25">
        <f t="shared" ref="I57:L57" si="43">H57</f>
        <v>6.7472196551757977E-6</v>
      </c>
      <c r="J57" s="25">
        <f t="shared" si="43"/>
        <v>6.7472196551757977E-6</v>
      </c>
      <c r="K57" s="25">
        <f t="shared" si="43"/>
        <v>6.7472196551757977E-6</v>
      </c>
      <c r="L57" s="25">
        <f t="shared" si="43"/>
        <v>6.7472196551757977E-6</v>
      </c>
    </row>
    <row r="58" spans="2:12" ht="18.75" x14ac:dyDescent="0.25">
      <c r="B58" s="8" t="s">
        <v>32</v>
      </c>
      <c r="C58" s="5">
        <v>4074.42</v>
      </c>
      <c r="D58" s="5">
        <v>3829.26</v>
      </c>
      <c r="E58" s="5">
        <v>4987.2700000000004</v>
      </c>
      <c r="F58" s="5">
        <v>5312</v>
      </c>
      <c r="G58" s="5">
        <v>3956.62</v>
      </c>
      <c r="H58" s="24">
        <f>ROUND(H74*H59,2)</f>
        <v>6838.8</v>
      </c>
      <c r="I58" s="24">
        <f t="shared" ref="I58:L58" si="44">ROUND(I74*I59,2)</f>
        <v>8974.42</v>
      </c>
      <c r="J58" s="24">
        <f t="shared" si="44"/>
        <v>12794.2</v>
      </c>
      <c r="K58" s="24">
        <f t="shared" si="44"/>
        <v>19115.07</v>
      </c>
      <c r="L58" s="24">
        <f t="shared" si="44"/>
        <v>27975.7</v>
      </c>
    </row>
    <row r="59" spans="2:12" x14ac:dyDescent="0.25">
      <c r="B59" s="17" t="s">
        <v>229</v>
      </c>
      <c r="C59" s="18">
        <f>C58/Balance_Sheet!C74</f>
        <v>3.3853052351497714E-2</v>
      </c>
      <c r="D59" s="18">
        <f>D58/Balance_Sheet!D74</f>
        <v>1.4328783760314313E-2</v>
      </c>
      <c r="E59" s="18">
        <f>E58/Balance_Sheet!E74</f>
        <v>1.2185713551793929E-2</v>
      </c>
      <c r="F59" s="18">
        <f>F58/Balance_Sheet!F74</f>
        <v>1.0153323175154062E-2</v>
      </c>
      <c r="G59" s="18">
        <f>G58/Balance_Sheet!G74</f>
        <v>5.6409701444441619E-3</v>
      </c>
      <c r="H59" s="25">
        <f>G59</f>
        <v>5.6409701444441619E-3</v>
      </c>
      <c r="I59" s="25">
        <f t="shared" ref="I59:L59" si="45">H59</f>
        <v>5.6409701444441619E-3</v>
      </c>
      <c r="J59" s="25">
        <f t="shared" si="45"/>
        <v>5.6409701444441619E-3</v>
      </c>
      <c r="K59" s="25">
        <f t="shared" si="45"/>
        <v>5.6409701444441619E-3</v>
      </c>
      <c r="L59" s="25">
        <f t="shared" si="45"/>
        <v>5.6409701444441619E-3</v>
      </c>
    </row>
    <row r="60" spans="2:12" ht="18.75" x14ac:dyDescent="0.25">
      <c r="B60" s="8" t="s">
        <v>33</v>
      </c>
      <c r="C60" s="5">
        <v>1990.8</v>
      </c>
      <c r="D60" s="5">
        <v>2238.11</v>
      </c>
      <c r="E60" s="5">
        <v>2869.68</v>
      </c>
      <c r="F60" s="5">
        <v>2482.17</v>
      </c>
      <c r="G60" s="5">
        <v>3064.61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1.6540920332553256E-2</v>
      </c>
      <c r="D61" s="18">
        <f>D60/Balance_Sheet!D74</f>
        <v>8.3748280925810912E-3</v>
      </c>
      <c r="E61" s="18">
        <f>E60/Balance_Sheet!E74</f>
        <v>7.0116714084683595E-3</v>
      </c>
      <c r="F61" s="18">
        <f>F60/Balance_Sheet!F74</f>
        <v>4.7444040259171988E-3</v>
      </c>
      <c r="G61" s="18">
        <f>G60/Balance_Sheet!G74</f>
        <v>4.3692276524824282E-3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270.42</v>
      </c>
      <c r="D62" s="4">
        <v>1684.67</v>
      </c>
      <c r="E62" s="4">
        <v>704.86</v>
      </c>
      <c r="F62" s="5">
        <v>138.06</v>
      </c>
      <c r="G62" s="4">
        <v>136</v>
      </c>
      <c r="H62" s="26">
        <f>ROUND(H74*H63,2)</f>
        <v>235.07</v>
      </c>
      <c r="I62" s="26">
        <f t="shared" ref="I62:L62" si="46">ROUND(I74*I63,2)</f>
        <v>308.48</v>
      </c>
      <c r="J62" s="26">
        <f t="shared" si="46"/>
        <v>439.77</v>
      </c>
      <c r="K62" s="26">
        <f t="shared" si="46"/>
        <v>657.04</v>
      </c>
      <c r="L62" s="26">
        <f t="shared" si="46"/>
        <v>961.6</v>
      </c>
    </row>
    <row r="63" spans="2:12" x14ac:dyDescent="0.25">
      <c r="B63" s="17" t="s">
        <v>231</v>
      </c>
      <c r="C63" s="18">
        <f>C62/Balance_Sheet!C74</f>
        <v>2.2468332712121016E-3</v>
      </c>
      <c r="D63" s="18">
        <f>D62/Balance_Sheet!D74</f>
        <v>6.3039000061340085E-3</v>
      </c>
      <c r="E63" s="18">
        <f>E62/Balance_Sheet!E74</f>
        <v>1.7222292063829446E-3</v>
      </c>
      <c r="F63" s="18">
        <f>F62/Balance_Sheet!F74</f>
        <v>2.6388701008316453E-4</v>
      </c>
      <c r="G63" s="18">
        <f>G62/Balance_Sheet!G74</f>
        <v>1.9389578469613104E-4</v>
      </c>
      <c r="H63" s="25">
        <f>G63</f>
        <v>1.9389578469613104E-4</v>
      </c>
      <c r="I63" s="25">
        <f t="shared" ref="I63:L63" si="47">H63</f>
        <v>1.9389578469613104E-4</v>
      </c>
      <c r="J63" s="25">
        <f t="shared" si="47"/>
        <v>1.9389578469613104E-4</v>
      </c>
      <c r="K63" s="25">
        <f t="shared" si="47"/>
        <v>1.9389578469613104E-4</v>
      </c>
      <c r="L63" s="25">
        <f t="shared" si="47"/>
        <v>1.9389578469613104E-4</v>
      </c>
    </row>
    <row r="64" spans="2:12" ht="18.75" x14ac:dyDescent="0.25">
      <c r="B64" s="8" t="s">
        <v>41</v>
      </c>
      <c r="C64" s="5">
        <v>5787.73</v>
      </c>
      <c r="D64" s="5">
        <v>10794.19</v>
      </c>
      <c r="E64" s="5">
        <v>8552.89</v>
      </c>
      <c r="F64" s="5">
        <v>2399.2600000000002</v>
      </c>
      <c r="G64" s="5">
        <v>3298.19</v>
      </c>
      <c r="H64" s="24">
        <f>H74*H65</f>
        <v>25335.35403267583</v>
      </c>
      <c r="I64" s="24">
        <f t="shared" ref="I64:L64" si="48">I74*I65</f>
        <v>33247.088210571601</v>
      </c>
      <c r="J64" s="24">
        <f t="shared" si="48"/>
        <v>47398.04688597755</v>
      </c>
      <c r="K64" s="24">
        <f t="shared" si="48"/>
        <v>70814.644315344121</v>
      </c>
      <c r="L64" s="24">
        <f t="shared" si="48"/>
        <v>103640.16753124708</v>
      </c>
    </row>
    <row r="65" spans="2:12" x14ac:dyDescent="0.25">
      <c r="B65" s="17" t="s">
        <v>232</v>
      </c>
      <c r="C65" s="18">
        <f>C64/Balance_Sheet!C74</f>
        <v>4.8088397044569249E-2</v>
      </c>
      <c r="D65" s="18">
        <f>D64/Balance_Sheet!D74</f>
        <v>4.0390993136466873E-2</v>
      </c>
      <c r="E65" s="18">
        <f>E64/Balance_Sheet!E74</f>
        <v>2.0897819364101556E-2</v>
      </c>
      <c r="F65" s="18">
        <f>F64/Balance_Sheet!F74</f>
        <v>4.5859303767357184E-3</v>
      </c>
      <c r="G65" s="18">
        <f>G64/Balance_Sheet!G74</f>
        <v>4.7022436626980328E-3</v>
      </c>
      <c r="H65" s="25">
        <f>MEDIAN(C65:G65)</f>
        <v>2.0897819364101556E-2</v>
      </c>
      <c r="I65" s="25">
        <f t="shared" ref="I65:L65" si="49">H65</f>
        <v>2.0897819364101556E-2</v>
      </c>
      <c r="J65" s="25">
        <f t="shared" si="49"/>
        <v>2.0897819364101556E-2</v>
      </c>
      <c r="K65" s="25">
        <f t="shared" si="49"/>
        <v>2.0897819364101556E-2</v>
      </c>
      <c r="L65" s="25">
        <f t="shared" si="49"/>
        <v>2.0897819364101556E-2</v>
      </c>
    </row>
    <row r="66" spans="2:12" ht="18.75" x14ac:dyDescent="0.25">
      <c r="B66" s="8" t="s">
        <v>37</v>
      </c>
      <c r="C66" s="5">
        <v>22530.94</v>
      </c>
      <c r="D66" s="5">
        <v>22934.87</v>
      </c>
      <c r="E66" s="5">
        <v>22242.6</v>
      </c>
      <c r="F66" s="5">
        <v>26706.02</v>
      </c>
      <c r="G66" s="5">
        <v>42178.74</v>
      </c>
      <c r="H66" s="24">
        <f>H74*H67</f>
        <v>72903.615661089847</v>
      </c>
      <c r="I66" s="24">
        <f t="shared" ref="I66:L66" si="50">I74*I67</f>
        <v>95669.985018869949</v>
      </c>
      <c r="J66" s="24">
        <f t="shared" si="50"/>
        <v>136390.00223975425</v>
      </c>
      <c r="K66" s="24">
        <f t="shared" si="50"/>
        <v>203772.30985934514</v>
      </c>
      <c r="L66" s="24">
        <f t="shared" si="50"/>
        <v>298229.22272979136</v>
      </c>
    </row>
    <row r="67" spans="2:12" x14ac:dyDescent="0.25">
      <c r="B67" s="17" t="s">
        <v>233</v>
      </c>
      <c r="C67" s="18">
        <f>C66/Balance_Sheet!C74</f>
        <v>0.18720237269315726</v>
      </c>
      <c r="D67" s="18">
        <f>D66/Balance_Sheet!D74</f>
        <v>8.5820443845787409E-2</v>
      </c>
      <c r="E67" s="18">
        <f>E66/Balance_Sheet!E74</f>
        <v>5.4346757293495557E-2</v>
      </c>
      <c r="F67" s="18">
        <f>F66/Balance_Sheet!F74</f>
        <v>5.1045717579466847E-2</v>
      </c>
      <c r="G67" s="18">
        <f>G66/Balance_Sheet!G74</f>
        <v>6.0134410954368306E-2</v>
      </c>
      <c r="H67" s="25">
        <f>MEDIAN(C67:G67)</f>
        <v>6.0134410954368306E-2</v>
      </c>
      <c r="I67" s="25">
        <f t="shared" ref="I67:L67" si="51">H67</f>
        <v>6.0134410954368306E-2</v>
      </c>
      <c r="J67" s="25">
        <f t="shared" si="51"/>
        <v>6.0134410954368306E-2</v>
      </c>
      <c r="K67" s="25">
        <f t="shared" si="51"/>
        <v>6.0134410954368306E-2</v>
      </c>
      <c r="L67" s="25">
        <f t="shared" si="51"/>
        <v>6.0134410954368306E-2</v>
      </c>
    </row>
    <row r="68" spans="2:12" ht="18.75" x14ac:dyDescent="0.25">
      <c r="B68" s="8" t="s">
        <v>38</v>
      </c>
      <c r="C68" s="5">
        <v>5209.28</v>
      </c>
      <c r="D68" s="5">
        <v>6906.25</v>
      </c>
      <c r="E68" s="5">
        <v>5378.02</v>
      </c>
      <c r="F68" s="5">
        <v>7834.77</v>
      </c>
      <c r="G68" s="5">
        <v>9707.4699999999993</v>
      </c>
      <c r="H68" s="24">
        <f>H69*H74</f>
        <v>10284.593811482915</v>
      </c>
      <c r="I68" s="24">
        <f t="shared" ref="I68:L68" si="52">I69*I74</f>
        <v>13496.27075348027</v>
      </c>
      <c r="J68" s="24">
        <f t="shared" si="52"/>
        <v>19240.688685510228</v>
      </c>
      <c r="K68" s="24">
        <f t="shared" si="52"/>
        <v>28746.385456016917</v>
      </c>
      <c r="L68" s="24">
        <f t="shared" si="52"/>
        <v>42071.52677788493</v>
      </c>
    </row>
    <row r="69" spans="2:12" x14ac:dyDescent="0.25">
      <c r="B69" s="17" t="s">
        <v>234</v>
      </c>
      <c r="C69" s="18">
        <f>C68/Balance_Sheet!C74</f>
        <v>4.3282241043782914E-2</v>
      </c>
      <c r="D69" s="18">
        <f>D68/Balance_Sheet!D74</f>
        <v>2.5842633523101257E-2</v>
      </c>
      <c r="E69" s="18">
        <f>E68/Balance_Sheet!E74</f>
        <v>1.314045784483671E-2</v>
      </c>
      <c r="F69" s="18">
        <f>F68/Balance_Sheet!F74</f>
        <v>1.4975329784074133E-2</v>
      </c>
      <c r="G69" s="18">
        <f>G68/Balance_Sheet!G74</f>
        <v>1.3839981713706994E-2</v>
      </c>
      <c r="H69" s="25">
        <f>GROWTH(C69:G69,C4:G4,H4)</f>
        <v>8.4832279599618057E-3</v>
      </c>
      <c r="I69" s="25">
        <f t="shared" ref="I69:L69" si="53">H69</f>
        <v>8.4832279599618057E-3</v>
      </c>
      <c r="J69" s="25">
        <f t="shared" si="53"/>
        <v>8.4832279599618057E-3</v>
      </c>
      <c r="K69" s="25">
        <f t="shared" si="53"/>
        <v>8.4832279599618057E-3</v>
      </c>
      <c r="L69" s="25">
        <f t="shared" si="53"/>
        <v>8.4832279599618057E-3</v>
      </c>
    </row>
    <row r="70" spans="2:12" ht="18.75" x14ac:dyDescent="0.25">
      <c r="B70" s="8" t="s">
        <v>39</v>
      </c>
      <c r="C70" s="5">
        <v>1353.86</v>
      </c>
      <c r="D70" s="5">
        <f>CashFlow_Statement!D48+C70</f>
        <v>140754.00041414559</v>
      </c>
      <c r="E70" s="5">
        <f>CashFlow_Statement!E48+D70</f>
        <v>274879.25865897775</v>
      </c>
      <c r="F70" s="5">
        <f>CashFlow_Statement!F48+E70</f>
        <v>391623.26170787308</v>
      </c>
      <c r="G70" s="5">
        <f>CashFlow_Statement!G48+F70</f>
        <v>534586.17865224415</v>
      </c>
      <c r="H70" s="24">
        <f>CashFlow_Statement!H48+G70</f>
        <v>616408.95230531017</v>
      </c>
      <c r="I70" s="24">
        <f>CashFlow_Statement!I48+H70</f>
        <v>735790.91609868768</v>
      </c>
      <c r="J70" s="24">
        <f>CashFlow_Statement!J48+I70</f>
        <v>846081.48307517322</v>
      </c>
      <c r="K70" s="24">
        <f>CashFlow_Statement!K48+J70</f>
        <v>934051.06376544281</v>
      </c>
      <c r="L70" s="24">
        <f>CashFlow_Statement!L48+K70</f>
        <v>980905.86898122856</v>
      </c>
    </row>
    <row r="71" spans="2:12" x14ac:dyDescent="0.25">
      <c r="B71" s="17" t="s">
        <v>235</v>
      </c>
      <c r="C71" s="18">
        <f>C70/Balance_Sheet!C74</f>
        <v>1.12487896330272E-2</v>
      </c>
      <c r="D71" s="18">
        <f>D70/Balance_Sheet!D74</f>
        <v>0.5266901791295141</v>
      </c>
      <c r="E71" s="18">
        <f>E70/Balance_Sheet!E74</f>
        <v>0.67162995132562975</v>
      </c>
      <c r="F71" s="18">
        <f>F70/Balance_Sheet!F74</f>
        <v>0.74854622346159116</v>
      </c>
      <c r="G71" s="18">
        <f>G70/Balance_Sheet!G74</f>
        <v>0.76216181321678667</v>
      </c>
      <c r="H71" s="25">
        <f>H70/Balance_Sheet!H74</f>
        <v>0.50844377083018621</v>
      </c>
      <c r="I71" s="25">
        <f>I70/Balance_Sheet!I74</f>
        <v>0.46248939326626282</v>
      </c>
      <c r="J71" s="25">
        <f>J70/Balance_Sheet!J74</f>
        <v>0.37303769168275619</v>
      </c>
      <c r="K71" s="25">
        <f>K70/Balance_Sheet!K74</f>
        <v>0.27564398008545266</v>
      </c>
      <c r="L71" s="25">
        <f>L70/Balance_Sheet!L74</f>
        <v>0.19778811778721297</v>
      </c>
    </row>
    <row r="72" spans="2:12" ht="18.75" x14ac:dyDescent="0.25">
      <c r="B72" s="9" t="s">
        <v>42</v>
      </c>
      <c r="C72" s="7">
        <f>C56+C58+C60+C62+C64+C66+C68+C70</f>
        <v>41217.449999999997</v>
      </c>
      <c r="D72" s="7">
        <f t="shared" ref="D72:L72" si="54">D56+D58+D60+D62+D64+D66+D68+D70</f>
        <v>189145.62041414558</v>
      </c>
      <c r="E72" s="7">
        <f t="shared" si="54"/>
        <v>319618.15865897771</v>
      </c>
      <c r="F72" s="7">
        <f t="shared" si="54"/>
        <v>436499.07170787308</v>
      </c>
      <c r="G72" s="7">
        <f t="shared" si="54"/>
        <v>596927.80865224416</v>
      </c>
      <c r="H72" s="27">
        <f t="shared" si="54"/>
        <v>732014.56576444395</v>
      </c>
      <c r="I72" s="27">
        <f t="shared" si="54"/>
        <v>887497.8944746647</v>
      </c>
      <c r="J72" s="27">
        <f t="shared" si="54"/>
        <v>1062359.4941593546</v>
      </c>
      <c r="K72" s="27">
        <f t="shared" si="54"/>
        <v>1257179.3771194723</v>
      </c>
      <c r="L72" s="27">
        <f t="shared" si="54"/>
        <v>1453817.5480270365</v>
      </c>
    </row>
    <row r="73" spans="2:12" x14ac:dyDescent="0.25">
      <c r="B73" s="19" t="s">
        <v>236</v>
      </c>
      <c r="C73" s="20">
        <f>C72/Balance_Sheet!C74</f>
        <v>0.34246260636979969</v>
      </c>
      <c r="D73" s="20">
        <f>D72/Balance_Sheet!D74</f>
        <v>0.70776773949138594</v>
      </c>
      <c r="E73" s="20">
        <f>E72/Balance_Sheet!E74</f>
        <v>0.78094334723608838</v>
      </c>
      <c r="F73" s="20">
        <f>F72/Balance_Sheet!F74</f>
        <v>0.83432156263267743</v>
      </c>
      <c r="G73" s="20">
        <f>G72/Balance_Sheet!G74</f>
        <v>0.8510425431291827</v>
      </c>
      <c r="H73" s="28">
        <f>H72/Balance_Sheet!H74</f>
        <v>0.60380084476052298</v>
      </c>
      <c r="I73" s="28">
        <f>I72/Balance_Sheet!I74</f>
        <v>0.55784646665251958</v>
      </c>
      <c r="J73" s="28">
        <f>J72/Balance_Sheet!J74</f>
        <v>0.46839476027541832</v>
      </c>
      <c r="K73" s="28">
        <f>K72/Balance_Sheet!K74</f>
        <v>0.37100105190564026</v>
      </c>
      <c r="L73" s="28">
        <f>L72/Balance_Sheet!L74</f>
        <v>0.2931451890780678</v>
      </c>
    </row>
    <row r="74" spans="2:12" ht="18.75" x14ac:dyDescent="0.25">
      <c r="B74" s="9" t="s">
        <v>43</v>
      </c>
      <c r="C74" s="7">
        <f>C54+C72</f>
        <v>120356.06000000001</v>
      </c>
      <c r="D74" s="7">
        <f t="shared" ref="D74:G74" si="55">D54+D72</f>
        <v>267242.50041414559</v>
      </c>
      <c r="E74" s="7">
        <f t="shared" si="55"/>
        <v>409271.8886589777</v>
      </c>
      <c r="F74" s="7">
        <f t="shared" si="55"/>
        <v>523178.4617078731</v>
      </c>
      <c r="G74" s="7">
        <f t="shared" si="55"/>
        <v>701407.71865224419</v>
      </c>
      <c r="H74" s="27">
        <f>Income_Statement!H5/H80</f>
        <v>1212344.3882473742</v>
      </c>
      <c r="I74" s="27">
        <f>Income_Statement!I5/I80</f>
        <v>1590935.7637421116</v>
      </c>
      <c r="J74" s="27">
        <f>Income_Statement!J5/J80</f>
        <v>2268085.7777629327</v>
      </c>
      <c r="K74" s="27">
        <f>Income_Statement!K5/K80</f>
        <v>3388614.0501812403</v>
      </c>
      <c r="L74" s="27">
        <f>Income_Statement!L5/L80</f>
        <v>4959377.1352661317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2.3145250018985331</v>
      </c>
      <c r="D80">
        <f>Income_Statement!D5/D74</f>
        <v>1.2709018942483385</v>
      </c>
      <c r="E80">
        <f>Income_Statement!E5/E74</f>
        <v>0.8029111676267866</v>
      </c>
      <c r="F80">
        <f>Income_Statement!F5/F74</f>
        <v>0.57959131002857345</v>
      </c>
      <c r="G80">
        <f>Income_Statement!G5/G74</f>
        <v>0.61671636695299425</v>
      </c>
      <c r="H80">
        <f>GROWTH(C80:G80,C4:G4,H4)</f>
        <v>0.34543541333765282</v>
      </c>
      <c r="I80">
        <f t="shared" ref="I80:L80" si="56">GROWTH(D80:H80,D4:H4,I4)</f>
        <v>0.27941456215600674</v>
      </c>
      <c r="J80">
        <f t="shared" si="56"/>
        <v>0.22183014712270002</v>
      </c>
      <c r="K80">
        <f t="shared" si="56"/>
        <v>0.16724650467092847</v>
      </c>
      <c r="L80">
        <f t="shared" si="56"/>
        <v>0.11778089643085385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2719C6CA-7B9B-48B5-8CA0-68116E292EF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7734C-4516-4BC4-BC9E-9F898E13C65C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7.140625" bestFit="1" customWidth="1"/>
    <col min="8" max="8" width="19.85546875" bestFit="1" customWidth="1"/>
    <col min="9" max="9" width="18.85546875" bestFit="1" customWidth="1"/>
    <col min="10" max="12" width="19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141177.94041414562</v>
      </c>
      <c r="E5" s="5">
        <f>Income_Statement!E45</f>
        <v>131759.69824483214</v>
      </c>
      <c r="F5" s="5">
        <f>Income_Statement!F45</f>
        <v>130342.44304889537</v>
      </c>
      <c r="G5" s="5">
        <f>Income_Statement!G45</f>
        <v>154361.8869443711</v>
      </c>
      <c r="H5" s="24">
        <f>Income_Statement!H45</f>
        <v>139164.95575985467</v>
      </c>
      <c r="I5" s="24">
        <f>Income_Statement!I45</f>
        <v>143690.64554050346</v>
      </c>
      <c r="J5" s="24">
        <f>Income_Statement!J45</f>
        <v>156438.41975319039</v>
      </c>
      <c r="K5" s="24">
        <f>Income_Statement!K45</f>
        <v>165166.20848542193</v>
      </c>
      <c r="L5" s="24">
        <f>Income_Statement!L45</f>
        <v>150796.73333554983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3417.77</v>
      </c>
      <c r="E7" s="5">
        <f>Income_Statement!E31</f>
        <v>4080.09</v>
      </c>
      <c r="F7" s="5">
        <f>Income_Statement!F31</f>
        <v>4334.21</v>
      </c>
      <c r="G7" s="5">
        <f>Income_Statement!G31</f>
        <v>5434.35</v>
      </c>
      <c r="H7" s="24">
        <f>Income_Statement!H31</f>
        <v>11560.799442671512</v>
      </c>
      <c r="I7" s="24">
        <f>Income_Statement!I31</f>
        <v>15171.010611827003</v>
      </c>
      <c r="J7" s="24">
        <f>Income_Statement!J31</f>
        <v>21628.248332733911</v>
      </c>
      <c r="K7" s="24">
        <f>Income_Statement!K31</f>
        <v>32313.498216649165</v>
      </c>
      <c r="L7" s="24">
        <f>Income_Statement!L31</f>
        <v>47292.143974889332</v>
      </c>
    </row>
    <row r="8" spans="2:15" ht="18.75" x14ac:dyDescent="0.25">
      <c r="B8" s="8" t="s">
        <v>131</v>
      </c>
      <c r="C8" s="4"/>
      <c r="D8" s="5">
        <f>Income_Statement!D35</f>
        <v>1763.95</v>
      </c>
      <c r="E8" s="5">
        <f>Income_Statement!E35</f>
        <v>2637.01</v>
      </c>
      <c r="F8" s="5">
        <f>Income_Statement!F35</f>
        <v>1723.41</v>
      </c>
      <c r="G8" s="5">
        <f>Income_Statement!G35</f>
        <v>2605.64</v>
      </c>
      <c r="H8" s="24">
        <f>Income_Statement!H35</f>
        <v>4503.7044914778744</v>
      </c>
      <c r="I8" s="24">
        <f>Income_Statement!I35</f>
        <v>5910.1229821725474</v>
      </c>
      <c r="J8" s="24">
        <f>Income_Statement!J35</f>
        <v>8425.6488470061813</v>
      </c>
      <c r="K8" s="24">
        <f>Income_Statement!K35</f>
        <v>12588.267934949381</v>
      </c>
      <c r="L8" s="24">
        <f>Income_Statement!L35</f>
        <v>18423.451856956683</v>
      </c>
    </row>
    <row r="9" spans="2:15" ht="18.75" x14ac:dyDescent="0.25">
      <c r="B9" s="8" t="s">
        <v>59</v>
      </c>
      <c r="C9" s="4"/>
      <c r="D9" s="5">
        <f>Income_Statement!D11</f>
        <v>2037.54</v>
      </c>
      <c r="E9" s="5">
        <f>Income_Statement!E11</f>
        <v>1929.33</v>
      </c>
      <c r="F9" s="5">
        <f>Income_Statement!F11</f>
        <v>2253.04</v>
      </c>
      <c r="G9" s="5">
        <f>Income_Statement!G11</f>
        <v>2268.54</v>
      </c>
      <c r="H9" s="24">
        <f>Income_Statement!H11</f>
        <v>2512.3575969583694</v>
      </c>
      <c r="I9" s="24">
        <f>Income_Statement!I11</f>
        <v>2666.7989222604733</v>
      </c>
      <c r="J9" s="24">
        <f>Income_Statement!J11</f>
        <v>3018.3432888875614</v>
      </c>
      <c r="K9" s="24">
        <f>Income_Statement!K11</f>
        <v>3399.9125544515778</v>
      </c>
      <c r="L9" s="24">
        <f>Income_Statement!L11</f>
        <v>3504.2136796228533</v>
      </c>
    </row>
    <row r="10" spans="2:15" ht="18.75" x14ac:dyDescent="0.25">
      <c r="B10" s="9" t="s">
        <v>132</v>
      </c>
      <c r="C10" s="6"/>
      <c r="D10" s="7">
        <f>D7+D8-D9</f>
        <v>3144.1800000000003</v>
      </c>
      <c r="E10" s="7">
        <f t="shared" ref="E10:L10" si="0">E7+E8-E9</f>
        <v>4787.7700000000004</v>
      </c>
      <c r="F10" s="7">
        <f t="shared" si="0"/>
        <v>3804.58</v>
      </c>
      <c r="G10" s="7">
        <f t="shared" si="0"/>
        <v>5771.45</v>
      </c>
      <c r="H10" s="27">
        <f t="shared" si="0"/>
        <v>13552.146337191018</v>
      </c>
      <c r="I10" s="27">
        <f t="shared" si="0"/>
        <v>18414.334671739078</v>
      </c>
      <c r="J10" s="27">
        <f t="shared" si="0"/>
        <v>27035.55389085253</v>
      </c>
      <c r="K10" s="27">
        <f t="shared" si="0"/>
        <v>41501.853597146968</v>
      </c>
      <c r="L10" s="27">
        <f t="shared" si="0"/>
        <v>62211.382152223166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-4.2699999999999996</v>
      </c>
      <c r="E12" s="4">
        <f>Balance_Sheet!D56-Balance_Sheet!E56</f>
        <v>0.6899999999999995</v>
      </c>
      <c r="F12" s="4">
        <f>Balance_Sheet!E56-Balance_Sheet!F56</f>
        <v>5.0000000000000266E-2</v>
      </c>
      <c r="G12" s="4">
        <f>Balance_Sheet!F56-Balance_Sheet!G56</f>
        <v>3.53</v>
      </c>
      <c r="H12" s="26">
        <f>Balance_Sheet!G56-Balance_Sheet!H56</f>
        <v>-8.1799538852247622</v>
      </c>
      <c r="I12" s="26">
        <f>Balance_Sheet!H56-Balance_Sheet!I56</f>
        <v>-2.5544391700181333</v>
      </c>
      <c r="J12" s="26">
        <f>Balance_Sheet!I56-Balance_Sheet!J56</f>
        <v>-4.5688798841038505</v>
      </c>
      <c r="K12" s="26">
        <f>Balance_Sheet!J56-Balance_Sheet!K56</f>
        <v>-7.5604503838409851</v>
      </c>
      <c r="L12" s="26">
        <f>Balance_Sheet!K56-Balance_Sheet!L56</f>
        <v>-10.598283561309355</v>
      </c>
    </row>
    <row r="13" spans="2:15" ht="18.75" x14ac:dyDescent="0.25">
      <c r="B13" s="8" t="str">
        <f>Balance_Sheet!B58</f>
        <v>Long Term Loans And Advances</v>
      </c>
      <c r="C13" s="4"/>
      <c r="D13" s="5">
        <f>Balance_Sheet!C58-Balance_Sheet!D58</f>
        <v>245.15999999999985</v>
      </c>
      <c r="E13" s="5">
        <f>Balance_Sheet!D58-Balance_Sheet!E58</f>
        <v>-1158.0100000000002</v>
      </c>
      <c r="F13" s="5">
        <f>Balance_Sheet!E58-Balance_Sheet!F58</f>
        <v>-324.72999999999956</v>
      </c>
      <c r="G13" s="5">
        <f>Balance_Sheet!F58-Balance_Sheet!G58</f>
        <v>1355.38</v>
      </c>
      <c r="H13" s="24">
        <f>Balance_Sheet!G58-Balance_Sheet!H58</f>
        <v>-2882.1800000000003</v>
      </c>
      <c r="I13" s="24">
        <f>Balance_Sheet!H58-Balance_Sheet!I58</f>
        <v>-2135.62</v>
      </c>
      <c r="J13" s="24">
        <f>Balance_Sheet!I58-Balance_Sheet!J58</f>
        <v>-3819.7800000000007</v>
      </c>
      <c r="K13" s="24">
        <f>Balance_Sheet!J58-Balance_Sheet!K58</f>
        <v>-6320.869999999999</v>
      </c>
      <c r="L13" s="24">
        <f>Balance_Sheet!K58-Balance_Sheet!L58</f>
        <v>-8860.630000000001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-247.31000000000017</v>
      </c>
      <c r="E14" s="5">
        <f>Balance_Sheet!D60-Balance_Sheet!E60</f>
        <v>-631.56999999999971</v>
      </c>
      <c r="F14" s="5">
        <f>Balance_Sheet!E60-Balance_Sheet!F60</f>
        <v>387.50999999999976</v>
      </c>
      <c r="G14" s="5">
        <f>Balance_Sheet!F60-Balance_Sheet!G60</f>
        <v>-582.44000000000005</v>
      </c>
      <c r="H14" s="24">
        <f>Balance_Sheet!G60-Balance_Sheet!H60</f>
        <v>3064.61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-1414.25</v>
      </c>
      <c r="E15" s="4">
        <f>Balance_Sheet!D62-Balance_Sheet!E62</f>
        <v>979.81000000000006</v>
      </c>
      <c r="F15" s="4">
        <f>Balance_Sheet!E62-Balance_Sheet!F62</f>
        <v>566.79999999999995</v>
      </c>
      <c r="G15" s="4">
        <f>Balance_Sheet!F62-Balance_Sheet!G62</f>
        <v>2.0600000000000023</v>
      </c>
      <c r="H15" s="26">
        <f>Balance_Sheet!G62-Balance_Sheet!H62</f>
        <v>-99.07</v>
      </c>
      <c r="I15" s="26">
        <f>Balance_Sheet!H62-Balance_Sheet!I62</f>
        <v>-73.410000000000025</v>
      </c>
      <c r="J15" s="26">
        <f>Balance_Sheet!I62-Balance_Sheet!J62</f>
        <v>-131.28999999999996</v>
      </c>
      <c r="K15" s="26">
        <f>Balance_Sheet!J62-Balance_Sheet!K62</f>
        <v>-217.26999999999998</v>
      </c>
      <c r="L15" s="26">
        <f>Balance_Sheet!K62-Balance_Sheet!L62</f>
        <v>-304.56000000000006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-5006.4600000000009</v>
      </c>
      <c r="E16" s="5">
        <f>Balance_Sheet!D64-Balance_Sheet!E64</f>
        <v>2241.3000000000011</v>
      </c>
      <c r="F16" s="5">
        <f>Balance_Sheet!E64-Balance_Sheet!F64</f>
        <v>6153.6299999999992</v>
      </c>
      <c r="G16" s="5">
        <f>Balance_Sheet!F64-Balance_Sheet!G64</f>
        <v>-898.92999999999984</v>
      </c>
      <c r="H16" s="24">
        <f>Balance_Sheet!G64-Balance_Sheet!H64</f>
        <v>-22037.164032675832</v>
      </c>
      <c r="I16" s="24">
        <f>Balance_Sheet!H64-Balance_Sheet!I64</f>
        <v>-7911.7341778957707</v>
      </c>
      <c r="J16" s="24">
        <f>Balance_Sheet!I64-Balance_Sheet!J64</f>
        <v>-14150.958675405949</v>
      </c>
      <c r="K16" s="24">
        <f>Balance_Sheet!J64-Balance_Sheet!K64</f>
        <v>-23416.597429366571</v>
      </c>
      <c r="L16" s="24">
        <f>Balance_Sheet!K64-Balance_Sheet!L64</f>
        <v>-32825.523215902955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-403.93000000000029</v>
      </c>
      <c r="E17" s="5">
        <f>Balance_Sheet!D66-Balance_Sheet!E66</f>
        <v>692.27000000000044</v>
      </c>
      <c r="F17" s="5">
        <f>Balance_Sheet!E66-Balance_Sheet!F66</f>
        <v>-4463.4200000000019</v>
      </c>
      <c r="G17" s="5">
        <f>Balance_Sheet!F66-Balance_Sheet!G66</f>
        <v>-15472.719999999998</v>
      </c>
      <c r="H17" s="24">
        <f>Balance_Sheet!G66-Balance_Sheet!H66</f>
        <v>-30724.875661089849</v>
      </c>
      <c r="I17" s="24">
        <f>Balance_Sheet!H66-Balance_Sheet!I66</f>
        <v>-22766.369357780102</v>
      </c>
      <c r="J17" s="24">
        <f>Balance_Sheet!I66-Balance_Sheet!J66</f>
        <v>-40720.0172208843</v>
      </c>
      <c r="K17" s="24">
        <f>Balance_Sheet!J66-Balance_Sheet!K66</f>
        <v>-67382.307619590894</v>
      </c>
      <c r="L17" s="24">
        <f>Balance_Sheet!K66-Balance_Sheet!L66</f>
        <v>-94456.91287044622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-1696.9700000000003</v>
      </c>
      <c r="E18" s="5">
        <f>Balance_Sheet!D68-Balance_Sheet!E68</f>
        <v>1528.2299999999996</v>
      </c>
      <c r="F18" s="5">
        <f>Balance_Sheet!E68-Balance_Sheet!F68</f>
        <v>-2456.75</v>
      </c>
      <c r="G18" s="5">
        <f>Balance_Sheet!F68-Balance_Sheet!G68</f>
        <v>-1872.6999999999989</v>
      </c>
      <c r="H18" s="24">
        <f>Balance_Sheet!G68-Balance_Sheet!H68</f>
        <v>-577.1238114829157</v>
      </c>
      <c r="I18" s="24">
        <f>Balance_Sheet!H68-Balance_Sheet!I68</f>
        <v>-3211.6769419973552</v>
      </c>
      <c r="J18" s="24">
        <f>Balance_Sheet!I68-Balance_Sheet!J68</f>
        <v>-5744.4179320299572</v>
      </c>
      <c r="K18" s="24">
        <f>Balance_Sheet!J68-Balance_Sheet!K68</f>
        <v>-9505.6967705066891</v>
      </c>
      <c r="L18" s="24">
        <f>Balance_Sheet!K68-Balance_Sheet!L68</f>
        <v>-13325.141321868014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144.27000000000021</v>
      </c>
      <c r="E20" s="5">
        <f>Balance_Sheet!E23-Balance_Sheet!D23</f>
        <v>58.3599999999999</v>
      </c>
      <c r="F20" s="5">
        <f>Balance_Sheet!F23-Balance_Sheet!E23</f>
        <v>12.900000000000091</v>
      </c>
      <c r="G20" s="5">
        <f>Balance_Sheet!G23-Balance_Sheet!F23</f>
        <v>-1374.6000000000001</v>
      </c>
      <c r="H20" s="24">
        <f>Balance_Sheet!H23-Balance_Sheet!G23</f>
        <v>4493.3484570139799</v>
      </c>
      <c r="I20" s="24">
        <f>Balance_Sheet!I23-Balance_Sheet!H23</f>
        <v>1476.3487698988138</v>
      </c>
      <c r="J20" s="24">
        <f>Balance_Sheet!J23-Balance_Sheet!I23</f>
        <v>2640.6031804876657</v>
      </c>
      <c r="K20" s="24">
        <f>Balance_Sheet!K23-Balance_Sheet!J23</f>
        <v>4369.5938251625776</v>
      </c>
      <c r="L20" s="24">
        <f>Balance_Sheet!L23-Balance_Sheet!K23</f>
        <v>6125.3221773399328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219.05999999999995</v>
      </c>
      <c r="E21" s="5">
        <f>Balance_Sheet!E25-Balance_Sheet!D25</f>
        <v>10.810000000000173</v>
      </c>
      <c r="F21" s="5">
        <f>Balance_Sheet!F25-Balance_Sheet!E25</f>
        <v>-89.110000000000127</v>
      </c>
      <c r="G21" s="5">
        <f>Balance_Sheet!G25-Balance_Sheet!F25</f>
        <v>975.1099999999999</v>
      </c>
      <c r="H21" s="24">
        <f>Balance_Sheet!H25-Balance_Sheet!G25</f>
        <v>3115.68706993762</v>
      </c>
      <c r="I21" s="24">
        <f>Balance_Sheet!I25-Balance_Sheet!H25</f>
        <v>1886.5098890619256</v>
      </c>
      <c r="J21" s="24">
        <f>Balance_Sheet!J25-Balance_Sheet!I25</f>
        <v>3374.2189614312992</v>
      </c>
      <c r="K21" s="24">
        <f>Balance_Sheet!K25-Balance_Sheet!J25</f>
        <v>5583.5600167283701</v>
      </c>
      <c r="L21" s="24">
        <f>Balance_Sheet!L25-Balance_Sheet!K25</f>
        <v>7827.0670839073464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138.48000000000002</v>
      </c>
      <c r="E22" s="5">
        <f>Balance_Sheet!E27-Balance_Sheet!D27</f>
        <v>5908.91</v>
      </c>
      <c r="F22" s="5">
        <f>Balance_Sheet!F27-Balance_Sheet!E27</f>
        <v>1973.3899999999994</v>
      </c>
      <c r="G22" s="5">
        <f>Balance_Sheet!G27-Balance_Sheet!F27</f>
        <v>1362.6200000000008</v>
      </c>
      <c r="H22" s="24">
        <f>Balance_Sheet!H27-Balance_Sheet!G27</f>
        <v>6982.58</v>
      </c>
      <c r="I22" s="24">
        <f>Balance_Sheet!I27-Balance_Sheet!H27</f>
        <v>5173.9199999999983</v>
      </c>
      <c r="J22" s="24">
        <f>Balance_Sheet!J27-Balance_Sheet!I27</f>
        <v>9254.0800000000017</v>
      </c>
      <c r="K22" s="24">
        <f>Balance_Sheet!K27-Balance_Sheet!J27</f>
        <v>15313.400000000001</v>
      </c>
      <c r="L22" s="24">
        <f>Balance_Sheet!L27-Balance_Sheet!K27</f>
        <v>21466.410000000003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2186.5200000000004</v>
      </c>
      <c r="E23" s="5">
        <f>Balance_Sheet!E29-Balance_Sheet!D29</f>
        <v>-4277.5200000000004</v>
      </c>
      <c r="F23" s="5">
        <f>Balance_Sheet!F29-Balance_Sheet!E29</f>
        <v>3155.4600000000009</v>
      </c>
      <c r="G23" s="5">
        <f>Balance_Sheet!G29-Balance_Sheet!F29</f>
        <v>14085.050000000001</v>
      </c>
      <c r="H23" s="24">
        <f>Balance_Sheet!H29-Balance_Sheet!G29</f>
        <v>22106.632952941924</v>
      </c>
      <c r="I23" s="24">
        <f>Balance_Sheet!I29-Balance_Sheet!H29</f>
        <v>16380.46567267042</v>
      </c>
      <c r="J23" s="24">
        <f>Balance_Sheet!J29-Balance_Sheet!I29</f>
        <v>29298.164928932805</v>
      </c>
      <c r="K23" s="24">
        <f>Balance_Sheet!K29-Balance_Sheet!J29</f>
        <v>48481.7565577637</v>
      </c>
      <c r="L23" s="24">
        <f>Balance_Sheet!L29-Balance_Sheet!K29</f>
        <v>67962.009862236271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4388.0599999999977</v>
      </c>
      <c r="E24" s="5">
        <f>Balance_Sheet!E31-Balance_Sheet!D31</f>
        <v>2182.2900000000009</v>
      </c>
      <c r="F24" s="5">
        <f>Balance_Sheet!F31-Balance_Sheet!E31</f>
        <v>7204.8700000000026</v>
      </c>
      <c r="G24" s="5">
        <f>Balance_Sheet!G31-Balance_Sheet!F31</f>
        <v>-4263.010000000002</v>
      </c>
      <c r="H24" s="24">
        <f>Balance_Sheet!H31-Balance_Sheet!G31</f>
        <v>50586.412103977549</v>
      </c>
      <c r="I24" s="24">
        <f>Balance_Sheet!I31-Balance_Sheet!H31</f>
        <v>25234.760465696629</v>
      </c>
      <c r="J24" s="24">
        <f>Balance_Sheet!J31-Balance_Sheet!I31</f>
        <v>45134.99120477472</v>
      </c>
      <c r="K24" s="24">
        <f>Balance_Sheet!K31-Balance_Sheet!J31</f>
        <v>74688.078967900074</v>
      </c>
      <c r="L24" s="24">
        <f>Balance_Sheet!L31-Balance_Sheet!K31</f>
        <v>104698.1858703933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4377.5200000000004</v>
      </c>
      <c r="E26" s="5">
        <f>Income_Statement!E47</f>
        <v>-14.21</v>
      </c>
      <c r="F26" s="5">
        <f>Income_Statement!F47</f>
        <v>5112.1899999999996</v>
      </c>
      <c r="G26" s="5">
        <f>Income_Statement!G47</f>
        <v>4355.2299999999996</v>
      </c>
      <c r="H26" s="24">
        <f>Income_Statement!H47</f>
        <v>3926.4575101522069</v>
      </c>
      <c r="I26" s="24">
        <f>Income_Statement!I47</f>
        <v>4054.1471898623176</v>
      </c>
      <c r="J26" s="24">
        <f>Income_Statement!J47</f>
        <v>4413.8181538764375</v>
      </c>
      <c r="K26" s="24">
        <f>Income_Statement!K47</f>
        <v>4660.0675880646531</v>
      </c>
      <c r="L26" s="24">
        <f>Income_Statement!L47</f>
        <v>4254.6412843584094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138492.96041414561</v>
      </c>
      <c r="E27" s="7">
        <f t="shared" ref="E27:L27" si="1">E12+E13+E14+E15+E16+E17+E18+E20+E21+E22+E23+E24-E26+E10+E5</f>
        <v>144097.24824483215</v>
      </c>
      <c r="F27" s="7">
        <f t="shared" si="1"/>
        <v>141155.43304889536</v>
      </c>
      <c r="G27" s="7">
        <f t="shared" si="1"/>
        <v>149097.45694437111</v>
      </c>
      <c r="H27" s="27">
        <f t="shared" si="1"/>
        <v>182811.32171163074</v>
      </c>
      <c r="I27" s="27">
        <f t="shared" si="1"/>
        <v>172101.47290286477</v>
      </c>
      <c r="J27" s="27">
        <f t="shared" si="1"/>
        <v>204191.18105758866</v>
      </c>
      <c r="K27" s="27">
        <f t="shared" si="1"/>
        <v>243594.08159221098</v>
      </c>
      <c r="L27" s="27">
        <f t="shared" si="1"/>
        <v>267049.10350551293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-3710.3399999999965</v>
      </c>
      <c r="E29" s="5">
        <f>Balance_Sheet!D40-Balance_Sheet!E40</f>
        <v>-10822.690000000002</v>
      </c>
      <c r="F29" s="5">
        <f>Balance_Sheet!E40-Balance_Sheet!F40</f>
        <v>-3794.9199999999983</v>
      </c>
      <c r="G29" s="5">
        <f>Balance_Sheet!F40-Balance_Sheet!G40</f>
        <v>-34541.539999999994</v>
      </c>
      <c r="H29" s="24">
        <f>Balance_Sheet!G40-Balance_Sheet!H40</f>
        <v>-71482.580000000016</v>
      </c>
      <c r="I29" s="24">
        <f>Balance_Sheet!H40-Balance_Sheet!I40</f>
        <v>-52966.819999999978</v>
      </c>
      <c r="J29" s="24">
        <f>Balance_Sheet!I40-Balance_Sheet!J40</f>
        <v>-94736.66</v>
      </c>
      <c r="K29" s="24">
        <f>Balance_Sheet!J40-Balance_Sheet!K40</f>
        <v>-156767.47999999998</v>
      </c>
      <c r="L29" s="24">
        <f>Balance_Sheet!K40-Balance_Sheet!L40</f>
        <v>-219757.57000000007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-65.199999999999989</v>
      </c>
      <c r="E30" s="4">
        <f>Balance_Sheet!D42-Balance_Sheet!E42</f>
        <v>-37.04000000000002</v>
      </c>
      <c r="F30" s="4">
        <f>Balance_Sheet!E42-Balance_Sheet!F42</f>
        <v>-128.82</v>
      </c>
      <c r="G30" s="4">
        <f>Balance_Sheet!F42-Balance_Sheet!G42</f>
        <v>509.42</v>
      </c>
      <c r="H30" s="26">
        <f>Balance_Sheet!G42-Balance_Sheet!H42</f>
        <v>0</v>
      </c>
      <c r="I30" s="26">
        <f>Balance_Sheet!H42-Balance_Sheet!I42</f>
        <v>0</v>
      </c>
      <c r="J30" s="26">
        <f>Balance_Sheet!I42-Balance_Sheet!J42</f>
        <v>0</v>
      </c>
      <c r="K30" s="26">
        <f>Balance_Sheet!J42-Balance_Sheet!K42</f>
        <v>0</v>
      </c>
      <c r="L30" s="26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-832.52999999999884</v>
      </c>
      <c r="E31" s="5">
        <f>Balance_Sheet!D48-Balance_Sheet!E48</f>
        <v>-2712.1500000000015</v>
      </c>
      <c r="F31" s="5">
        <f>Balance_Sheet!E48-Balance_Sheet!F48</f>
        <v>1846.510000000002</v>
      </c>
      <c r="G31" s="5">
        <f>Balance_Sheet!F48-Balance_Sheet!G48</f>
        <v>799.82999999999811</v>
      </c>
      <c r="H31" s="24">
        <f>Balance_Sheet!G48-Balance_Sheet!H48</f>
        <v>-45461.442464671665</v>
      </c>
      <c r="I31" s="24">
        <f>Balance_Sheet!H48-Balance_Sheet!I48</f>
        <v>-20184.265483323223</v>
      </c>
      <c r="J31" s="24">
        <f>Balance_Sheet!I48-Balance_Sheet!J48</f>
        <v>-36101.656138287479</v>
      </c>
      <c r="K31" s="24">
        <f>Balance_Sheet!J48-Balance_Sheet!K48</f>
        <v>-59739.977178574234</v>
      </c>
      <c r="L31" s="24">
        <f>Balance_Sheet!K48-Balance_Sheet!L48</f>
        <v>-83743.849366156472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-349.8100000000004</v>
      </c>
      <c r="E32" s="5">
        <f>Balance_Sheet!D50-Balance_Sheet!E50</f>
        <v>590.55000000000018</v>
      </c>
      <c r="F32" s="5">
        <f>Balance_Sheet!E50-Balance_Sheet!F50</f>
        <v>-1585.7300000000005</v>
      </c>
      <c r="G32" s="5">
        <f>Balance_Sheet!F50-Balance_Sheet!G50</f>
        <v>2352</v>
      </c>
      <c r="H32" s="24">
        <f>Balance_Sheet!G50-Balance_Sheet!H50</f>
        <v>-11301.870307015877</v>
      </c>
      <c r="I32" s="24">
        <f>Balance_Sheet!H50-Balance_Sheet!I50</f>
        <v>-4916.5862378694328</v>
      </c>
      <c r="J32" s="24">
        <f>Balance_Sheet!I50-Balance_Sheet!J50</f>
        <v>-8793.8253626544683</v>
      </c>
      <c r="K32" s="24">
        <f>Balance_Sheet!J50-Balance_Sheet!K50</f>
        <v>-14551.76805365986</v>
      </c>
      <c r="L32" s="24">
        <f>Balance_Sheet!K50-Balance_Sheet!L50</f>
        <v>-20398.753555834934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2581.840000000002</v>
      </c>
      <c r="E33" s="5">
        <f>Balance_Sheet!D52-Balance_Sheet!E52</f>
        <v>-2655.6100000000006</v>
      </c>
      <c r="F33" s="5">
        <f>Balance_Sheet!E52-Balance_Sheet!F52</f>
        <v>2303.09</v>
      </c>
      <c r="G33" s="5">
        <f>Balance_Sheet!F52-Balance_Sheet!G52</f>
        <v>7645.42</v>
      </c>
      <c r="H33" s="24">
        <f>Balance_Sheet!G52-Balance_Sheet!H52</f>
        <v>-29469.456867516808</v>
      </c>
      <c r="I33" s="24">
        <f>Balance_Sheet!H52-Balance_Sheet!I52</f>
        <v>-9202.7334136341997</v>
      </c>
      <c r="J33" s="24">
        <f>Balance_Sheet!I52-Balance_Sheet!J52</f>
        <v>-16460.044954613346</v>
      </c>
      <c r="K33" s="24">
        <f>Balance_Sheet!J52-Balance_Sheet!K52</f>
        <v>-27237.606667690998</v>
      </c>
      <c r="L33" s="24">
        <f>Balance_Sheet!K52-Balance_Sheet!L52</f>
        <v>-38181.836311310282</v>
      </c>
    </row>
    <row r="34" spans="2:12" ht="18.75" x14ac:dyDescent="0.25">
      <c r="B34" s="8" t="s">
        <v>59</v>
      </c>
      <c r="C34" s="4"/>
      <c r="D34" s="5">
        <f>Income_Statement!D11</f>
        <v>2037.54</v>
      </c>
      <c r="E34" s="5">
        <f>Income_Statement!E11</f>
        <v>1929.33</v>
      </c>
      <c r="F34" s="5">
        <f>Income_Statement!F11</f>
        <v>2253.04</v>
      </c>
      <c r="G34" s="5">
        <f>Income_Statement!G11</f>
        <v>2268.54</v>
      </c>
      <c r="H34" s="24">
        <f>Income_Statement!H11</f>
        <v>2512.3575969583694</v>
      </c>
      <c r="I34" s="24">
        <f>Income_Statement!I11</f>
        <v>2666.7989222604733</v>
      </c>
      <c r="J34" s="24">
        <f>Income_Statement!J11</f>
        <v>3018.3432888875614</v>
      </c>
      <c r="K34" s="24">
        <f>Income_Statement!K11</f>
        <v>3399.9125544515778</v>
      </c>
      <c r="L34" s="24">
        <f>Income_Statement!L11</f>
        <v>3504.2136796228533</v>
      </c>
    </row>
    <row r="35" spans="2:12" ht="18.75" x14ac:dyDescent="0.25">
      <c r="B35" s="9" t="s">
        <v>137</v>
      </c>
      <c r="C35" s="6"/>
      <c r="D35" s="7">
        <f>D29+D30+D31+D32+D33+D34</f>
        <v>-338.49999999999363</v>
      </c>
      <c r="E35" s="7">
        <f t="shared" ref="E35:L35" si="2">E29+E30+E31+E32+E33+E34</f>
        <v>-13707.610000000006</v>
      </c>
      <c r="F35" s="7">
        <f t="shared" si="2"/>
        <v>893.17000000000326</v>
      </c>
      <c r="G35" s="7">
        <f t="shared" si="2"/>
        <v>-20966.329999999994</v>
      </c>
      <c r="H35" s="27">
        <f t="shared" si="2"/>
        <v>-155202.99204224598</v>
      </c>
      <c r="I35" s="27">
        <f t="shared" si="2"/>
        <v>-84603.606212566359</v>
      </c>
      <c r="J35" s="27">
        <f t="shared" si="2"/>
        <v>-153073.84316666774</v>
      </c>
      <c r="K35" s="27">
        <f t="shared" si="2"/>
        <v>-254896.91934547349</v>
      </c>
      <c r="L35" s="27">
        <f t="shared" si="2"/>
        <v>-358577.79555367894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0</v>
      </c>
      <c r="E37" s="5">
        <f>Balance_Sheet!E5-Balance_Sheet!D5</f>
        <v>9.9999999999909051E-3</v>
      </c>
      <c r="F37" s="5">
        <f>Balance_Sheet!F5-Balance_Sheet!E5</f>
        <v>126.01999999999975</v>
      </c>
      <c r="G37" s="5">
        <f>Balance_Sheet!G5-Balance_Sheet!F5</f>
        <v>36.539999999999964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5411.3000000000029</v>
      </c>
      <c r="E39" s="5">
        <f>Balance_Sheet!E15-Balance_Sheet!D15</f>
        <v>3728.3099999999977</v>
      </c>
      <c r="F39" s="5">
        <f>Balance_Sheet!F15-Balance_Sheet!E15</f>
        <v>-2303.6699999999983</v>
      </c>
      <c r="G39" s="5">
        <f>Balance_Sheet!G15-Balance_Sheet!F15</f>
        <v>618.70999999999913</v>
      </c>
      <c r="H39" s="24">
        <f>Balance_Sheet!H15-Balance_Sheet!G15</f>
        <v>26485.47</v>
      </c>
      <c r="I39" s="24">
        <f>Balance_Sheet!I15-Balance_Sheet!H15</f>
        <v>19625.07</v>
      </c>
      <c r="J39" s="24">
        <f>Balance_Sheet!J15-Balance_Sheet!I15</f>
        <v>35101.479999999996</v>
      </c>
      <c r="K39" s="24">
        <f>Balance_Sheet!K15-Balance_Sheet!J15</f>
        <v>58084.92</v>
      </c>
      <c r="L39" s="24">
        <f>Balance_Sheet!L15-Balance_Sheet!K15</f>
        <v>81423.770000000019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1269.6100000000006</v>
      </c>
      <c r="E40" s="5">
        <f>Balance_Sheet!E17-Balance_Sheet!D17</f>
        <v>-628.09000000000015</v>
      </c>
      <c r="F40" s="5">
        <f>Balance_Sheet!F17-Balance_Sheet!E17</f>
        <v>-1229.4400000000005</v>
      </c>
      <c r="G40" s="5">
        <f>Balance_Sheet!G17-Balance_Sheet!F17</f>
        <v>1441.2400000000007</v>
      </c>
      <c r="H40" s="24">
        <f>Balance_Sheet!H17-Balance_Sheet!G17</f>
        <v>11883.031770347941</v>
      </c>
      <c r="I40" s="24">
        <f>Balance_Sheet!I17-Balance_Sheet!H17</f>
        <v>5701.8500803605893</v>
      </c>
      <c r="J40" s="24">
        <f>Balance_Sheet!J17-Balance_Sheet!I17</f>
        <v>10198.351340717381</v>
      </c>
      <c r="K40" s="24">
        <f>Balance_Sheet!K17-Balance_Sheet!J17</f>
        <v>16875.937048976564</v>
      </c>
      <c r="L40" s="24">
        <f>Balance_Sheet!L17-Balance_Sheet!K17</f>
        <v>23656.787245126332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505.92000000000098</v>
      </c>
      <c r="E41" s="5">
        <f>Balance_Sheet!E19-Balance_Sheet!D19</f>
        <v>9196.2000000000007</v>
      </c>
      <c r="F41" s="5">
        <f>Balance_Sheet!F19-Balance_Sheet!E19</f>
        <v>-13562.34</v>
      </c>
      <c r="G41" s="5">
        <f>Balance_Sheet!G19-Balance_Sheet!F19</f>
        <v>15340.939999999999</v>
      </c>
      <c r="H41" s="24">
        <f>Balance_Sheet!H19-Balance_Sheet!G19</f>
        <v>14258.39</v>
      </c>
      <c r="I41" s="24">
        <f>Balance_Sheet!I19-Balance_Sheet!H19</f>
        <v>10565.120000000003</v>
      </c>
      <c r="J41" s="24">
        <f>Balance_Sheet!J19-Balance_Sheet!I19</f>
        <v>18896.799999999996</v>
      </c>
      <c r="K41" s="24">
        <f>Balance_Sheet!K19-Balance_Sheet!J19</f>
        <v>31269.89</v>
      </c>
      <c r="L41" s="24">
        <f>Balance_Sheet!L19-Balance_Sheet!K19</f>
        <v>43834.310000000012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164.95000000000005</v>
      </c>
      <c r="E42" s="4">
        <f>Balance_Sheet!E35-Balance_Sheet!D35</f>
        <v>-13.710000000000036</v>
      </c>
      <c r="F42" s="4">
        <f>Balance_Sheet!F35-Balance_Sheet!E35</f>
        <v>-2056.33</v>
      </c>
      <c r="G42" s="4">
        <f>Balance_Sheet!G35-Balance_Sheet!F35</f>
        <v>0</v>
      </c>
      <c r="H42" s="26">
        <f>Balance_Sheet!H35-Balance_Sheet!G35</f>
        <v>6091.2567048111559</v>
      </c>
      <c r="I42" s="26">
        <f>Balance_Sheet!I35-Balance_Sheet!H35</f>
        <v>1902.1800048910245</v>
      </c>
      <c r="J42" s="26">
        <f>Balance_Sheet!J35-Balance_Sheet!I35</f>
        <v>3402.2465918534581</v>
      </c>
      <c r="K42" s="26">
        <f>Balance_Sheet!K35-Balance_Sheet!J35</f>
        <v>5629.9393295049213</v>
      </c>
      <c r="L42" s="26">
        <f>Balance_Sheet!L35-Balance_Sheet!K35</f>
        <v>7892.0818757820707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3540.39</v>
      </c>
      <c r="E44" s="5">
        <f>Income_Statement!E51</f>
        <v>4818.8599999999997</v>
      </c>
      <c r="F44" s="5">
        <f>Income_Statement!F51</f>
        <v>4555.43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801.76</v>
      </c>
      <c r="E45" s="4">
        <f>Income_Statement!E53</f>
        <v>1091.23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1763.95</v>
      </c>
      <c r="E46" s="5">
        <f>Income_Statement!E35</f>
        <v>2637.01</v>
      </c>
      <c r="F46" s="5">
        <f>Income_Statement!F35</f>
        <v>1723.41</v>
      </c>
      <c r="G46" s="5">
        <f>Income_Statement!G35</f>
        <v>2605.64</v>
      </c>
      <c r="H46" s="24">
        <f>Income_Statement!H35</f>
        <v>4503.7044914778744</v>
      </c>
      <c r="I46" s="24">
        <f>Income_Statement!I35</f>
        <v>5910.1229821725474</v>
      </c>
      <c r="J46" s="24">
        <f>Income_Statement!J35</f>
        <v>8425.6488470061813</v>
      </c>
      <c r="K46" s="24">
        <f>Income_Statement!K35</f>
        <v>12588.267934949381</v>
      </c>
      <c r="L46" s="24">
        <f>Income_Statement!L35</f>
        <v>18423.451856956683</v>
      </c>
    </row>
    <row r="47" spans="2:12" ht="18.75" x14ac:dyDescent="0.25">
      <c r="B47" s="9" t="s">
        <v>141</v>
      </c>
      <c r="C47" s="6"/>
      <c r="D47" s="7">
        <f>D37+D38+D39+D40+D41+D42-D44-D45-D46</f>
        <v>1245.6800000000046</v>
      </c>
      <c r="E47" s="7">
        <f t="shared" ref="E47:L47" si="3">E37+E38+E39+E40+E41+E42-E44-E45-E46</f>
        <v>3735.6199999999972</v>
      </c>
      <c r="F47" s="7">
        <f t="shared" si="3"/>
        <v>-25304.600000000002</v>
      </c>
      <c r="G47" s="7">
        <f t="shared" si="3"/>
        <v>14831.79</v>
      </c>
      <c r="H47" s="27">
        <f t="shared" si="3"/>
        <v>54214.443983681216</v>
      </c>
      <c r="I47" s="27">
        <f t="shared" si="3"/>
        <v>31884.097103079064</v>
      </c>
      <c r="J47" s="27">
        <f t="shared" si="3"/>
        <v>59173.22908556465</v>
      </c>
      <c r="K47" s="27">
        <f t="shared" si="3"/>
        <v>99272.418443532093</v>
      </c>
      <c r="L47" s="27">
        <f t="shared" si="3"/>
        <v>138383.49726395175</v>
      </c>
    </row>
    <row r="48" spans="2:12" ht="18.75" x14ac:dyDescent="0.25">
      <c r="B48" s="9" t="s">
        <v>142</v>
      </c>
      <c r="C48" s="6"/>
      <c r="D48" s="7">
        <f>D27+D35+D47</f>
        <v>139400.1404141456</v>
      </c>
      <c r="E48" s="7">
        <f t="shared" ref="E48:L48" si="4">E27+E35+E47</f>
        <v>134125.25824483216</v>
      </c>
      <c r="F48" s="7">
        <f t="shared" si="4"/>
        <v>116744.00304889536</v>
      </c>
      <c r="G48" s="7">
        <f t="shared" si="4"/>
        <v>142962.91694437113</v>
      </c>
      <c r="H48" s="27">
        <f t="shared" si="4"/>
        <v>81822.77365306596</v>
      </c>
      <c r="I48" s="27">
        <f t="shared" si="4"/>
        <v>119381.96379337748</v>
      </c>
      <c r="J48" s="27">
        <f t="shared" si="4"/>
        <v>110290.56697648557</v>
      </c>
      <c r="K48" s="27">
        <f t="shared" si="4"/>
        <v>87969.580690269577</v>
      </c>
      <c r="L48" s="27">
        <f t="shared" si="4"/>
        <v>46854.805215785746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70AF5EF6-0526-4E97-ABCB-5025EBE55AFB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D7787-3E5C-4EE6-89AC-F87427D1E236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4.85546875" bestFit="1" customWidth="1"/>
    <col min="4" max="7" width="15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119633.92970056225</v>
      </c>
      <c r="D6" s="13">
        <f>Income_Statement!D49</f>
        <v>136800.42041414563</v>
      </c>
      <c r="E6" s="13">
        <f>Income_Statement!E49</f>
        <v>131773.90824483213</v>
      </c>
      <c r="F6" s="13">
        <f>Income_Statement!F49</f>
        <v>125230.25304889536</v>
      </c>
      <c r="G6" s="13">
        <f>Income_Statement!G49</f>
        <v>150006.65694437109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46</v>
      </c>
      <c r="D8" s="14">
        <f t="shared" ref="D8:G8" si="0">ROUND(D6/D7, 2)</f>
        <v>40</v>
      </c>
      <c r="E8" s="14">
        <f t="shared" si="0"/>
        <v>16</v>
      </c>
      <c r="F8" s="14">
        <f t="shared" si="0"/>
        <v>82</v>
      </c>
      <c r="G8" s="14">
        <f t="shared" si="0"/>
        <v>55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2884.76</v>
      </c>
      <c r="D11" s="13">
        <f>Income_Statement!D51</f>
        <v>3540.39</v>
      </c>
      <c r="E11" s="13">
        <f>Income_Statement!E51</f>
        <v>4818.8599999999997</v>
      </c>
      <c r="F11" s="13">
        <f>Income_Statement!F51</f>
        <v>4555.43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2600.737602186136</v>
      </c>
      <c r="D12" s="13">
        <f>Income_Statement!D61</f>
        <v>3420.0105103536407</v>
      </c>
      <c r="E12" s="13">
        <f>Income_Statement!E61</f>
        <v>8235.869265302008</v>
      </c>
      <c r="F12" s="13">
        <f>Income_Statement!F61</f>
        <v>1527.1982079133581</v>
      </c>
      <c r="G12" s="13">
        <f>Income_Statement!G61</f>
        <v>2727.393762624929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1.1100000000000001</v>
      </c>
      <c r="D13" s="14">
        <f t="shared" ref="D13:G13" si="1">ROUND(D11/D12, 2)</f>
        <v>1.04</v>
      </c>
      <c r="E13" s="14">
        <f t="shared" si="1"/>
        <v>0.59</v>
      </c>
      <c r="F13" s="14">
        <f t="shared" si="1"/>
        <v>2.98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36618.57</v>
      </c>
      <c r="D16" s="13">
        <f>Balance_Sheet!D13</f>
        <v>169076.84041414561</v>
      </c>
      <c r="E16" s="13">
        <f>Balance_Sheet!E13</f>
        <v>294940.66865897772</v>
      </c>
      <c r="F16" s="13">
        <f>Balance_Sheet!F13</f>
        <v>415741.51170787303</v>
      </c>
      <c r="G16" s="13">
        <f>Balance_Sheet!G13</f>
        <v>565784.70865224407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2600.737602186136</v>
      </c>
      <c r="D17" s="13">
        <f>Income_Statement!D61</f>
        <v>3420.0105103536407</v>
      </c>
      <c r="E17" s="13">
        <f>Income_Statement!E61</f>
        <v>8235.869265302008</v>
      </c>
      <c r="F17" s="13">
        <f>Income_Statement!F61</f>
        <v>1527.1982079133581</v>
      </c>
      <c r="G17" s="13">
        <f>Income_Statement!G61</f>
        <v>2727.393762624929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14.08</v>
      </c>
      <c r="D18" s="14">
        <f t="shared" ref="D18:G18" si="2">ROUND(D16/D17, 2)</f>
        <v>49.44</v>
      </c>
      <c r="E18" s="14">
        <f t="shared" si="2"/>
        <v>35.81</v>
      </c>
      <c r="F18" s="14">
        <f t="shared" si="2"/>
        <v>272.22000000000003</v>
      </c>
      <c r="G18" s="14">
        <f t="shared" si="2"/>
        <v>207.45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2884.76</v>
      </c>
      <c r="D21" s="13">
        <f>Income_Statement!D51</f>
        <v>3540.39</v>
      </c>
      <c r="E21" s="13">
        <f>Income_Statement!E51</f>
        <v>4818.8599999999997</v>
      </c>
      <c r="F21" s="13">
        <f>Income_Statement!F51</f>
        <v>4555.43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2600.737602186136</v>
      </c>
      <c r="D22" s="13">
        <f>Income_Statement!D61</f>
        <v>3420.0105103536407</v>
      </c>
      <c r="E22" s="13">
        <f>Income_Statement!E61</f>
        <v>8235.869265302008</v>
      </c>
      <c r="F22" s="13">
        <f>Income_Statement!F61</f>
        <v>1527.1982079133581</v>
      </c>
      <c r="G22" s="13">
        <f>Income_Statement!G61</f>
        <v>2727.393762624929</v>
      </c>
    </row>
    <row r="23" spans="2:12" ht="18.75" x14ac:dyDescent="0.25">
      <c r="B23" s="12" t="s">
        <v>148</v>
      </c>
      <c r="C23" s="13">
        <f>ROUND(C21/C22, 2)</f>
        <v>1.1100000000000001</v>
      </c>
      <c r="D23" s="13">
        <f t="shared" ref="D23:G23" si="3">ROUND(D21/D22, 2)</f>
        <v>1.04</v>
      </c>
      <c r="E23" s="13">
        <f t="shared" si="3"/>
        <v>0.59</v>
      </c>
      <c r="F23" s="13">
        <f t="shared" si="3"/>
        <v>2.98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119633.92970056225</v>
      </c>
      <c r="D24" s="13">
        <f>Income_Statement!D49</f>
        <v>136800.42041414563</v>
      </c>
      <c r="E24" s="13">
        <f>Income_Statement!E49</f>
        <v>131773.90824483213</v>
      </c>
      <c r="F24" s="13">
        <f>Income_Statement!F49</f>
        <v>125230.25304889536</v>
      </c>
      <c r="G24" s="13">
        <f>Income_Statement!G49</f>
        <v>150006.65694437109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2600.737602186136</v>
      </c>
      <c r="D25" s="13">
        <f>Income_Statement!D61</f>
        <v>3420.0105103536407</v>
      </c>
      <c r="E25" s="13">
        <f>Income_Statement!E61</f>
        <v>8235.869265302008</v>
      </c>
      <c r="F25" s="13">
        <f>Income_Statement!F61</f>
        <v>1527.1982079133581</v>
      </c>
      <c r="G25" s="13">
        <f>Income_Statement!G61</f>
        <v>2727.393762624929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46</v>
      </c>
      <c r="D26" s="13">
        <f t="shared" ref="D26:G26" si="4">D24/D25</f>
        <v>40</v>
      </c>
      <c r="E26" s="13">
        <f t="shared" si="4"/>
        <v>16</v>
      </c>
      <c r="F26" s="13">
        <f t="shared" si="4"/>
        <v>82</v>
      </c>
      <c r="G26" s="13">
        <f t="shared" si="4"/>
        <v>55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0.02</v>
      </c>
      <c r="D27" s="14">
        <f t="shared" ref="D27:G27" si="5">ROUND(D23/D26, 2)</f>
        <v>0.03</v>
      </c>
      <c r="E27" s="14">
        <f t="shared" si="5"/>
        <v>0.04</v>
      </c>
      <c r="F27" s="14">
        <f t="shared" si="5"/>
        <v>0.04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2884.76</v>
      </c>
      <c r="D30" s="13">
        <f>Income_Statement!D51</f>
        <v>3540.39</v>
      </c>
      <c r="E30" s="13">
        <f>Income_Statement!E51</f>
        <v>4818.8599999999997</v>
      </c>
      <c r="F30" s="13">
        <f>Income_Statement!F51</f>
        <v>4555.43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2600.737602186136</v>
      </c>
      <c r="D31" s="13">
        <f>Income_Statement!D61</f>
        <v>3420.0105103536407</v>
      </c>
      <c r="E31" s="13">
        <f>Income_Statement!E61</f>
        <v>8235.869265302008</v>
      </c>
      <c r="F31" s="13">
        <f>Income_Statement!F61</f>
        <v>1527.1982079133581</v>
      </c>
      <c r="G31" s="13">
        <f>Income_Statement!G61</f>
        <v>2727.393762624929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1.1100000000000001</v>
      </c>
      <c r="D32" s="13">
        <f t="shared" ref="D32:G32" si="6">ROUND(D30/D31, 2)</f>
        <v>1.04</v>
      </c>
      <c r="E32" s="13">
        <f t="shared" si="6"/>
        <v>0.59</v>
      </c>
      <c r="F32" s="13">
        <f t="shared" si="6"/>
        <v>2.98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-0.1100000000000001</v>
      </c>
      <c r="D33" s="15">
        <f t="shared" ref="D33:G33" si="7">1-D32</f>
        <v>-4.0000000000000036E-2</v>
      </c>
      <c r="E33" s="15">
        <f t="shared" si="7"/>
        <v>0.41000000000000003</v>
      </c>
      <c r="F33" s="15">
        <f t="shared" si="7"/>
        <v>-1.98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278567.11</v>
      </c>
      <c r="D36" s="13">
        <f>Income_Statement!D5</f>
        <v>339639</v>
      </c>
      <c r="E36" s="13">
        <f>Income_Statement!E5</f>
        <v>328608.96999999997</v>
      </c>
      <c r="F36" s="13">
        <f>Income_Statement!F5</f>
        <v>303229.69</v>
      </c>
      <c r="G36" s="13">
        <f>Income_Statement!G5</f>
        <v>432569.62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90110.77</v>
      </c>
      <c r="D37" s="13">
        <f>Income_Statement!D17</f>
        <v>130693.29</v>
      </c>
      <c r="E37" s="13">
        <f>Income_Statement!E17</f>
        <v>121896.01</v>
      </c>
      <c r="F37" s="13">
        <f>Income_Statement!F17</f>
        <v>78778.039999999994</v>
      </c>
      <c r="G37" s="13">
        <f>Income_Statement!G17</f>
        <v>163541.19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188456.34</v>
      </c>
      <c r="D38" s="16">
        <f t="shared" ref="D38:G38" si="8">ROUND(D36- D37, 2)</f>
        <v>208945.71</v>
      </c>
      <c r="E38" s="16">
        <f t="shared" si="8"/>
        <v>206712.95999999999</v>
      </c>
      <c r="F38" s="16">
        <f t="shared" si="8"/>
        <v>224451.65</v>
      </c>
      <c r="G38" s="16">
        <f t="shared" si="8"/>
        <v>269028.43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278567.11</v>
      </c>
      <c r="D41" s="13">
        <f>Income_Statement!D5</f>
        <v>339639</v>
      </c>
      <c r="E41" s="13">
        <f>Income_Statement!E5</f>
        <v>328608.96999999997</v>
      </c>
      <c r="F41" s="13">
        <f>Income_Statement!F5</f>
        <v>303229.69</v>
      </c>
      <c r="G41" s="13">
        <f>Income_Statement!G5</f>
        <v>432569.62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108613.2</v>
      </c>
      <c r="D42" s="13">
        <f>Income_Statement!D25</f>
        <v>152664.20000000001</v>
      </c>
      <c r="E42" s="13">
        <f>Income_Statement!E25</f>
        <v>145526.75999999998</v>
      </c>
      <c r="F42" s="13">
        <f>Income_Statement!F25</f>
        <v>100245.54000000001</v>
      </c>
      <c r="G42" s="13">
        <f>Income_Statement!G25</f>
        <v>187793.7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169953.91</v>
      </c>
      <c r="D43" s="16">
        <f t="shared" ref="D43:G43" si="9">ROUND(D41- D42, 2)</f>
        <v>186974.8</v>
      </c>
      <c r="E43" s="16">
        <f t="shared" si="9"/>
        <v>183082.21</v>
      </c>
      <c r="F43" s="16">
        <f t="shared" si="9"/>
        <v>202984.15</v>
      </c>
      <c r="G43" s="16">
        <f t="shared" si="9"/>
        <v>244775.92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119633.92970056225</v>
      </c>
      <c r="D46" s="13">
        <f>Income_Statement!D49</f>
        <v>136800.42041414563</v>
      </c>
      <c r="E46" s="13">
        <f>Income_Statement!E49</f>
        <v>131773.90824483213</v>
      </c>
      <c r="F46" s="13">
        <f>Income_Statement!F49</f>
        <v>125230.25304889536</v>
      </c>
      <c r="G46" s="13">
        <f>Income_Statement!G49</f>
        <v>150006.65694437109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120356.06000000001</v>
      </c>
      <c r="D47" s="13">
        <f>Balance_Sheet!D74</f>
        <v>267242.50041414559</v>
      </c>
      <c r="E47" s="13">
        <f>Balance_Sheet!E74</f>
        <v>409271.8886589777</v>
      </c>
      <c r="F47" s="13">
        <f>Balance_Sheet!F74</f>
        <v>523178.4617078731</v>
      </c>
      <c r="G47" s="13">
        <f>Balance_Sheet!G74</f>
        <v>701407.71865224419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0.99</v>
      </c>
      <c r="D48" s="15">
        <f t="shared" ref="D48:G48" si="10">ROUND(D46/ D47, 2)</f>
        <v>0.51</v>
      </c>
      <c r="E48" s="15">
        <f t="shared" si="10"/>
        <v>0.32</v>
      </c>
      <c r="F48" s="15">
        <f t="shared" si="10"/>
        <v>0.24</v>
      </c>
      <c r="G48" s="15">
        <f t="shared" si="10"/>
        <v>0.21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125201.27970056226</v>
      </c>
      <c r="D51" s="13">
        <f>Income_Statement!D33</f>
        <v>142941.89041414563</v>
      </c>
      <c r="E51" s="13">
        <f>Income_Statement!E33</f>
        <v>135707.05824483215</v>
      </c>
      <c r="F51" s="13">
        <f>Income_Statement!F33</f>
        <v>126800.09304889537</v>
      </c>
      <c r="G51" s="13">
        <f>Income_Statement!G33</f>
        <v>155832.37694437112</v>
      </c>
    </row>
    <row r="52" spans="2:12" ht="19.5" thickTop="1" x14ac:dyDescent="0.25">
      <c r="B52" s="12" t="str">
        <f>Balance_Sheet!B21</f>
        <v>Total Debt</v>
      </c>
      <c r="C52" s="13">
        <f>Balance_Sheet!C21</f>
        <v>42519.71</v>
      </c>
      <c r="D52" s="13">
        <f>Balance_Sheet!D21</f>
        <v>49706.540000000008</v>
      </c>
      <c r="E52" s="13">
        <f>Balance_Sheet!E21</f>
        <v>62002.96</v>
      </c>
      <c r="F52" s="13">
        <f>Balance_Sheet!F21</f>
        <v>44907.509999999995</v>
      </c>
      <c r="G52" s="13">
        <f>Balance_Sheet!G21</f>
        <v>62308.4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36618.57</v>
      </c>
      <c r="D53" s="13">
        <f>Balance_Sheet!D13</f>
        <v>169076.84041414561</v>
      </c>
      <c r="E53" s="13">
        <f>Balance_Sheet!E13</f>
        <v>294940.66865897772</v>
      </c>
      <c r="F53" s="13">
        <f>Balance_Sheet!F13</f>
        <v>415741.51170787303</v>
      </c>
      <c r="G53" s="13">
        <f>Balance_Sheet!G13</f>
        <v>565784.70865224407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1.47</v>
      </c>
      <c r="D54" s="15">
        <f t="shared" ref="D54:G54" si="11">ROUND(D51/ (D52+ D52), 2)</f>
        <v>1.44</v>
      </c>
      <c r="E54" s="15">
        <f t="shared" si="11"/>
        <v>1.0900000000000001</v>
      </c>
      <c r="F54" s="15">
        <f t="shared" si="11"/>
        <v>1.41</v>
      </c>
      <c r="G54" s="15">
        <f t="shared" si="11"/>
        <v>1.25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119633.92970056225</v>
      </c>
      <c r="D57" s="13">
        <f>Income_Statement!D49</f>
        <v>136800.42041414563</v>
      </c>
      <c r="E57" s="13">
        <f>Income_Statement!E49</f>
        <v>131773.90824483213</v>
      </c>
      <c r="F57" s="13">
        <f>Income_Statement!F49</f>
        <v>125230.25304889536</v>
      </c>
      <c r="G57" s="13">
        <f>Income_Statement!G49</f>
        <v>150006.65694437109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36618.57</v>
      </c>
      <c r="D58" s="13">
        <f>Balance_Sheet!D13</f>
        <v>169076.84041414561</v>
      </c>
      <c r="E58" s="13">
        <f>Balance_Sheet!E13</f>
        <v>294940.66865897772</v>
      </c>
      <c r="F58" s="13">
        <f>Balance_Sheet!F13</f>
        <v>415741.51170787303</v>
      </c>
      <c r="G58" s="13">
        <f>Balance_Sheet!G13</f>
        <v>565784.70865224407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1.63</v>
      </c>
      <c r="D59" s="15">
        <f t="shared" ref="D59:G59" si="12">ROUND(D57/ (D58+ D58), 2)</f>
        <v>0.4</v>
      </c>
      <c r="E59" s="15">
        <f t="shared" si="12"/>
        <v>0.22</v>
      </c>
      <c r="F59" s="15">
        <f t="shared" si="12"/>
        <v>0.15</v>
      </c>
      <c r="G59" s="15">
        <f t="shared" si="12"/>
        <v>0.13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42519.71</v>
      </c>
      <c r="D62" s="13">
        <f>Balance_Sheet!D21</f>
        <v>49706.540000000008</v>
      </c>
      <c r="E62" s="13">
        <f>Balance_Sheet!E21</f>
        <v>62002.96</v>
      </c>
      <c r="F62" s="13">
        <f>Balance_Sheet!F21</f>
        <v>44907.509999999995</v>
      </c>
      <c r="G62" s="13">
        <f>Balance_Sheet!G21</f>
        <v>62308.4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36618.57</v>
      </c>
      <c r="D63" s="13">
        <f>Balance_Sheet!D13</f>
        <v>169076.84041414561</v>
      </c>
      <c r="E63" s="13">
        <f>Balance_Sheet!E13</f>
        <v>294940.66865897772</v>
      </c>
      <c r="F63" s="13">
        <f>Balance_Sheet!F13</f>
        <v>415741.51170787303</v>
      </c>
      <c r="G63" s="13">
        <f>Balance_Sheet!G13</f>
        <v>565784.70865224407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1.1599999999999999</v>
      </c>
      <c r="D64" s="14">
        <f t="shared" ref="D64:G64" si="13">ROUND(D62/ D63, 2)</f>
        <v>0.28999999999999998</v>
      </c>
      <c r="E64" s="14">
        <f t="shared" si="13"/>
        <v>0.21</v>
      </c>
      <c r="F64" s="14">
        <f t="shared" si="13"/>
        <v>0.11</v>
      </c>
      <c r="G64" s="14">
        <f t="shared" si="13"/>
        <v>0.11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41217.449999999997</v>
      </c>
      <c r="D67" s="13">
        <f>Balance_Sheet!D72</f>
        <v>189145.62041414558</v>
      </c>
      <c r="E67" s="13">
        <f>Balance_Sheet!E72</f>
        <v>319618.15865897771</v>
      </c>
      <c r="F67" s="13">
        <f>Balance_Sheet!F72</f>
        <v>436499.07170787308</v>
      </c>
      <c r="G67" s="13">
        <f>Balance_Sheet!G72</f>
        <v>596927.80865224416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39312.69</v>
      </c>
      <c r="D68" s="13">
        <f>Balance_Sheet!D33</f>
        <v>46389.08</v>
      </c>
      <c r="E68" s="13">
        <f>Balance_Sheet!E33</f>
        <v>50271.93</v>
      </c>
      <c r="F68" s="13">
        <f>Balance_Sheet!F33</f>
        <v>62529.440000000002</v>
      </c>
      <c r="G68" s="13">
        <f>Balance_Sheet!G33</f>
        <v>73314.61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1.05</v>
      </c>
      <c r="D69" s="14">
        <f t="shared" ref="D69:G69" si="14">ROUND(D67/ D68, 2)</f>
        <v>4.08</v>
      </c>
      <c r="E69" s="14">
        <f t="shared" si="14"/>
        <v>6.36</v>
      </c>
      <c r="F69" s="14">
        <f t="shared" si="14"/>
        <v>6.98</v>
      </c>
      <c r="G69" s="14">
        <f t="shared" si="14"/>
        <v>8.14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41217.449999999997</v>
      </c>
      <c r="D72" s="13">
        <f>Balance_Sheet!D72</f>
        <v>189145.62041414558</v>
      </c>
      <c r="E72" s="13">
        <f>Balance_Sheet!E72</f>
        <v>319618.15865897771</v>
      </c>
      <c r="F72" s="13">
        <f>Balance_Sheet!F72</f>
        <v>436499.07170787308</v>
      </c>
      <c r="G72" s="13">
        <f>Balance_Sheet!G72</f>
        <v>596927.80865224416</v>
      </c>
    </row>
    <row r="73" spans="2:12" ht="19.5" thickTop="1" x14ac:dyDescent="0.25">
      <c r="B73" s="12" t="str">
        <f>Balance_Sheet!B66</f>
        <v>Inventories</v>
      </c>
      <c r="C73" s="13">
        <f>Balance_Sheet!C66</f>
        <v>22530.94</v>
      </c>
      <c r="D73" s="13">
        <f>Balance_Sheet!D66</f>
        <v>22934.87</v>
      </c>
      <c r="E73" s="13">
        <f>Balance_Sheet!E66</f>
        <v>22242.6</v>
      </c>
      <c r="F73" s="13">
        <f>Balance_Sheet!F66</f>
        <v>26706.02</v>
      </c>
      <c r="G73" s="13">
        <f>Balance_Sheet!G66</f>
        <v>42178.74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39312.69</v>
      </c>
      <c r="D74" s="13">
        <f>Balance_Sheet!D33</f>
        <v>46389.08</v>
      </c>
      <c r="E74" s="13">
        <f>Balance_Sheet!E33</f>
        <v>50271.93</v>
      </c>
      <c r="F74" s="13">
        <f>Balance_Sheet!F33</f>
        <v>62529.440000000002</v>
      </c>
      <c r="G74" s="13">
        <f>Balance_Sheet!G33</f>
        <v>73314.61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0.48</v>
      </c>
      <c r="D75" s="14">
        <f t="shared" ref="D75:G75" si="15">ROUND((D72-D73)/ D74, 2)</f>
        <v>3.58</v>
      </c>
      <c r="E75" s="14">
        <f t="shared" si="15"/>
        <v>5.92</v>
      </c>
      <c r="F75" s="14">
        <f t="shared" si="15"/>
        <v>6.55</v>
      </c>
      <c r="G75" s="14">
        <f t="shared" si="15"/>
        <v>7.57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125201.27970056226</v>
      </c>
      <c r="D78" s="13">
        <f>Income_Statement!D33</f>
        <v>142941.89041414563</v>
      </c>
      <c r="E78" s="13">
        <f>Income_Statement!E33</f>
        <v>135707.05824483215</v>
      </c>
      <c r="F78" s="13">
        <f>Income_Statement!F33</f>
        <v>126800.09304889537</v>
      </c>
      <c r="G78" s="13">
        <f>Income_Statement!G33</f>
        <v>155832.37694437112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1185.74</v>
      </c>
      <c r="D79" s="13">
        <f>Income_Statement!D35</f>
        <v>1763.95</v>
      </c>
      <c r="E79" s="13">
        <f>Income_Statement!E35</f>
        <v>2637.01</v>
      </c>
      <c r="F79" s="13">
        <f>Income_Statement!F35</f>
        <v>1723.41</v>
      </c>
      <c r="G79" s="13">
        <f>Income_Statement!G35</f>
        <v>2605.64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105.59</v>
      </c>
      <c r="D80" s="14">
        <f t="shared" ref="D80:G80" si="16">ROUND(D78/D79, 2)</f>
        <v>81.040000000000006</v>
      </c>
      <c r="E80" s="14">
        <f t="shared" si="16"/>
        <v>51.46</v>
      </c>
      <c r="F80" s="14">
        <f t="shared" si="16"/>
        <v>73.58</v>
      </c>
      <c r="G80" s="14">
        <f t="shared" si="16"/>
        <v>59.81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90110.77</v>
      </c>
      <c r="D83" s="13">
        <f>Income_Statement!D17</f>
        <v>130693.29</v>
      </c>
      <c r="E83" s="13">
        <f>Income_Statement!E17</f>
        <v>121896.01</v>
      </c>
      <c r="F83" s="13">
        <f>Income_Statement!F17</f>
        <v>78778.039999999994</v>
      </c>
      <c r="G83" s="13">
        <f>Income_Statement!G17</f>
        <v>163541.19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235024.22999999998</v>
      </c>
      <c r="D84" s="13">
        <f>Income_Statement!D9</f>
        <v>296985.44</v>
      </c>
      <c r="E84" s="13">
        <f>Income_Statement!E9</f>
        <v>283383.70999999996</v>
      </c>
      <c r="F84" s="13">
        <f>Income_Statement!F9</f>
        <v>229126.04</v>
      </c>
      <c r="G84" s="13">
        <f>Income_Statement!G9</f>
        <v>346791.08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0.38</v>
      </c>
      <c r="D85" s="14">
        <f t="shared" ref="D85:G85" si="17">ROUND(D83/D84, 2)</f>
        <v>0.44</v>
      </c>
      <c r="E85" s="14">
        <f t="shared" si="17"/>
        <v>0.43</v>
      </c>
      <c r="F85" s="14">
        <f t="shared" si="17"/>
        <v>0.34</v>
      </c>
      <c r="G85" s="14">
        <f t="shared" si="17"/>
        <v>0.47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1353.86</v>
      </c>
      <c r="D88" s="13">
        <f>Balance_Sheet!D70</f>
        <v>140754.00041414559</v>
      </c>
      <c r="E88" s="13">
        <f>Balance_Sheet!E70</f>
        <v>274879.25865897775</v>
      </c>
      <c r="F88" s="13">
        <f>Balance_Sheet!F70</f>
        <v>391623.26170787308</v>
      </c>
      <c r="G88" s="13">
        <f>Balance_Sheet!G70</f>
        <v>534586.17865224415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90110.77</v>
      </c>
      <c r="D89" s="13">
        <f>Income_Statement!D17</f>
        <v>130693.29</v>
      </c>
      <c r="E89" s="13">
        <f>Income_Statement!E17</f>
        <v>121896.01</v>
      </c>
      <c r="F89" s="13">
        <f>Income_Statement!F17</f>
        <v>78778.039999999994</v>
      </c>
      <c r="G89" s="13">
        <f>Income_Statement!G17</f>
        <v>163541.19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>
        <f>ROUND(C88/C89*365, 2)</f>
        <v>5.48</v>
      </c>
      <c r="D90" s="14">
        <f t="shared" ref="D90:G90" si="18">ROUND(D88/D89*365, 2)</f>
        <v>393.1</v>
      </c>
      <c r="E90" s="14">
        <f t="shared" si="18"/>
        <v>823.09</v>
      </c>
      <c r="F90" s="14">
        <f t="shared" si="18"/>
        <v>1814.5</v>
      </c>
      <c r="G90" s="14">
        <f t="shared" si="18"/>
        <v>1193.1199999999999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1353.86</v>
      </c>
      <c r="D93" s="13">
        <f>Balance_Sheet!D70</f>
        <v>140754.00041414559</v>
      </c>
      <c r="E93" s="13">
        <f>Balance_Sheet!E70</f>
        <v>274879.25865897775</v>
      </c>
      <c r="F93" s="13">
        <f>Balance_Sheet!F70</f>
        <v>391623.26170787308</v>
      </c>
      <c r="G93" s="13">
        <f>Balance_Sheet!G70</f>
        <v>534586.17865224415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1353.86</v>
      </c>
      <c r="D95" s="14">
        <f t="shared" ref="D95:G95" si="19">ROUND(D93/D94*365, 2)</f>
        <v>140754</v>
      </c>
      <c r="E95" s="14">
        <f t="shared" si="19"/>
        <v>274879.26</v>
      </c>
      <c r="F95" s="14">
        <f t="shared" si="19"/>
        <v>391623.26</v>
      </c>
      <c r="G95" s="14">
        <f t="shared" si="19"/>
        <v>534586.18000000005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278567.11</v>
      </c>
      <c r="D98" s="13">
        <f>Income_Statement!D5</f>
        <v>339639</v>
      </c>
      <c r="E98" s="13">
        <f>Income_Statement!E5</f>
        <v>328608.96999999997</v>
      </c>
      <c r="F98" s="13">
        <f>Income_Statement!F5</f>
        <v>303229.69</v>
      </c>
      <c r="G98" s="13">
        <f>Income_Statement!G5</f>
        <v>432569.62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120356.06000000001</v>
      </c>
      <c r="D99" s="13">
        <f>Balance_Sheet!D74</f>
        <v>267242.50041414559</v>
      </c>
      <c r="E99" s="13">
        <f>Balance_Sheet!E74</f>
        <v>409271.8886589777</v>
      </c>
      <c r="F99" s="13">
        <f>Balance_Sheet!F74</f>
        <v>523178.4617078731</v>
      </c>
      <c r="G99" s="13">
        <f>Balance_Sheet!G74</f>
        <v>701407.71865224419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2.31</v>
      </c>
      <c r="D100" s="14">
        <f t="shared" ref="D100:G100" si="20">ROUND(D98/D99, 2)</f>
        <v>1.27</v>
      </c>
      <c r="E100" s="14">
        <f t="shared" si="20"/>
        <v>0.8</v>
      </c>
      <c r="F100" s="14">
        <f t="shared" si="20"/>
        <v>0.57999999999999996</v>
      </c>
      <c r="G100" s="14">
        <f t="shared" si="20"/>
        <v>0.62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278567.11</v>
      </c>
      <c r="D103" s="13">
        <f>Income_Statement!D5</f>
        <v>339639</v>
      </c>
      <c r="E103" s="13">
        <f>Income_Statement!E5</f>
        <v>328608.96999999997</v>
      </c>
      <c r="F103" s="13">
        <f>Income_Statement!F5</f>
        <v>303229.69</v>
      </c>
      <c r="G103" s="13">
        <f>Income_Statement!G5</f>
        <v>432569.62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22530.94</v>
      </c>
      <c r="D104" s="13">
        <f>Balance_Sheet!D66</f>
        <v>22934.87</v>
      </c>
      <c r="E104" s="13">
        <f>Balance_Sheet!E66</f>
        <v>22242.6</v>
      </c>
      <c r="F104" s="13">
        <f>Balance_Sheet!F66</f>
        <v>26706.02</v>
      </c>
      <c r="G104" s="13">
        <f>Balance_Sheet!G66</f>
        <v>42178.74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12.36</v>
      </c>
      <c r="D105" s="14">
        <f t="shared" ref="D105:G105" si="21">ROUND(D103/D104, 2)</f>
        <v>14.81</v>
      </c>
      <c r="E105" s="14">
        <f t="shared" si="21"/>
        <v>14.77</v>
      </c>
      <c r="F105" s="14">
        <f t="shared" si="21"/>
        <v>11.35</v>
      </c>
      <c r="G105" s="14">
        <f t="shared" si="21"/>
        <v>10.26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278567.11</v>
      </c>
      <c r="D108" s="13">
        <f>Income_Statement!D5</f>
        <v>339639</v>
      </c>
      <c r="E108" s="13">
        <f>Income_Statement!E5</f>
        <v>328608.96999999997</v>
      </c>
      <c r="F108" s="13">
        <f>Income_Statement!F5</f>
        <v>303229.69</v>
      </c>
      <c r="G108" s="13">
        <f>Income_Statement!G5</f>
        <v>432569.62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5209.28</v>
      </c>
      <c r="D109" s="13">
        <f>Balance_Sheet!D68</f>
        <v>6906.25</v>
      </c>
      <c r="E109" s="13">
        <f>Balance_Sheet!E68</f>
        <v>5378.02</v>
      </c>
      <c r="F109" s="13">
        <f>Balance_Sheet!F68</f>
        <v>7834.77</v>
      </c>
      <c r="G109" s="13">
        <f>Balance_Sheet!G68</f>
        <v>9707.4699999999993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53.48</v>
      </c>
      <c r="D110" s="14">
        <f t="shared" ref="D110:G110" si="22">ROUND(D108/D109, 2)</f>
        <v>49.18</v>
      </c>
      <c r="E110" s="14">
        <f t="shared" si="22"/>
        <v>61.1</v>
      </c>
      <c r="F110" s="14">
        <f t="shared" si="22"/>
        <v>38.700000000000003</v>
      </c>
      <c r="G110" s="14">
        <f t="shared" si="22"/>
        <v>44.56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278567.11</v>
      </c>
      <c r="D113" s="13">
        <f>Income_Statement!D5</f>
        <v>339639</v>
      </c>
      <c r="E113" s="13">
        <f>Income_Statement!E5</f>
        <v>328608.96999999997</v>
      </c>
      <c r="F113" s="13">
        <f>Income_Statement!F5</f>
        <v>303229.69</v>
      </c>
      <c r="G113" s="13">
        <f>Income_Statement!G5</f>
        <v>432569.62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45260.94</v>
      </c>
      <c r="D114" s="13">
        <f>Balance_Sheet!D40</f>
        <v>48971.28</v>
      </c>
      <c r="E114" s="13">
        <f>Balance_Sheet!E40</f>
        <v>59793.97</v>
      </c>
      <c r="F114" s="13">
        <f>Balance_Sheet!F40</f>
        <v>63588.89</v>
      </c>
      <c r="G114" s="13">
        <f>Balance_Sheet!G40</f>
        <v>98130.43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6.15</v>
      </c>
      <c r="D115" s="14">
        <f t="shared" ref="D115:G115" si="23">ROUND(D113/D114, 2)</f>
        <v>6.94</v>
      </c>
      <c r="E115" s="14">
        <f t="shared" si="23"/>
        <v>5.5</v>
      </c>
      <c r="F115" s="14">
        <f t="shared" si="23"/>
        <v>4.7699999999999996</v>
      </c>
      <c r="G115" s="14">
        <f t="shared" si="23"/>
        <v>4.41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90110.77</v>
      </c>
      <c r="D118" s="13">
        <f>Income_Statement!D17</f>
        <v>130693.29</v>
      </c>
      <c r="E118" s="13">
        <f>Income_Statement!E17</f>
        <v>121896.01</v>
      </c>
      <c r="F118" s="13">
        <f>Income_Statement!F17</f>
        <v>78778.039999999994</v>
      </c>
      <c r="G118" s="13">
        <f>Income_Statement!G17</f>
        <v>163541.19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39312.69</v>
      </c>
      <c r="D119" s="13">
        <f>Balance_Sheet!D33</f>
        <v>46389.08</v>
      </c>
      <c r="E119" s="13">
        <f>Balance_Sheet!E33</f>
        <v>50271.93</v>
      </c>
      <c r="F119" s="13">
        <f>Balance_Sheet!F33</f>
        <v>62529.440000000002</v>
      </c>
      <c r="G119" s="13">
        <f>Balance_Sheet!G33</f>
        <v>73314.61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2.29</v>
      </c>
      <c r="D120" s="14">
        <f t="shared" ref="D120:G120" si="24">ROUND(D118/D119, 2)</f>
        <v>2.82</v>
      </c>
      <c r="E120" s="14">
        <f t="shared" si="24"/>
        <v>2.42</v>
      </c>
      <c r="F120" s="14">
        <f t="shared" si="24"/>
        <v>1.26</v>
      </c>
      <c r="G120" s="14">
        <f t="shared" si="24"/>
        <v>2.23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278567.11</v>
      </c>
      <c r="D123" s="13">
        <f>Income_Statement!D5</f>
        <v>339639</v>
      </c>
      <c r="E123" s="13">
        <f>Income_Statement!E5</f>
        <v>328608.96999999997</v>
      </c>
      <c r="F123" s="13">
        <f>Income_Statement!F5</f>
        <v>303229.69</v>
      </c>
      <c r="G123" s="13">
        <f>Income_Statement!G5</f>
        <v>432569.62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22530.94</v>
      </c>
      <c r="D124" s="13">
        <f>Balance_Sheet!D66</f>
        <v>22934.87</v>
      </c>
      <c r="E124" s="13">
        <f>Balance_Sheet!E66</f>
        <v>22242.6</v>
      </c>
      <c r="F124" s="13">
        <f>Balance_Sheet!F66</f>
        <v>26706.02</v>
      </c>
      <c r="G124" s="13">
        <f>Balance_Sheet!G66</f>
        <v>42178.74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29.52</v>
      </c>
      <c r="D125" s="14">
        <f t="shared" ref="D125:G125" si="25">ROUND(365/D123*D124, 2)</f>
        <v>24.65</v>
      </c>
      <c r="E125" s="14">
        <f t="shared" si="25"/>
        <v>24.71</v>
      </c>
      <c r="F125" s="14">
        <f t="shared" si="25"/>
        <v>32.15</v>
      </c>
      <c r="G125" s="14">
        <f t="shared" si="25"/>
        <v>35.590000000000003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90110.77</v>
      </c>
      <c r="D128" s="13">
        <f>Income_Statement!D17</f>
        <v>130693.29</v>
      </c>
      <c r="E128" s="13">
        <f>Income_Statement!E17</f>
        <v>121896.01</v>
      </c>
      <c r="F128" s="13">
        <f>Income_Statement!F17</f>
        <v>78778.039999999994</v>
      </c>
      <c r="G128" s="13">
        <f>Income_Statement!G17</f>
        <v>163541.19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39312.69</v>
      </c>
      <c r="D129" s="13">
        <f>Balance_Sheet!D33</f>
        <v>46389.08</v>
      </c>
      <c r="E129" s="13">
        <f>Balance_Sheet!E33</f>
        <v>50271.93</v>
      </c>
      <c r="F129" s="13">
        <f>Balance_Sheet!F33</f>
        <v>62529.440000000002</v>
      </c>
      <c r="G129" s="13">
        <f>Balance_Sheet!G33</f>
        <v>73314.61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>
        <f>ROUND(365/C128*C129, 2)</f>
        <v>159.24</v>
      </c>
      <c r="D130" s="14">
        <f t="shared" ref="D130:G130" si="26">ROUND(365/D128*D129, 2)</f>
        <v>129.56</v>
      </c>
      <c r="E130" s="14">
        <f t="shared" si="26"/>
        <v>150.53</v>
      </c>
      <c r="F130" s="14">
        <f t="shared" si="26"/>
        <v>289.72000000000003</v>
      </c>
      <c r="G130" s="14">
        <f t="shared" si="26"/>
        <v>163.63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278567.11</v>
      </c>
      <c r="D133" s="13">
        <f>Income_Statement!D5</f>
        <v>339639</v>
      </c>
      <c r="E133" s="13">
        <f>Income_Statement!E5</f>
        <v>328608.96999999997</v>
      </c>
      <c r="F133" s="13">
        <f>Income_Statement!F5</f>
        <v>303229.69</v>
      </c>
      <c r="G133" s="13">
        <f>Income_Statement!G5</f>
        <v>432569.62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5209.28</v>
      </c>
      <c r="D134" s="13">
        <f>Balance_Sheet!D68</f>
        <v>6906.25</v>
      </c>
      <c r="E134" s="13">
        <f>Balance_Sheet!E68</f>
        <v>5378.02</v>
      </c>
      <c r="F134" s="13">
        <f>Balance_Sheet!F68</f>
        <v>7834.77</v>
      </c>
      <c r="G134" s="13">
        <f>Balance_Sheet!G68</f>
        <v>9707.4699999999993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6.83</v>
      </c>
      <c r="D135" s="14">
        <f t="shared" ref="D135:G135" si="27">ROUND(365/D133*D134, 2)</f>
        <v>7.42</v>
      </c>
      <c r="E135" s="14">
        <f t="shared" si="27"/>
        <v>5.97</v>
      </c>
      <c r="F135" s="14">
        <f t="shared" si="27"/>
        <v>9.43</v>
      </c>
      <c r="G135" s="14">
        <f t="shared" si="27"/>
        <v>8.19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278567.11</v>
      </c>
      <c r="D138" s="13">
        <f>Income_Statement!D5</f>
        <v>339639</v>
      </c>
      <c r="E138" s="13">
        <f>Income_Statement!E5</f>
        <v>328608.96999999997</v>
      </c>
      <c r="F138" s="13">
        <f>Income_Statement!F5</f>
        <v>303229.69</v>
      </c>
      <c r="G138" s="13">
        <f>Income_Statement!G5</f>
        <v>432569.62</v>
      </c>
    </row>
    <row r="139" spans="2:12" ht="18.75" x14ac:dyDescent="0.25">
      <c r="B139" s="12" t="str">
        <f>Balance_Sheet!B66</f>
        <v>Inventories</v>
      </c>
      <c r="C139" s="13">
        <f>Balance_Sheet!C66</f>
        <v>22530.94</v>
      </c>
      <c r="D139" s="13">
        <f>Balance_Sheet!D66</f>
        <v>22934.87</v>
      </c>
      <c r="E139" s="13">
        <f>Balance_Sheet!E66</f>
        <v>22242.6</v>
      </c>
      <c r="F139" s="13">
        <f>Balance_Sheet!F66</f>
        <v>26706.02</v>
      </c>
      <c r="G139" s="13">
        <f>Balance_Sheet!G66</f>
        <v>42178.74</v>
      </c>
    </row>
    <row r="140" spans="2:12" ht="18.75" x14ac:dyDescent="0.25">
      <c r="B140" s="12" t="s">
        <v>192</v>
      </c>
      <c r="C140" s="13">
        <f>ROUND(365/C138*C139, 2)</f>
        <v>29.52</v>
      </c>
      <c r="D140" s="13">
        <f t="shared" ref="D140:G140" si="28">ROUND(365/D138*D139, 2)</f>
        <v>24.65</v>
      </c>
      <c r="E140" s="13">
        <f t="shared" si="28"/>
        <v>24.71</v>
      </c>
      <c r="F140" s="13">
        <f t="shared" si="28"/>
        <v>32.15</v>
      </c>
      <c r="G140" s="13">
        <f t="shared" si="28"/>
        <v>35.590000000000003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90110.77</v>
      </c>
      <c r="D141" s="13">
        <f>Income_Statement!D17</f>
        <v>130693.29</v>
      </c>
      <c r="E141" s="13">
        <f>Income_Statement!E17</f>
        <v>121896.01</v>
      </c>
      <c r="F141" s="13">
        <f>Income_Statement!F17</f>
        <v>78778.039999999994</v>
      </c>
      <c r="G141" s="13">
        <f>Income_Statement!G17</f>
        <v>163541.19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39312.69</v>
      </c>
      <c r="D142" s="13">
        <f>Balance_Sheet!D33</f>
        <v>46389.08</v>
      </c>
      <c r="E142" s="13">
        <f>Balance_Sheet!E33</f>
        <v>50271.93</v>
      </c>
      <c r="F142" s="13">
        <f>Balance_Sheet!F33</f>
        <v>62529.440000000002</v>
      </c>
      <c r="G142" s="13">
        <f>Balance_Sheet!G33</f>
        <v>73314.61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>
        <f>ROUND(365/C141*C142, 2)</f>
        <v>159.24</v>
      </c>
      <c r="D143" s="13">
        <f t="shared" ref="D143:G143" si="29">ROUND(365/D141*D142, 2)</f>
        <v>129.56</v>
      </c>
      <c r="E143" s="13">
        <f t="shared" si="29"/>
        <v>150.53</v>
      </c>
      <c r="F143" s="13">
        <f t="shared" si="29"/>
        <v>289.72000000000003</v>
      </c>
      <c r="G143" s="13">
        <f t="shared" si="29"/>
        <v>163.63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>
        <f>ROUND(C143+C140, 2)</f>
        <v>188.76</v>
      </c>
      <c r="D144" s="16">
        <f t="shared" ref="D144:G144" si="30">ROUND(D143+D140, 2)</f>
        <v>154.21</v>
      </c>
      <c r="E144" s="16">
        <f t="shared" si="30"/>
        <v>175.24</v>
      </c>
      <c r="F144" s="16">
        <f t="shared" si="30"/>
        <v>321.87</v>
      </c>
      <c r="G144" s="16">
        <f t="shared" si="30"/>
        <v>199.22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278567.11</v>
      </c>
      <c r="D147" s="13">
        <f>Income_Statement!D5</f>
        <v>339639</v>
      </c>
      <c r="E147" s="13">
        <f>Income_Statement!E5</f>
        <v>328608.96999999997</v>
      </c>
      <c r="F147" s="13">
        <f>Income_Statement!F5</f>
        <v>303229.69</v>
      </c>
      <c r="G147" s="13">
        <f>Income_Statement!G5</f>
        <v>432569.62</v>
      </c>
    </row>
    <row r="148" spans="2:12" ht="18.75" x14ac:dyDescent="0.25">
      <c r="B148" s="12" t="str">
        <f>Balance_Sheet!B66</f>
        <v>Inventories</v>
      </c>
      <c r="C148" s="13">
        <f>Balance_Sheet!C66</f>
        <v>22530.94</v>
      </c>
      <c r="D148" s="13">
        <f>Balance_Sheet!D66</f>
        <v>22934.87</v>
      </c>
      <c r="E148" s="13">
        <f>Balance_Sheet!E66</f>
        <v>22242.6</v>
      </c>
      <c r="F148" s="13">
        <f>Balance_Sheet!F66</f>
        <v>26706.02</v>
      </c>
      <c r="G148" s="13">
        <f>Balance_Sheet!G66</f>
        <v>42178.74</v>
      </c>
    </row>
    <row r="149" spans="2:12" ht="18.75" x14ac:dyDescent="0.25">
      <c r="B149" s="12" t="s">
        <v>192</v>
      </c>
      <c r="C149" s="13">
        <f>ROUND(365/C147*C148, 2)</f>
        <v>29.52</v>
      </c>
      <c r="D149" s="13">
        <f t="shared" ref="D149:G149" si="31">ROUND(365/D147*D148, 2)</f>
        <v>24.65</v>
      </c>
      <c r="E149" s="13">
        <f t="shared" si="31"/>
        <v>24.71</v>
      </c>
      <c r="F149" s="13">
        <f t="shared" si="31"/>
        <v>32.15</v>
      </c>
      <c r="G149" s="13">
        <f t="shared" si="31"/>
        <v>35.590000000000003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90110.77</v>
      </c>
      <c r="D150" s="13">
        <f>Income_Statement!D17</f>
        <v>130693.29</v>
      </c>
      <c r="E150" s="13">
        <f>Income_Statement!E17</f>
        <v>121896.01</v>
      </c>
      <c r="F150" s="13">
        <f>Income_Statement!F17</f>
        <v>78778.039999999994</v>
      </c>
      <c r="G150" s="13">
        <f>Income_Statement!G17</f>
        <v>163541.19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39312.69</v>
      </c>
      <c r="D151" s="13">
        <f>Balance_Sheet!D33</f>
        <v>46389.08</v>
      </c>
      <c r="E151" s="13">
        <f>Balance_Sheet!E33</f>
        <v>50271.93</v>
      </c>
      <c r="F151" s="13">
        <f>Balance_Sheet!F33</f>
        <v>62529.440000000002</v>
      </c>
      <c r="G151" s="13">
        <f>Balance_Sheet!G33</f>
        <v>73314.61</v>
      </c>
    </row>
    <row r="152" spans="2:12" ht="18.75" x14ac:dyDescent="0.25">
      <c r="B152" s="12" t="s">
        <v>194</v>
      </c>
      <c r="C152" s="13">
        <f>ROUND(365/C150*C151, 2)</f>
        <v>159.24</v>
      </c>
      <c r="D152" s="13">
        <f t="shared" ref="D152:G152" si="32">ROUND(365/D150*D151, 2)</f>
        <v>129.56</v>
      </c>
      <c r="E152" s="13">
        <f t="shared" si="32"/>
        <v>150.53</v>
      </c>
      <c r="F152" s="13">
        <f t="shared" si="32"/>
        <v>289.72000000000003</v>
      </c>
      <c r="G152" s="13">
        <f t="shared" si="32"/>
        <v>163.63</v>
      </c>
    </row>
    <row r="153" spans="2:12" ht="18.75" x14ac:dyDescent="0.25">
      <c r="B153" s="12" t="s">
        <v>200</v>
      </c>
      <c r="C153" s="13">
        <f>ROUND(C152+C149, 2)</f>
        <v>188.76</v>
      </c>
      <c r="D153" s="13">
        <f t="shared" ref="D153:G153" si="33">ROUND(D152+D149, 2)</f>
        <v>154.21</v>
      </c>
      <c r="E153" s="13">
        <f t="shared" si="33"/>
        <v>175.24</v>
      </c>
      <c r="F153" s="13">
        <f t="shared" si="33"/>
        <v>321.87</v>
      </c>
      <c r="G153" s="13">
        <f t="shared" si="33"/>
        <v>199.22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90110.77</v>
      </c>
      <c r="D154" s="13">
        <f>Income_Statement!D17</f>
        <v>130693.29</v>
      </c>
      <c r="E154" s="13">
        <f>Income_Statement!E17</f>
        <v>121896.01</v>
      </c>
      <c r="F154" s="13">
        <f>Income_Statement!F17</f>
        <v>78778.039999999994</v>
      </c>
      <c r="G154" s="13">
        <f>Income_Statement!G17</f>
        <v>163541.19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39312.69</v>
      </c>
      <c r="D155" s="13">
        <f>Balance_Sheet!D33</f>
        <v>46389.08</v>
      </c>
      <c r="E155" s="13">
        <f>Balance_Sheet!E33</f>
        <v>50271.93</v>
      </c>
      <c r="F155" s="13">
        <f>Balance_Sheet!F33</f>
        <v>62529.440000000002</v>
      </c>
      <c r="G155" s="13">
        <f>Balance_Sheet!G33</f>
        <v>73314.61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>
        <f>ROUND(365/C154*C155, 2)</f>
        <v>159.24</v>
      </c>
      <c r="D156" s="13">
        <f t="shared" ref="D156:G156" si="34">ROUND(365/D154*D155, 2)</f>
        <v>129.56</v>
      </c>
      <c r="E156" s="13">
        <f t="shared" si="34"/>
        <v>150.53</v>
      </c>
      <c r="F156" s="13">
        <f t="shared" si="34"/>
        <v>289.72000000000003</v>
      </c>
      <c r="G156" s="13">
        <f t="shared" si="34"/>
        <v>163.63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>
        <f>ROUND(C156-C153, 2)</f>
        <v>-29.52</v>
      </c>
      <c r="D157" s="16">
        <f t="shared" ref="D157:G157" si="35">ROUND(D156-D153, 2)</f>
        <v>-24.65</v>
      </c>
      <c r="E157" s="16">
        <f t="shared" si="35"/>
        <v>-24.71</v>
      </c>
      <c r="F157" s="16">
        <f t="shared" si="35"/>
        <v>-32.15</v>
      </c>
      <c r="G157" s="16">
        <f t="shared" si="35"/>
        <v>-35.590000000000003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3E7C2803-3B7A-4D12-B0DD-21645707F545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E5861AA4-E7B1-4371-96B6-37542BF5A12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A37FD99E-C4BF-43E2-B54B-CCA741D210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6D615017-333E-4FB4-AA2D-0019B3D224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476E5D50-2A52-404D-AC62-8BFB6B9E81E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55CCBD9F-C1A4-4572-833D-552C724E148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0A7BB855-630E-40E8-ADD9-F2F28F9493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5FAB8D18-1429-47C6-AC71-F5DDF062519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82D93FF3-277C-4E2F-8C97-420469CA53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FC4E0453-B626-4888-B84A-195EBB52C2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9080AC3C-1F61-4119-914B-3F95A6695C5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1DD0428E-A9EE-4F65-ABD0-4B8DEAF7A9C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484C8692-6882-4FE0-B0C5-7F8B81ED0D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D66AF35A-F0D8-430B-B5EA-6ABC260EB7B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8747AE7D-2B26-4D56-A2F2-62F7434ECD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5525836C-52BD-4086-B03D-4BAA99A782E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1F819BCD-B266-4ABC-B52C-6FAFEB8F24D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705D4D27-7DE7-40BD-8C6D-D7498BF721C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CCC88D6E-1DB8-435A-A2FA-310E6589BB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109667F4-B15A-47E3-8A3A-F5D8EC26994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94EE1F56-7B11-4C5F-A2BE-D0221A8E1D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5877C763-10BC-43C8-B535-EEA484B4EFA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7752DF99-6A90-4390-AF0D-A4978D816E3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6B645B3E-AC72-4A11-9CF9-E465AB36CA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531CF5AE-C69C-4A49-829B-DFC35B483A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764849A0-D488-4D4E-A7FC-A63576DE37E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2426029D-9B7A-4353-AA2E-C1899C06FC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F51019E1-CDF4-4BF4-BD71-9DC1C47700A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584F7-269B-45F5-B57C-881D0D27078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119633.92970056225</v>
      </c>
      <c r="D6" s="13">
        <f>Income_Statement!D49</f>
        <v>136800.42041414563</v>
      </c>
      <c r="E6" s="13">
        <f>Income_Statement!E49</f>
        <v>131773.90824483213</v>
      </c>
      <c r="F6" s="13">
        <f>Income_Statement!F49</f>
        <v>125230.25304889536</v>
      </c>
      <c r="G6" s="13">
        <f>Income_Statement!G49</f>
        <v>150006.65694437109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</row>
    <row r="8" spans="2:15" ht="18.75" x14ac:dyDescent="0.25">
      <c r="B8" s="14" t="s">
        <v>146</v>
      </c>
      <c r="C8" s="14">
        <f>ROUND(C6/C7, 2)</f>
        <v>46</v>
      </c>
      <c r="D8" s="14">
        <f t="shared" ref="D8:G8" si="0">ROUND(D6/D7, 2)</f>
        <v>40</v>
      </c>
      <c r="E8" s="14">
        <f t="shared" si="0"/>
        <v>16</v>
      </c>
      <c r="F8" s="14">
        <f t="shared" si="0"/>
        <v>82</v>
      </c>
      <c r="G8" s="14">
        <f t="shared" si="0"/>
        <v>55</v>
      </c>
    </row>
  </sheetData>
  <mergeCells count="1">
    <mergeCell ref="B5:G5"/>
  </mergeCells>
  <hyperlinks>
    <hyperlink ref="F1" location="Index_Data!A1" tooltip="Hi click here To return Index page" display="Index_Data!A1" xr:uid="{C7664DC8-F803-4462-89BD-CAEEB00B25F2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43CC9-1491-42C0-9606-BC567585207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2884.76</v>
      </c>
      <c r="D6" s="13">
        <f>Income_Statement!D51</f>
        <v>3540.39</v>
      </c>
      <c r="E6" s="13">
        <f>Income_Statement!E51</f>
        <v>4818.8599999999997</v>
      </c>
      <c r="F6" s="13">
        <f>Income_Statement!F51</f>
        <v>4555.43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2600.737602186136</v>
      </c>
      <c r="D7" s="13">
        <f>Income_Statement!D61</f>
        <v>3420.0105103536407</v>
      </c>
      <c r="E7" s="13">
        <f>Income_Statement!E61</f>
        <v>8235.869265302008</v>
      </c>
      <c r="F7" s="13">
        <f>Income_Statement!F61</f>
        <v>1527.1982079133581</v>
      </c>
      <c r="G7" s="13">
        <f>Income_Statement!G61</f>
        <v>2727.393762624929</v>
      </c>
    </row>
    <row r="8" spans="2:15" ht="18.75" x14ac:dyDescent="0.25">
      <c r="B8" s="14" t="s">
        <v>148</v>
      </c>
      <c r="C8" s="14">
        <f>ROUND(C6/C7, 2)</f>
        <v>1.1100000000000001</v>
      </c>
      <c r="D8" s="14">
        <f t="shared" ref="D8:G8" si="0">ROUND(D6/D7, 2)</f>
        <v>1.04</v>
      </c>
      <c r="E8" s="14">
        <f t="shared" si="0"/>
        <v>0.59</v>
      </c>
      <c r="F8" s="14">
        <f t="shared" si="0"/>
        <v>2.98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11824AC8-6276-49BC-870C-B72903071139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2022-07-03T11:03:17Z</dcterms:created>
  <dcterms:modified xsi:type="dcterms:W3CDTF">2022-07-04T08:01:43Z</dcterms:modified>
</cp:coreProperties>
</file>