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1990D6B5-679C-4475-9809-843F558AA810}" xr6:coauthVersionLast="47" xr6:coauthVersionMax="47" xr10:uidLastSave="{00000000-0000-0000-0000-000000000000}"/>
  <bookViews>
    <workbookView xWindow="-120" yWindow="-120" windowWidth="20730" windowHeight="11160" firstSheet="2" activeTab="4" xr2:uid="{AA145E1C-D8D4-48EA-A83B-2BC0D96B0152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  <sheet name="BS_Backup" sheetId="46" r:id="rId46"/>
    <sheet name="ISM_Backup" sheetId="47" r:id="rId47"/>
  </sheets>
  <definedNames>
    <definedName name="AmountCFtoBalanceSheet">'Income Statement'!$B$55:$G$55</definedName>
    <definedName name="AssetTurnOverRatio">'Asset TurnOver Ratio'!$B$8:$G$8</definedName>
    <definedName name="BookValuePerShare">'Book Value  Per Share'!$B$8:$G$8</definedName>
    <definedName name="CapitalWorkInProgress">'Balance Sheet'!$B$52:$G$52</definedName>
    <definedName name="CashAndCashEquivalents">'Balance Sheet'!$B$70:$G$70</definedName>
    <definedName name="CashCFtoBalanceSheet">'CashFlow Statement'!$B$48:$G$48</definedName>
    <definedName name="CostOfMaterialsConsumed">'Income Statement'!$B$17:$G$17</definedName>
    <definedName name="CurrentInvestments">'Balance Sheet'!$B$50:$G$50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Sheet'!$B$56:$G$56</definedName>
    <definedName name="DeferredTaxLiabilitiesNet">'Balance Sheet'!$B$17:$G$17</definedName>
    <definedName name="Depreciation">'Balance Sheet'!$B$44:$G$44</definedName>
    <definedName name="DepreciationAndAmortisationExpenses">'Income Statement'!$B$31:$G$31</definedName>
    <definedName name="EarningPerShare">'Earning  Per Share'!$B$8:$G$8</definedName>
    <definedName name="EmployeeBenefitExpenses">'Income Statement'!$B$21:$G$21</definedName>
    <definedName name="EquityDividendPerShare">'Equity Dividend Per Share'!$B$8:$G$8</definedName>
    <definedName name="EquityShareCapital">'Balance Sheet'!$B$5:$G$5</definedName>
    <definedName name="EquityShareDividend">'Income Statement'!$B$51:$G$51</definedName>
    <definedName name="ExceptionalItems">'Income Statement'!$B$43:$G$43</definedName>
    <definedName name="ExciseDuty">'Income Statement'!$B$7:$G$7</definedName>
    <definedName name="FinanceCosts">'Income Statement'!$B$35:$G$35</definedName>
    <definedName name="GrossProfit">'Gross Profit'!$B$8:$G$8</definedName>
    <definedName name="GrossSales">'Income Statement'!$B$5:$G$5</definedName>
    <definedName name="IntangibleAssets">'Balance Sheet'!$B$42:$G$42</definedName>
    <definedName name="InterestCoverageRatio">'Interest Coverage Ratio'!$B$8:$G$8</definedName>
    <definedName name="Inventories">'Balance Sheet'!$B$66:$G$66</definedName>
    <definedName name="InventoryTurnOverRatio">'Inventory TurnOver Ratio'!$B$8:$G$8</definedName>
    <definedName name="LongTermBorrowings">'Balance Sheet'!$B$15:$G$15</definedName>
    <definedName name="LongTermLoansAndAdvances">'Balance Sheet'!$B$58:$G$58</definedName>
    <definedName name="LongTermProvisions">'Balance Sheet'!$B$23:$G$23</definedName>
    <definedName name="MaterialConsumed">'Material Consumed'!$B$8:$G$8</definedName>
    <definedName name="MinorityInterest">'Balance Sheet'!$B$35:$G$35</definedName>
    <definedName name="NetAssets">'Balance Sheet'!$B$46:$G$46</definedName>
    <definedName name="NetProfit">'Net Profit'!$B$8:$G$8</definedName>
    <definedName name="NetSales">'Income Statement'!$B$9:$G$9</definedName>
    <definedName name="NetWorth">'Balance Sheet'!$B$13:$G$13</definedName>
    <definedName name="NonCurrentInvestments">'Balance Sheet'!$B$48:$G$48</definedName>
    <definedName name="OperatingAndDirectExpenses">'Income Statement'!$B$19:$G$19</definedName>
    <definedName name="OperatingProfit">'Income Statement'!$B$27:$G$27</definedName>
    <definedName name="OtherCurrentAssets">'Balance Sheet'!$B$64:$G$64</definedName>
    <definedName name="OtherCurrentLiabilities">'Balance Sheet'!$B$31:$G$31</definedName>
    <definedName name="OtherExpenses">'Income Statement'!$B$23:$G$23</definedName>
    <definedName name="OtherIncome">'Income Statement'!$B$11:$G$11</definedName>
    <definedName name="OtherLongTermLiabilities">'Balance Sheet'!$B$27:$G$27</definedName>
    <definedName name="OtherNonCurrentAssets">'Balance Sheet'!$B$60:$G$60</definedName>
    <definedName name="PBDIT">'Income Statement'!$B$29:$G$29</definedName>
    <definedName name="PBIT">'Income Statement'!$B$33:$G$33</definedName>
    <definedName name="PBT">'Income Statement'!$B$41:$G$41</definedName>
    <definedName name="PBTPostExtraOrdinaryItems">'Income Statement'!$B$45:$G$45</definedName>
    <definedName name="PreferenceShareCapital">'Balance Sheet'!$B$7:$G$7</definedName>
    <definedName name="ProfitBeforeshareofAssociates">'Income Statement'!$B$37:$G$37</definedName>
    <definedName name="QuickRatio">'Quick Ratio'!$B$9:$G$9</definedName>
    <definedName name="ReportedNetProfitPAT">'Income Statement'!$B$49:$G$49</definedName>
    <definedName name="ReservesandSurplus">'Balance Sheet'!$B$11:$G$11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Statement'!$B$39:$G$39</definedName>
    <definedName name="SharesOutstanding">'Income Statement'!$B$61:$G$61</definedName>
    <definedName name="ShortTermBorrowings">'Balance Sheet'!$B$19:$G$19</definedName>
    <definedName name="ShortTermLoansAndAdvances">'Balance Sheet'!$B$62:$G$62</definedName>
    <definedName name="ShortTermProvisions">'Balance Sheet'!$B$25:$G$25</definedName>
    <definedName name="StockAdjustments">'Income Statement'!$B$13:$G$13</definedName>
    <definedName name="TangibleAssets">'Balance Sheet'!$B$40:$G$40</definedName>
    <definedName name="TaxOnDividend">'Income Statement'!$B$53:$G$53</definedName>
    <definedName name="TotalAssets">'Balance Sheet'!$B$74:$G$74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Sheet'!$B$72:$G$72</definedName>
    <definedName name="TotalCurrentLiabilities">'Balance Sheet'!$B$33:$G$33</definedName>
    <definedName name="TotalDebt">'Balance Sheet'!$B$21:$G$21</definedName>
    <definedName name="TotalExpenditure">'Income Statement'!$B$25:$G$25</definedName>
    <definedName name="TotalIncome">'Income Statement'!$B$15:$G$15</definedName>
    <definedName name="TotalLiabilities">'Balance Sheet'!$B$37:$G$37</definedName>
    <definedName name="TotalNonCashNonOperatingTransactions">'CashFlow Statement'!$B$10:$G$10</definedName>
    <definedName name="TotalNonCurrentAssets">'Balance Sheet'!$B$54:$G$54</definedName>
    <definedName name="TotalShareCapital">'Balance Sheet'!$B$9:$G$9</definedName>
    <definedName name="TotalTaxExpenses">'Income Statement'!$B$47:$G$47</definedName>
    <definedName name="TradePayables">'Balance Sheet'!$B$29:$G$29</definedName>
    <definedName name="TradeReceivables">'Balance Sheet'!$B$68:$G$68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H46" i="5" s="1"/>
  <c r="H47" i="5" s="1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L7" i="5" s="1"/>
  <c r="H31" i="3"/>
  <c r="H44" i="4" s="1"/>
  <c r="I62" i="3"/>
  <c r="J62" i="3" s="1"/>
  <c r="K62" i="3" s="1"/>
  <c r="L62" i="3" s="1"/>
  <c r="H62" i="3"/>
  <c r="D62" i="3"/>
  <c r="E62" i="3"/>
  <c r="F62" i="3"/>
  <c r="G62" i="3"/>
  <c r="C62" i="3"/>
  <c r="I46" i="5"/>
  <c r="I47" i="5" s="1"/>
  <c r="J46" i="5"/>
  <c r="J47" i="5" s="1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J8" i="5"/>
  <c r="J10" i="5" s="1"/>
  <c r="K8" i="5"/>
  <c r="L8" i="5"/>
  <c r="H7" i="5"/>
  <c r="I7" i="5"/>
  <c r="J7" i="5"/>
  <c r="K7" i="5"/>
  <c r="K10" i="5" s="1"/>
  <c r="K66" i="4"/>
  <c r="L66" i="4"/>
  <c r="H66" i="4"/>
  <c r="I67" i="4"/>
  <c r="J67" i="4" s="1"/>
  <c r="K67" i="4" s="1"/>
  <c r="L67" i="4" s="1"/>
  <c r="H67" i="4"/>
  <c r="L64" i="4"/>
  <c r="H64" i="4"/>
  <c r="I65" i="4"/>
  <c r="J65" i="4" s="1"/>
  <c r="K65" i="4" s="1"/>
  <c r="L65" i="4" s="1"/>
  <c r="H65" i="4"/>
  <c r="L62" i="4"/>
  <c r="H62" i="4"/>
  <c r="I63" i="4"/>
  <c r="J63" i="4" s="1"/>
  <c r="K63" i="4" s="1"/>
  <c r="L63" i="4" s="1"/>
  <c r="H63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K50" i="4"/>
  <c r="L50" i="4"/>
  <c r="H50" i="4"/>
  <c r="I51" i="4"/>
  <c r="J51" i="4" s="1"/>
  <c r="K51" i="4" s="1"/>
  <c r="L51" i="4" s="1"/>
  <c r="H51" i="4"/>
  <c r="K48" i="4"/>
  <c r="L48" i="4"/>
  <c r="H48" i="4"/>
  <c r="I49" i="4"/>
  <c r="J49" i="4" s="1"/>
  <c r="K49" i="4" s="1"/>
  <c r="L49" i="4" s="1"/>
  <c r="H49" i="4"/>
  <c r="L42" i="4"/>
  <c r="H42" i="4"/>
  <c r="I43" i="4"/>
  <c r="J43" i="4" s="1"/>
  <c r="K43" i="4" s="1"/>
  <c r="L43" i="4" s="1"/>
  <c r="H43" i="4"/>
  <c r="L40" i="4"/>
  <c r="H40" i="4"/>
  <c r="I41" i="4"/>
  <c r="J41" i="4" s="1"/>
  <c r="K41" i="4" s="1"/>
  <c r="L41" i="4" s="1"/>
  <c r="H41" i="4"/>
  <c r="H35" i="4"/>
  <c r="I36" i="4"/>
  <c r="I35" i="4" s="1"/>
  <c r="H36" i="4"/>
  <c r="L31" i="4"/>
  <c r="H31" i="4"/>
  <c r="I32" i="4"/>
  <c r="J32" i="4" s="1"/>
  <c r="K32" i="4" s="1"/>
  <c r="L32" i="4" s="1"/>
  <c r="H32" i="4"/>
  <c r="H29" i="4"/>
  <c r="I30" i="4"/>
  <c r="I29" i="4" s="1"/>
  <c r="H30" i="4"/>
  <c r="L27" i="4"/>
  <c r="H27" i="4"/>
  <c r="I28" i="4"/>
  <c r="J28" i="4" s="1"/>
  <c r="K28" i="4" s="1"/>
  <c r="L28" i="4" s="1"/>
  <c r="H28" i="4"/>
  <c r="L25" i="4"/>
  <c r="H25" i="4"/>
  <c r="I26" i="4"/>
  <c r="J26" i="4" s="1"/>
  <c r="K26" i="4" s="1"/>
  <c r="L26" i="4" s="1"/>
  <c r="H26" i="4"/>
  <c r="H23" i="4"/>
  <c r="H33" i="4" s="1"/>
  <c r="H34" i="4" s="1"/>
  <c r="I24" i="4"/>
  <c r="I23" i="4" s="1"/>
  <c r="H24" i="4"/>
  <c r="H21" i="4"/>
  <c r="I22" i="4"/>
  <c r="I21" i="4" s="1"/>
  <c r="H22" i="4"/>
  <c r="H19" i="4"/>
  <c r="I20" i="4"/>
  <c r="I19" i="4" s="1"/>
  <c r="H20" i="4"/>
  <c r="K17" i="4"/>
  <c r="L17" i="4"/>
  <c r="H17" i="4"/>
  <c r="I18" i="4"/>
  <c r="J18" i="4" s="1"/>
  <c r="K18" i="4" s="1"/>
  <c r="L18" i="4" s="1"/>
  <c r="H18" i="4"/>
  <c r="K15" i="4"/>
  <c r="L15" i="4"/>
  <c r="H15" i="4"/>
  <c r="I16" i="4"/>
  <c r="J16" i="4" s="1"/>
  <c r="K16" i="4" s="1"/>
  <c r="L16" i="4" s="1"/>
  <c r="H16" i="4"/>
  <c r="H13" i="4"/>
  <c r="I13" i="4"/>
  <c r="J13" i="4"/>
  <c r="K13" i="4"/>
  <c r="K14" i="4" s="1"/>
  <c r="L13" i="4"/>
  <c r="H14" i="4"/>
  <c r="I14" i="4"/>
  <c r="J14" i="4"/>
  <c r="L14" i="4"/>
  <c r="H9" i="4"/>
  <c r="I9" i="4"/>
  <c r="J9" i="4"/>
  <c r="K9" i="4"/>
  <c r="L9" i="4"/>
  <c r="H10" i="4"/>
  <c r="I10" i="4"/>
  <c r="J10" i="4"/>
  <c r="K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H69" i="4"/>
  <c r="H68" i="4" s="1"/>
  <c r="I69" i="4"/>
  <c r="J69" i="4" s="1"/>
  <c r="K69" i="4" s="1"/>
  <c r="L69" i="4" s="1"/>
  <c r="K53" i="3"/>
  <c r="L53" i="3"/>
  <c r="H53" i="3"/>
  <c r="I54" i="3"/>
  <c r="J54" i="3" s="1"/>
  <c r="K54" i="3" s="1"/>
  <c r="L54" i="3" s="1"/>
  <c r="H54" i="3"/>
  <c r="L51" i="3"/>
  <c r="H51" i="3"/>
  <c r="I52" i="3"/>
  <c r="J52" i="3" s="1"/>
  <c r="K52" i="3" s="1"/>
  <c r="L52" i="3" s="1"/>
  <c r="H52" i="3"/>
  <c r="L43" i="3"/>
  <c r="H43" i="3"/>
  <c r="I44" i="3"/>
  <c r="J44" i="3" s="1"/>
  <c r="K44" i="3" s="1"/>
  <c r="L44" i="3" s="1"/>
  <c r="H44" i="3"/>
  <c r="H39" i="3"/>
  <c r="I40" i="3"/>
  <c r="I39" i="3" s="1"/>
  <c r="H40" i="3"/>
  <c r="H37" i="3"/>
  <c r="H38" i="3" s="1"/>
  <c r="H33" i="3"/>
  <c r="H34" i="3" s="1"/>
  <c r="I33" i="3"/>
  <c r="I37" i="3" s="1"/>
  <c r="J33" i="3"/>
  <c r="J37" i="3" s="1"/>
  <c r="K33" i="3"/>
  <c r="K34" i="3" s="1"/>
  <c r="I34" i="3"/>
  <c r="J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L27" i="3"/>
  <c r="H28" i="3"/>
  <c r="I28" i="3"/>
  <c r="J28" i="3"/>
  <c r="K28" i="3"/>
  <c r="L28" i="3"/>
  <c r="H25" i="3"/>
  <c r="I25" i="3"/>
  <c r="J25" i="3"/>
  <c r="K25" i="3"/>
  <c r="K26" i="3" s="1"/>
  <c r="L25" i="3"/>
  <c r="H26" i="3"/>
  <c r="I26" i="3"/>
  <c r="J26" i="3"/>
  <c r="L26" i="3"/>
  <c r="K23" i="3"/>
  <c r="L23" i="3"/>
  <c r="H23" i="3"/>
  <c r="I24" i="3"/>
  <c r="J24" i="3" s="1"/>
  <c r="K24" i="3" s="1"/>
  <c r="L24" i="3" s="1"/>
  <c r="H24" i="3"/>
  <c r="H21" i="3"/>
  <c r="I22" i="3"/>
  <c r="I21" i="3" s="1"/>
  <c r="H22" i="3"/>
  <c r="L19" i="3"/>
  <c r="H19" i="3"/>
  <c r="I20" i="3"/>
  <c r="J20" i="3" s="1"/>
  <c r="K20" i="3" s="1"/>
  <c r="L20" i="3" s="1"/>
  <c r="H20" i="3"/>
  <c r="L17" i="3"/>
  <c r="H17" i="3"/>
  <c r="I18" i="3"/>
  <c r="J18" i="3" s="1"/>
  <c r="K18" i="3" s="1"/>
  <c r="L18" i="3" s="1"/>
  <c r="H18" i="3"/>
  <c r="H15" i="3"/>
  <c r="I15" i="3"/>
  <c r="J15" i="3"/>
  <c r="K15" i="3"/>
  <c r="L15" i="3"/>
  <c r="H16" i="3"/>
  <c r="I16" i="3"/>
  <c r="J16" i="3"/>
  <c r="K16" i="3"/>
  <c r="L16" i="3"/>
  <c r="K13" i="3"/>
  <c r="L13" i="3"/>
  <c r="H13" i="3"/>
  <c r="I14" i="3"/>
  <c r="J14" i="3" s="1"/>
  <c r="K14" i="3" s="1"/>
  <c r="L14" i="3" s="1"/>
  <c r="H14" i="3"/>
  <c r="K11" i="3"/>
  <c r="L11" i="3"/>
  <c r="H11" i="3"/>
  <c r="I12" i="3"/>
  <c r="J12" i="3" s="1"/>
  <c r="K12" i="3" s="1"/>
  <c r="L12" i="3" s="1"/>
  <c r="H12" i="3"/>
  <c r="H9" i="3"/>
  <c r="I9" i="3"/>
  <c r="J9" i="3"/>
  <c r="K9" i="3"/>
  <c r="L9" i="3"/>
  <c r="H10" i="3"/>
  <c r="I10" i="3"/>
  <c r="J10" i="3"/>
  <c r="K10" i="3"/>
  <c r="L10" i="3"/>
  <c r="K7" i="3"/>
  <c r="L7" i="3"/>
  <c r="H7" i="3"/>
  <c r="I8" i="3"/>
  <c r="J8" i="3" s="1"/>
  <c r="K8" i="3" s="1"/>
  <c r="L8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C8" i="22" s="1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F7" i="5"/>
  <c r="F10" i="5" s="1"/>
  <c r="G7" i="5"/>
  <c r="D7" i="5"/>
  <c r="D10" i="5" s="1"/>
  <c r="D33" i="4"/>
  <c r="D6" i="41" s="1"/>
  <c r="E33" i="4"/>
  <c r="E10" i="32" s="1"/>
  <c r="F33" i="4"/>
  <c r="F14" i="33" s="1"/>
  <c r="F15" i="33" s="1"/>
  <c r="G33" i="4"/>
  <c r="D21" i="4"/>
  <c r="E21" i="4"/>
  <c r="E52" i="6" s="1"/>
  <c r="F21" i="4"/>
  <c r="G21" i="4"/>
  <c r="G6" i="17" s="1"/>
  <c r="D9" i="4"/>
  <c r="E9" i="4"/>
  <c r="F9" i="4"/>
  <c r="G9" i="4"/>
  <c r="C72" i="4"/>
  <c r="C6" i="18" s="1"/>
  <c r="C46" i="4"/>
  <c r="C54" i="4" s="1"/>
  <c r="C33" i="4"/>
  <c r="C142" i="6" s="1"/>
  <c r="C21" i="4"/>
  <c r="C6" i="17" s="1"/>
  <c r="C9" i="4"/>
  <c r="C13" i="4" s="1"/>
  <c r="C63" i="6" s="1"/>
  <c r="D25" i="3"/>
  <c r="D26" i="3" s="1"/>
  <c r="E25" i="3"/>
  <c r="E26" i="3" s="1"/>
  <c r="F25" i="3"/>
  <c r="F5" i="44" s="1"/>
  <c r="G25" i="3"/>
  <c r="G26" i="3" s="1"/>
  <c r="D9" i="3"/>
  <c r="D10" i="3" s="1"/>
  <c r="E9" i="3"/>
  <c r="E10" i="3" s="1"/>
  <c r="F9" i="3"/>
  <c r="F7" i="21" s="1"/>
  <c r="G9" i="3"/>
  <c r="G10" i="3" s="1"/>
  <c r="C25" i="3"/>
  <c r="C26" i="3" s="1"/>
  <c r="C9" i="3"/>
  <c r="I10" i="5" l="1"/>
  <c r="L10" i="5"/>
  <c r="H10" i="5"/>
  <c r="J38" i="3"/>
  <c r="J41" i="3"/>
  <c r="I41" i="3"/>
  <c r="I38" i="3"/>
  <c r="L33" i="3"/>
  <c r="K37" i="3"/>
  <c r="I44" i="4"/>
  <c r="H45" i="4"/>
  <c r="H46" i="4"/>
  <c r="H54" i="4" s="1"/>
  <c r="H55" i="4" s="1"/>
  <c r="H41" i="3"/>
  <c r="H37" i="4"/>
  <c r="H38" i="4" s="1"/>
  <c r="K68" i="4"/>
  <c r="J66" i="4"/>
  <c r="I66" i="4"/>
  <c r="K64" i="4"/>
  <c r="J64" i="4"/>
  <c r="I64" i="4"/>
  <c r="K62" i="4"/>
  <c r="J62" i="4"/>
  <c r="I62" i="4"/>
  <c r="K58" i="4"/>
  <c r="J58" i="4"/>
  <c r="I58" i="4"/>
  <c r="K56" i="4"/>
  <c r="J56" i="4"/>
  <c r="I56" i="4"/>
  <c r="K52" i="4"/>
  <c r="J52" i="4"/>
  <c r="I52" i="4"/>
  <c r="J50" i="4"/>
  <c r="I50" i="4"/>
  <c r="J48" i="4"/>
  <c r="I48" i="4"/>
  <c r="K42" i="4"/>
  <c r="J42" i="4"/>
  <c r="I42" i="4"/>
  <c r="K40" i="4"/>
  <c r="J40" i="4"/>
  <c r="I40" i="4"/>
  <c r="I46" i="4" s="1"/>
  <c r="J36" i="4"/>
  <c r="K31" i="4"/>
  <c r="J31" i="4"/>
  <c r="I31" i="4"/>
  <c r="J30" i="4"/>
  <c r="K27" i="4"/>
  <c r="J27" i="4"/>
  <c r="I27" i="4"/>
  <c r="K25" i="4"/>
  <c r="J25" i="4"/>
  <c r="I25" i="4"/>
  <c r="I33" i="4" s="1"/>
  <c r="J24" i="4"/>
  <c r="J22" i="4"/>
  <c r="J20" i="4"/>
  <c r="J17" i="4"/>
  <c r="I17" i="4"/>
  <c r="J15" i="4"/>
  <c r="I15" i="4"/>
  <c r="L68" i="4"/>
  <c r="K80" i="4"/>
  <c r="L80" i="4" s="1"/>
  <c r="J68" i="4"/>
  <c r="I68" i="4"/>
  <c r="J53" i="3"/>
  <c r="I53" i="3"/>
  <c r="K51" i="3"/>
  <c r="J51" i="3"/>
  <c r="I51" i="3"/>
  <c r="K43" i="3"/>
  <c r="J43" i="3"/>
  <c r="I43" i="3"/>
  <c r="J40" i="3"/>
  <c r="J23" i="3"/>
  <c r="I23" i="3"/>
  <c r="J22" i="3"/>
  <c r="K19" i="3"/>
  <c r="J19" i="3"/>
  <c r="I19" i="3"/>
  <c r="K17" i="3"/>
  <c r="J17" i="3"/>
  <c r="I17" i="3"/>
  <c r="J13" i="3"/>
  <c r="I13" i="3"/>
  <c r="J11" i="3"/>
  <c r="I11" i="3"/>
  <c r="J7" i="3"/>
  <c r="I7" i="3"/>
  <c r="I6" i="3"/>
  <c r="K5" i="3"/>
  <c r="E10" i="5"/>
  <c r="G10" i="5"/>
  <c r="F26" i="3"/>
  <c r="D105" i="6"/>
  <c r="D110" i="6"/>
  <c r="D115" i="6"/>
  <c r="G125" i="6"/>
  <c r="C125" i="6"/>
  <c r="F135" i="6"/>
  <c r="F140" i="6"/>
  <c r="E149" i="6"/>
  <c r="E8" i="33"/>
  <c r="D38" i="6"/>
  <c r="F10" i="3"/>
  <c r="E8" i="25"/>
  <c r="E8" i="26"/>
  <c r="E8" i="27"/>
  <c r="D8" i="29"/>
  <c r="G8" i="31"/>
  <c r="C8" i="31"/>
  <c r="G8" i="32"/>
  <c r="C8" i="32"/>
  <c r="C10" i="3"/>
  <c r="C15" i="3" s="1"/>
  <c r="C16" i="3" s="1"/>
  <c r="D8" i="12"/>
  <c r="C8" i="12"/>
  <c r="C38" i="6"/>
  <c r="G8" i="33"/>
  <c r="C8" i="33"/>
  <c r="G8" i="12"/>
  <c r="F38" i="6"/>
  <c r="F8" i="12"/>
  <c r="F8" i="33"/>
  <c r="F8" i="21"/>
  <c r="G38" i="6"/>
  <c r="F105" i="6"/>
  <c r="F110" i="6"/>
  <c r="F115" i="6"/>
  <c r="E125" i="6"/>
  <c r="D135" i="6"/>
  <c r="D140" i="6"/>
  <c r="G149" i="6"/>
  <c r="C149" i="6"/>
  <c r="G8" i="25"/>
  <c r="C8" i="25"/>
  <c r="G8" i="26"/>
  <c r="C8" i="26"/>
  <c r="G8" i="27"/>
  <c r="C8" i="27"/>
  <c r="F8" i="29"/>
  <c r="E8" i="31"/>
  <c r="E8" i="32"/>
  <c r="E7" i="21"/>
  <c r="E8" i="21" s="1"/>
  <c r="E84" i="6"/>
  <c r="E85" i="6" s="1"/>
  <c r="E15" i="3"/>
  <c r="E16" i="3" s="1"/>
  <c r="E5" i="44"/>
  <c r="E7" i="13"/>
  <c r="E8" i="13" s="1"/>
  <c r="E42" i="6"/>
  <c r="E43" i="6" s="1"/>
  <c r="F84" i="6"/>
  <c r="F85" i="6" s="1"/>
  <c r="F7" i="13"/>
  <c r="F8" i="13" s="1"/>
  <c r="C7" i="21"/>
  <c r="C8" i="21" s="1"/>
  <c r="C84" i="6"/>
  <c r="C85" i="6" s="1"/>
  <c r="F15" i="3"/>
  <c r="F16" i="3" s="1"/>
  <c r="D7" i="21"/>
  <c r="D8" i="21" s="1"/>
  <c r="D84" i="6"/>
  <c r="D85" i="6" s="1"/>
  <c r="D15" i="3"/>
  <c r="D16" i="3" s="1"/>
  <c r="D5" i="44"/>
  <c r="D7" i="13"/>
  <c r="D8" i="13" s="1"/>
  <c r="D42" i="6"/>
  <c r="D43" i="6" s="1"/>
  <c r="F42" i="6"/>
  <c r="F43" i="6" s="1"/>
  <c r="E8" i="12"/>
  <c r="C5" i="44"/>
  <c r="C7" i="13"/>
  <c r="C8" i="13" s="1"/>
  <c r="C42" i="6"/>
  <c r="C43" i="6" s="1"/>
  <c r="G7" i="21"/>
  <c r="G8" i="21" s="1"/>
  <c r="G84" i="6"/>
  <c r="G85" i="6" s="1"/>
  <c r="G15" i="3"/>
  <c r="G16" i="3" s="1"/>
  <c r="G5" i="44"/>
  <c r="G7" i="13"/>
  <c r="G8" i="13" s="1"/>
  <c r="G42" i="6"/>
  <c r="G43" i="6" s="1"/>
  <c r="E38" i="6"/>
  <c r="C90" i="6"/>
  <c r="G105" i="6"/>
  <c r="C105" i="6"/>
  <c r="G110" i="6"/>
  <c r="C110" i="6"/>
  <c r="G115" i="6"/>
  <c r="C115" i="6"/>
  <c r="F125" i="6"/>
  <c r="E135" i="6"/>
  <c r="E140" i="6"/>
  <c r="D149" i="6"/>
  <c r="D8" i="25"/>
  <c r="D8" i="26"/>
  <c r="D8" i="27"/>
  <c r="G8" i="29"/>
  <c r="C8" i="29"/>
  <c r="F8" i="31"/>
  <c r="F8" i="32"/>
  <c r="E105" i="6"/>
  <c r="E110" i="6"/>
  <c r="E115" i="6"/>
  <c r="D125" i="6"/>
  <c r="G135" i="6"/>
  <c r="C135" i="6"/>
  <c r="G140" i="6"/>
  <c r="C140" i="6"/>
  <c r="F149" i="6"/>
  <c r="F8" i="25"/>
  <c r="F8" i="26"/>
  <c r="F8" i="27"/>
  <c r="E8" i="29"/>
  <c r="D8" i="31"/>
  <c r="D8" i="32"/>
  <c r="D8" i="33"/>
  <c r="F35" i="47"/>
  <c r="F30" i="47"/>
  <c r="C35" i="47"/>
  <c r="C30" i="47"/>
  <c r="G35" i="47"/>
  <c r="G30" i="47"/>
  <c r="E35" i="47"/>
  <c r="E30" i="47"/>
  <c r="D30" i="47"/>
  <c r="D35" i="47"/>
  <c r="E11" i="32"/>
  <c r="D46" i="4"/>
  <c r="G35" i="5"/>
  <c r="E35" i="5"/>
  <c r="F35" i="5"/>
  <c r="D47" i="5"/>
  <c r="G47" i="5"/>
  <c r="E47" i="5"/>
  <c r="F47" i="5"/>
  <c r="F74" i="6"/>
  <c r="C16" i="6"/>
  <c r="F119" i="6"/>
  <c r="F120" i="6" s="1"/>
  <c r="E46" i="4"/>
  <c r="F44" i="4"/>
  <c r="C74" i="4"/>
  <c r="C71" i="4" s="1"/>
  <c r="C6" i="42"/>
  <c r="D68" i="6"/>
  <c r="D129" i="6"/>
  <c r="D130" i="6" s="1"/>
  <c r="D155" i="6"/>
  <c r="D156" i="6" s="1"/>
  <c r="C6" i="40"/>
  <c r="D6" i="40"/>
  <c r="D7" i="15"/>
  <c r="D6" i="17"/>
  <c r="C37" i="4"/>
  <c r="C5" i="34"/>
  <c r="C8" i="15"/>
  <c r="C7" i="17"/>
  <c r="C8" i="17" s="1"/>
  <c r="C6" i="9"/>
  <c r="C7" i="16"/>
  <c r="G14" i="33"/>
  <c r="G15" i="33" s="1"/>
  <c r="G7" i="30"/>
  <c r="G8" i="30" s="1"/>
  <c r="G7" i="18"/>
  <c r="G10" i="32"/>
  <c r="G11" i="32" s="1"/>
  <c r="G6" i="41"/>
  <c r="G10" i="33"/>
  <c r="G11" i="33" s="1"/>
  <c r="G7" i="28"/>
  <c r="G8" i="28" s="1"/>
  <c r="G8" i="19"/>
  <c r="G155" i="6"/>
  <c r="G156" i="6" s="1"/>
  <c r="C53" i="6"/>
  <c r="D52" i="6"/>
  <c r="G62" i="6"/>
  <c r="C62" i="6"/>
  <c r="C64" i="6" s="1"/>
  <c r="G68" i="6"/>
  <c r="C68" i="6"/>
  <c r="E74" i="6"/>
  <c r="C72" i="6"/>
  <c r="E119" i="6"/>
  <c r="E120" i="6" s="1"/>
  <c r="G129" i="6"/>
  <c r="G130" i="6" s="1"/>
  <c r="C129" i="6"/>
  <c r="C130" i="6" s="1"/>
  <c r="G151" i="6"/>
  <c r="G152" i="6" s="1"/>
  <c r="D6" i="36"/>
  <c r="D14" i="33"/>
  <c r="D15" i="33" s="1"/>
  <c r="D7" i="30"/>
  <c r="D8" i="30" s="1"/>
  <c r="D7" i="18"/>
  <c r="D151" i="6"/>
  <c r="D152" i="6" s="1"/>
  <c r="D10" i="32"/>
  <c r="D11" i="32" s="1"/>
  <c r="D62" i="6"/>
  <c r="D142" i="6"/>
  <c r="D143" i="6" s="1"/>
  <c r="C6" i="43"/>
  <c r="C6" i="19"/>
  <c r="C5" i="36"/>
  <c r="F6" i="40"/>
  <c r="F7" i="15"/>
  <c r="F10" i="32"/>
  <c r="F11" i="32" s="1"/>
  <c r="F6" i="41"/>
  <c r="F10" i="33"/>
  <c r="F11" i="33" s="1"/>
  <c r="F7" i="28"/>
  <c r="F8" i="28" s="1"/>
  <c r="F8" i="19"/>
  <c r="F155" i="6"/>
  <c r="F156" i="6" s="1"/>
  <c r="F6" i="36"/>
  <c r="F142" i="6"/>
  <c r="F143" i="6" s="1"/>
  <c r="G52" i="6"/>
  <c r="C52" i="6"/>
  <c r="F62" i="6"/>
  <c r="F68" i="6"/>
  <c r="C67" i="6"/>
  <c r="D74" i="6"/>
  <c r="D119" i="6"/>
  <c r="D120" i="6" s="1"/>
  <c r="F129" i="6"/>
  <c r="F130" i="6" s="1"/>
  <c r="C143" i="6"/>
  <c r="F151" i="6"/>
  <c r="F152" i="6" s="1"/>
  <c r="G7" i="15"/>
  <c r="F6" i="17"/>
  <c r="D8" i="19"/>
  <c r="F7" i="30"/>
  <c r="F8" i="30" s="1"/>
  <c r="D10" i="33"/>
  <c r="D11" i="33" s="1"/>
  <c r="G6" i="36"/>
  <c r="C14" i="33"/>
  <c r="C15" i="33" s="1"/>
  <c r="C7" i="30"/>
  <c r="C8" i="30" s="1"/>
  <c r="C7" i="18"/>
  <c r="C8" i="18" s="1"/>
  <c r="C10" i="32"/>
  <c r="C11" i="32" s="1"/>
  <c r="C6" i="41"/>
  <c r="C10" i="33"/>
  <c r="C11" i="33" s="1"/>
  <c r="C7" i="28"/>
  <c r="C8" i="28" s="1"/>
  <c r="C8" i="19"/>
  <c r="C155" i="6"/>
  <c r="C156" i="6" s="1"/>
  <c r="E6" i="40"/>
  <c r="E7" i="15"/>
  <c r="E6" i="17"/>
  <c r="E6" i="41"/>
  <c r="E10" i="33"/>
  <c r="E11" i="33" s="1"/>
  <c r="E7" i="28"/>
  <c r="E8" i="28" s="1"/>
  <c r="E8" i="19"/>
  <c r="E6" i="36"/>
  <c r="E142" i="6"/>
  <c r="E143" i="6" s="1"/>
  <c r="E14" i="33"/>
  <c r="E15" i="33" s="1"/>
  <c r="E7" i="30"/>
  <c r="E8" i="30" s="1"/>
  <c r="E7" i="18"/>
  <c r="E151" i="6"/>
  <c r="E152" i="6" s="1"/>
  <c r="D35" i="5"/>
  <c r="F52" i="6"/>
  <c r="C58" i="6"/>
  <c r="E62" i="6"/>
  <c r="E68" i="6"/>
  <c r="G74" i="6"/>
  <c r="C74" i="6"/>
  <c r="G119" i="6"/>
  <c r="G120" i="6" s="1"/>
  <c r="C119" i="6"/>
  <c r="C120" i="6" s="1"/>
  <c r="E129" i="6"/>
  <c r="E130" i="6" s="1"/>
  <c r="G142" i="6"/>
  <c r="G143" i="6" s="1"/>
  <c r="C151" i="6"/>
  <c r="C152" i="6" s="1"/>
  <c r="C153" i="6" s="1"/>
  <c r="E155" i="6"/>
  <c r="E156" i="6" s="1"/>
  <c r="C7" i="15"/>
  <c r="F7" i="18"/>
  <c r="D7" i="28"/>
  <c r="D8" i="28" s="1"/>
  <c r="C6" i="36"/>
  <c r="G6" i="40"/>
  <c r="E25" i="46"/>
  <c r="K38" i="3" l="1"/>
  <c r="K41" i="3"/>
  <c r="J45" i="3"/>
  <c r="J42" i="3"/>
  <c r="L34" i="3"/>
  <c r="L37" i="3"/>
  <c r="I42" i="3"/>
  <c r="I45" i="3"/>
  <c r="J44" i="4"/>
  <c r="J46" i="4" s="1"/>
  <c r="I45" i="4"/>
  <c r="H47" i="4"/>
  <c r="H42" i="3"/>
  <c r="H45" i="3"/>
  <c r="I34" i="4"/>
  <c r="I37" i="4"/>
  <c r="I38" i="4" s="1"/>
  <c r="I47" i="4"/>
  <c r="I54" i="4"/>
  <c r="I55" i="4" s="1"/>
  <c r="K36" i="4"/>
  <c r="J35" i="4"/>
  <c r="J29" i="4"/>
  <c r="K30" i="4"/>
  <c r="J23" i="4"/>
  <c r="K24" i="4"/>
  <c r="K22" i="4"/>
  <c r="J21" i="4"/>
  <c r="K20" i="4"/>
  <c r="J19" i="4"/>
  <c r="K40" i="3"/>
  <c r="J39" i="3"/>
  <c r="J21" i="3"/>
  <c r="K22" i="3"/>
  <c r="L5" i="3"/>
  <c r="L6" i="3" s="1"/>
  <c r="K6" i="3"/>
  <c r="G12" i="32"/>
  <c r="G153" i="6"/>
  <c r="F144" i="6"/>
  <c r="E12" i="33"/>
  <c r="E16" i="33" s="1"/>
  <c r="E153" i="6"/>
  <c r="E157" i="6" s="1"/>
  <c r="G144" i="6"/>
  <c r="D12" i="32"/>
  <c r="C12" i="32"/>
  <c r="C12" i="33"/>
  <c r="C16" i="33" s="1"/>
  <c r="C6" i="44"/>
  <c r="C6" i="39"/>
  <c r="C27" i="3"/>
  <c r="E144" i="6"/>
  <c r="E12" i="32"/>
  <c r="F12" i="32"/>
  <c r="G12" i="33"/>
  <c r="G16" i="33" s="1"/>
  <c r="F12" i="33"/>
  <c r="F16" i="33" s="1"/>
  <c r="D144" i="6"/>
  <c r="F153" i="6"/>
  <c r="F157" i="6" s="1"/>
  <c r="D153" i="6"/>
  <c r="D157" i="6" s="1"/>
  <c r="D12" i="33"/>
  <c r="D16" i="33" s="1"/>
  <c r="G6" i="44"/>
  <c r="G6" i="39"/>
  <c r="G27" i="3"/>
  <c r="D6" i="44"/>
  <c r="D27" i="3"/>
  <c r="D6" i="39"/>
  <c r="F6" i="44"/>
  <c r="F6" i="39"/>
  <c r="F27" i="3"/>
  <c r="E6" i="39"/>
  <c r="E6" i="44"/>
  <c r="E27" i="3"/>
  <c r="C144" i="6"/>
  <c r="C73" i="4"/>
  <c r="C67" i="4"/>
  <c r="C69" i="4"/>
  <c r="C63" i="4"/>
  <c r="C65" i="4"/>
  <c r="C59" i="4"/>
  <c r="C61" i="4"/>
  <c r="C55" i="4"/>
  <c r="C57" i="4"/>
  <c r="C51" i="4"/>
  <c r="C53" i="4"/>
  <c r="C47" i="4"/>
  <c r="C49" i="4"/>
  <c r="E54" i="4"/>
  <c r="D54" i="4"/>
  <c r="C43" i="4"/>
  <c r="C45" i="4"/>
  <c r="C36" i="4"/>
  <c r="C41" i="4"/>
  <c r="C38" i="4"/>
  <c r="C34" i="4"/>
  <c r="C30" i="4"/>
  <c r="C32" i="4"/>
  <c r="C26" i="4"/>
  <c r="C28" i="4"/>
  <c r="C22" i="4"/>
  <c r="C24" i="4"/>
  <c r="C18" i="4"/>
  <c r="C20" i="4"/>
  <c r="C14" i="4"/>
  <c r="C16" i="4"/>
  <c r="C10" i="4"/>
  <c r="C12" i="4"/>
  <c r="C6" i="4"/>
  <c r="C8" i="4"/>
  <c r="C69" i="6"/>
  <c r="G44" i="4"/>
  <c r="F46" i="4"/>
  <c r="C157" i="6"/>
  <c r="C75" i="6"/>
  <c r="G157" i="6"/>
  <c r="C9" i="19"/>
  <c r="C5" i="41"/>
  <c r="C6" i="34"/>
  <c r="C5" i="40"/>
  <c r="C5" i="42"/>
  <c r="C7" i="24"/>
  <c r="C8" i="24" s="1"/>
  <c r="C7" i="14"/>
  <c r="C99" i="6"/>
  <c r="C100" i="6" s="1"/>
  <c r="C47" i="6"/>
  <c r="C5" i="43"/>
  <c r="E26" i="46"/>
  <c r="E30" i="46" s="1"/>
  <c r="F25" i="46"/>
  <c r="J46" i="3" l="1"/>
  <c r="J49" i="3"/>
  <c r="J5" i="5"/>
  <c r="J27" i="5" s="1"/>
  <c r="J48" i="5" s="1"/>
  <c r="I49" i="3"/>
  <c r="I5" i="5"/>
  <c r="I27" i="5" s="1"/>
  <c r="I48" i="5" s="1"/>
  <c r="I46" i="3"/>
  <c r="L41" i="3"/>
  <c r="L38" i="3"/>
  <c r="K42" i="3"/>
  <c r="K45" i="3"/>
  <c r="H5" i="5"/>
  <c r="H27" i="5" s="1"/>
  <c r="H48" i="5" s="1"/>
  <c r="H70" i="4" s="1"/>
  <c r="H46" i="3"/>
  <c r="H49" i="3"/>
  <c r="K44" i="4"/>
  <c r="J45" i="4"/>
  <c r="J33" i="4"/>
  <c r="J34" i="4" s="1"/>
  <c r="J37" i="4"/>
  <c r="J38" i="4" s="1"/>
  <c r="J54" i="4"/>
  <c r="J55" i="4" s="1"/>
  <c r="J47" i="4"/>
  <c r="L36" i="4"/>
  <c r="L35" i="4" s="1"/>
  <c r="K35" i="4"/>
  <c r="L30" i="4"/>
  <c r="L29" i="4" s="1"/>
  <c r="K29" i="4"/>
  <c r="L24" i="4"/>
  <c r="L23" i="4" s="1"/>
  <c r="L33" i="4" s="1"/>
  <c r="L34" i="4" s="1"/>
  <c r="K23" i="4"/>
  <c r="K33" i="4" s="1"/>
  <c r="K34" i="4" s="1"/>
  <c r="L22" i="4"/>
  <c r="L21" i="4" s="1"/>
  <c r="K21" i="4"/>
  <c r="L20" i="4"/>
  <c r="L19" i="4" s="1"/>
  <c r="K19" i="4"/>
  <c r="L40" i="3"/>
  <c r="L39" i="3" s="1"/>
  <c r="K39" i="3"/>
  <c r="L22" i="3"/>
  <c r="L21" i="3" s="1"/>
  <c r="K21" i="3"/>
  <c r="D29" i="3"/>
  <c r="D30" i="3" s="1"/>
  <c r="D28" i="3"/>
  <c r="E29" i="3"/>
  <c r="E5" i="35" s="1"/>
  <c r="E28" i="3"/>
  <c r="F29" i="3"/>
  <c r="F30" i="3" s="1"/>
  <c r="F28" i="3"/>
  <c r="G29" i="3"/>
  <c r="G33" i="3" s="1"/>
  <c r="G34" i="3" s="1"/>
  <c r="G28" i="3"/>
  <c r="C29" i="3"/>
  <c r="C5" i="35" s="1"/>
  <c r="C28" i="3"/>
  <c r="F5" i="35"/>
  <c r="D5" i="35"/>
  <c r="D33" i="3"/>
  <c r="D34" i="3" s="1"/>
  <c r="D6" i="42"/>
  <c r="E6" i="42"/>
  <c r="F54" i="4"/>
  <c r="G46" i="4"/>
  <c r="F26" i="46"/>
  <c r="F30" i="46" s="1"/>
  <c r="G25" i="46"/>
  <c r="G26" i="46" s="1"/>
  <c r="G30" i="46" s="1"/>
  <c r="I55" i="3" l="1"/>
  <c r="I56" i="3" s="1"/>
  <c r="I50" i="3"/>
  <c r="L45" i="3"/>
  <c r="L42" i="3"/>
  <c r="K46" i="3"/>
  <c r="K5" i="5"/>
  <c r="K27" i="5" s="1"/>
  <c r="K48" i="5" s="1"/>
  <c r="K49" i="3"/>
  <c r="J55" i="3"/>
  <c r="J56" i="3" s="1"/>
  <c r="J50" i="3"/>
  <c r="H55" i="3"/>
  <c r="H56" i="3" s="1"/>
  <c r="H50" i="3"/>
  <c r="L44" i="4"/>
  <c r="K45" i="4"/>
  <c r="K46" i="4"/>
  <c r="I70" i="4"/>
  <c r="H71" i="4"/>
  <c r="H72" i="4"/>
  <c r="H73" i="4" s="1"/>
  <c r="K37" i="4"/>
  <c r="K38" i="4" s="1"/>
  <c r="L37" i="4"/>
  <c r="L38" i="4" s="1"/>
  <c r="F33" i="3"/>
  <c r="F34" i="3" s="1"/>
  <c r="G5" i="35"/>
  <c r="G30" i="3"/>
  <c r="E33" i="3"/>
  <c r="E34" i="3" s="1"/>
  <c r="E30" i="3"/>
  <c r="C33" i="3"/>
  <c r="C34" i="3" s="1"/>
  <c r="C30" i="3"/>
  <c r="D6" i="15"/>
  <c r="D9" i="15" s="1"/>
  <c r="D51" i="6"/>
  <c r="D54" i="6" s="1"/>
  <c r="D6" i="35"/>
  <c r="D6" i="20"/>
  <c r="D8" i="20" s="1"/>
  <c r="D78" i="6"/>
  <c r="D80" i="6" s="1"/>
  <c r="D37" i="3"/>
  <c r="F51" i="6"/>
  <c r="F54" i="6" s="1"/>
  <c r="F6" i="20"/>
  <c r="F8" i="20" s="1"/>
  <c r="F37" i="3"/>
  <c r="F6" i="35"/>
  <c r="F78" i="6"/>
  <c r="F80" i="6" s="1"/>
  <c r="G6" i="35"/>
  <c r="G6" i="20"/>
  <c r="G8" i="20" s="1"/>
  <c r="G78" i="6"/>
  <c r="G80" i="6" s="1"/>
  <c r="G6" i="15"/>
  <c r="G9" i="15" s="1"/>
  <c r="G37" i="3"/>
  <c r="G51" i="6"/>
  <c r="G54" i="6" s="1"/>
  <c r="F6" i="42"/>
  <c r="G54" i="4"/>
  <c r="K50" i="3" l="1"/>
  <c r="K55" i="3"/>
  <c r="K56" i="3" s="1"/>
  <c r="L5" i="5"/>
  <c r="L27" i="5" s="1"/>
  <c r="L48" i="5" s="1"/>
  <c r="L49" i="3"/>
  <c r="L46" i="3"/>
  <c r="L46" i="4"/>
  <c r="L45" i="4"/>
  <c r="J70" i="4"/>
  <c r="I71" i="4"/>
  <c r="I72" i="4"/>
  <c r="I73" i="4" s="1"/>
  <c r="K54" i="4"/>
  <c r="K55" i="4" s="1"/>
  <c r="K47" i="4"/>
  <c r="E6" i="15"/>
  <c r="E9" i="15" s="1"/>
  <c r="F6" i="15"/>
  <c r="F9" i="15" s="1"/>
  <c r="E78" i="6"/>
  <c r="E80" i="6" s="1"/>
  <c r="G41" i="3"/>
  <c r="G38" i="3"/>
  <c r="F41" i="3"/>
  <c r="F38" i="3"/>
  <c r="D41" i="3"/>
  <c r="D38" i="3"/>
  <c r="E6" i="20"/>
  <c r="E8" i="20" s="1"/>
  <c r="E6" i="35"/>
  <c r="E37" i="3"/>
  <c r="E51" i="6"/>
  <c r="E54" i="6" s="1"/>
  <c r="C6" i="35"/>
  <c r="C51" i="6"/>
  <c r="C54" i="6" s="1"/>
  <c r="C6" i="20"/>
  <c r="C8" i="20" s="1"/>
  <c r="C6" i="15"/>
  <c r="C9" i="15" s="1"/>
  <c r="C78" i="6"/>
  <c r="C80" i="6" s="1"/>
  <c r="C37" i="3"/>
  <c r="G6" i="42"/>
  <c r="L50" i="3" l="1"/>
  <c r="L55" i="3"/>
  <c r="L56" i="3" s="1"/>
  <c r="K70" i="4"/>
  <c r="J71" i="4"/>
  <c r="J72" i="4"/>
  <c r="J73" i="4" s="1"/>
  <c r="L47" i="4"/>
  <c r="L54" i="4"/>
  <c r="L55" i="4" s="1"/>
  <c r="D45" i="3"/>
  <c r="D46" i="3" s="1"/>
  <c r="D42" i="3"/>
  <c r="G45" i="3"/>
  <c r="G46" i="3" s="1"/>
  <c r="G42" i="3"/>
  <c r="F45" i="3"/>
  <c r="F46" i="3" s="1"/>
  <c r="F42" i="3"/>
  <c r="C41" i="3"/>
  <c r="C38" i="3"/>
  <c r="E41" i="3"/>
  <c r="E38" i="3"/>
  <c r="L70" i="4" l="1"/>
  <c r="K71" i="4"/>
  <c r="K72" i="4"/>
  <c r="K73" i="4" s="1"/>
  <c r="C45" i="3"/>
  <c r="C42" i="3"/>
  <c r="G49" i="3"/>
  <c r="G50" i="3" s="1"/>
  <c r="G5" i="5"/>
  <c r="G27" i="5" s="1"/>
  <c r="G48" i="5" s="1"/>
  <c r="E45" i="3"/>
  <c r="E5" i="5" s="1"/>
  <c r="E27" i="5" s="1"/>
  <c r="E48" i="5" s="1"/>
  <c r="E42" i="3"/>
  <c r="F49" i="3"/>
  <c r="F50" i="3" s="1"/>
  <c r="F5" i="5"/>
  <c r="F27" i="5" s="1"/>
  <c r="F48" i="5" s="1"/>
  <c r="D49" i="3"/>
  <c r="D50" i="3" s="1"/>
  <c r="D5" i="5"/>
  <c r="D27" i="5" s="1"/>
  <c r="D48" i="5" s="1"/>
  <c r="L71" i="4" l="1"/>
  <c r="L72" i="4"/>
  <c r="L73" i="4" s="1"/>
  <c r="E49" i="3"/>
  <c r="E50" i="3" s="1"/>
  <c r="E46" i="3"/>
  <c r="C49" i="3"/>
  <c r="C50" i="3" s="1"/>
  <c r="C46" i="3"/>
  <c r="F6" i="16"/>
  <c r="F6" i="45"/>
  <c r="F55" i="3"/>
  <c r="F5" i="45" s="1"/>
  <c r="F6" i="7"/>
  <c r="F24" i="6"/>
  <c r="F9" i="10"/>
  <c r="F57" i="6"/>
  <c r="F6" i="6"/>
  <c r="F46" i="6"/>
  <c r="F6" i="14"/>
  <c r="F61" i="3"/>
  <c r="G9" i="10"/>
  <c r="G46" i="6"/>
  <c r="G6" i="6"/>
  <c r="G57" i="6"/>
  <c r="G55" i="3"/>
  <c r="G5" i="45" s="1"/>
  <c r="G6" i="7"/>
  <c r="G6" i="45"/>
  <c r="G24" i="6"/>
  <c r="G6" i="14"/>
  <c r="G6" i="16"/>
  <c r="G61" i="3"/>
  <c r="D70" i="4"/>
  <c r="D38" i="46"/>
  <c r="D39" i="46" s="1"/>
  <c r="D40" i="46" s="1"/>
  <c r="D46" i="6"/>
  <c r="D57" i="6"/>
  <c r="D55" i="3"/>
  <c r="D6" i="14"/>
  <c r="D6" i="45"/>
  <c r="D6" i="6"/>
  <c r="D24" i="6"/>
  <c r="D9" i="10"/>
  <c r="D6" i="16"/>
  <c r="D61" i="3"/>
  <c r="D6" i="7"/>
  <c r="E46" i="6"/>
  <c r="E57" i="6"/>
  <c r="E55" i="3"/>
  <c r="E5" i="45" s="1"/>
  <c r="E6" i="14"/>
  <c r="E6" i="45"/>
  <c r="E24" i="6"/>
  <c r="E6" i="6"/>
  <c r="E9" i="10"/>
  <c r="E6" i="7"/>
  <c r="E6" i="16"/>
  <c r="E61" i="3"/>
  <c r="C24" i="6"/>
  <c r="C6" i="7"/>
  <c r="C46" i="6"/>
  <c r="C48" i="6" s="1"/>
  <c r="C55" i="3"/>
  <c r="C5" i="45" s="1"/>
  <c r="C6" i="16"/>
  <c r="C8" i="16" s="1"/>
  <c r="C61" i="3"/>
  <c r="C6" i="14"/>
  <c r="C8" i="14" s="1"/>
  <c r="C6" i="45"/>
  <c r="C9" i="10"/>
  <c r="C57" i="6" l="1"/>
  <c r="C59" i="6" s="1"/>
  <c r="C6" i="6"/>
  <c r="D5" i="45"/>
  <c r="D11" i="4"/>
  <c r="D8" i="46"/>
  <c r="E7" i="7"/>
  <c r="E8" i="7" s="1"/>
  <c r="E12" i="6"/>
  <c r="E13" i="6" s="1"/>
  <c r="E7" i="6"/>
  <c r="E8" i="6" s="1"/>
  <c r="E22" i="6"/>
  <c r="E23" i="6" s="1"/>
  <c r="E7" i="9"/>
  <c r="E7" i="10"/>
  <c r="E8" i="10" s="1"/>
  <c r="E31" i="6"/>
  <c r="E32" i="6" s="1"/>
  <c r="E33" i="6" s="1"/>
  <c r="E25" i="6"/>
  <c r="E26" i="6" s="1"/>
  <c r="E7" i="11"/>
  <c r="E8" i="11" s="1"/>
  <c r="E9" i="11" s="1"/>
  <c r="E7" i="8"/>
  <c r="E8" i="8" s="1"/>
  <c r="E17" i="6"/>
  <c r="E10" i="10"/>
  <c r="E11" i="10" s="1"/>
  <c r="D31" i="6"/>
  <c r="D32" i="6" s="1"/>
  <c r="D33" i="6" s="1"/>
  <c r="D12" i="6"/>
  <c r="D13" i="6" s="1"/>
  <c r="D25" i="6"/>
  <c r="D26" i="6" s="1"/>
  <c r="D7" i="9"/>
  <c r="D7" i="10"/>
  <c r="D8" i="10" s="1"/>
  <c r="D10" i="10"/>
  <c r="D11" i="10" s="1"/>
  <c r="D17" i="6"/>
  <c r="D7" i="8"/>
  <c r="D8" i="8" s="1"/>
  <c r="D7" i="11"/>
  <c r="D8" i="11" s="1"/>
  <c r="D9" i="11" s="1"/>
  <c r="D7" i="6"/>
  <c r="D8" i="6" s="1"/>
  <c r="D22" i="6"/>
  <c r="D23" i="6" s="1"/>
  <c r="D27" i="6" s="1"/>
  <c r="D7" i="7"/>
  <c r="D8" i="7" s="1"/>
  <c r="D93" i="6"/>
  <c r="D95" i="6" s="1"/>
  <c r="D6" i="22"/>
  <c r="D8" i="22" s="1"/>
  <c r="D6" i="23"/>
  <c r="D8" i="23" s="1"/>
  <c r="D88" i="6"/>
  <c r="D90" i="6" s="1"/>
  <c r="D72" i="4"/>
  <c r="F10" i="10"/>
  <c r="F11" i="10" s="1"/>
  <c r="F7" i="8"/>
  <c r="F8" i="8" s="1"/>
  <c r="F7" i="6"/>
  <c r="F8" i="6" s="1"/>
  <c r="F17" i="6"/>
  <c r="F7" i="9"/>
  <c r="F7" i="11"/>
  <c r="F8" i="11" s="1"/>
  <c r="F9" i="11" s="1"/>
  <c r="F31" i="6"/>
  <c r="F32" i="6" s="1"/>
  <c r="F33" i="6" s="1"/>
  <c r="F7" i="10"/>
  <c r="F8" i="10" s="1"/>
  <c r="F25" i="6"/>
  <c r="F26" i="6" s="1"/>
  <c r="F7" i="7"/>
  <c r="F8" i="7" s="1"/>
  <c r="F22" i="6"/>
  <c r="F23" i="6" s="1"/>
  <c r="F12" i="6"/>
  <c r="F13" i="6" s="1"/>
  <c r="G10" i="10"/>
  <c r="G11" i="10" s="1"/>
  <c r="G25" i="6"/>
  <c r="G26" i="6" s="1"/>
  <c r="G22" i="6"/>
  <c r="G23" i="6" s="1"/>
  <c r="G7" i="8"/>
  <c r="G8" i="8" s="1"/>
  <c r="G7" i="9"/>
  <c r="G7" i="6"/>
  <c r="G8" i="6" s="1"/>
  <c r="G12" i="6"/>
  <c r="G13" i="6" s="1"/>
  <c r="G7" i="10"/>
  <c r="G8" i="10" s="1"/>
  <c r="G7" i="7"/>
  <c r="G8" i="7" s="1"/>
  <c r="G17" i="6"/>
  <c r="G31" i="6"/>
  <c r="G32" i="6" s="1"/>
  <c r="G33" i="6" s="1"/>
  <c r="G7" i="11"/>
  <c r="G8" i="11" s="1"/>
  <c r="G9" i="11" s="1"/>
  <c r="E38" i="46"/>
  <c r="C22" i="6"/>
  <c r="C23" i="6" s="1"/>
  <c r="C12" i="6"/>
  <c r="C13" i="6" s="1"/>
  <c r="C17" i="6"/>
  <c r="C18" i="6" s="1"/>
  <c r="C10" i="10"/>
  <c r="C11" i="10" s="1"/>
  <c r="C7" i="9"/>
  <c r="C8" i="9" s="1"/>
  <c r="C7" i="11"/>
  <c r="C8" i="11" s="1"/>
  <c r="C9" i="11" s="1"/>
  <c r="C7" i="7"/>
  <c r="C8" i="7" s="1"/>
  <c r="C7" i="6"/>
  <c r="C8" i="6" s="1"/>
  <c r="C7" i="8"/>
  <c r="C8" i="8" s="1"/>
  <c r="C25" i="6"/>
  <c r="C26" i="6" s="1"/>
  <c r="C7" i="10"/>
  <c r="C8" i="10" s="1"/>
  <c r="C31" i="6"/>
  <c r="C32" i="6" s="1"/>
  <c r="C33" i="6" s="1"/>
  <c r="E70" i="4"/>
  <c r="C12" i="10" l="1"/>
  <c r="E12" i="10"/>
  <c r="F12" i="10"/>
  <c r="F27" i="6"/>
  <c r="E6" i="23"/>
  <c r="E8" i="23" s="1"/>
  <c r="E6" i="22"/>
  <c r="E8" i="22" s="1"/>
  <c r="E93" i="6"/>
  <c r="E95" i="6" s="1"/>
  <c r="E72" i="4"/>
  <c r="E88" i="6"/>
  <c r="E90" i="6" s="1"/>
  <c r="F70" i="4"/>
  <c r="C27" i="6"/>
  <c r="E27" i="6"/>
  <c r="E39" i="46"/>
  <c r="E40" i="46" s="1"/>
  <c r="F38" i="46"/>
  <c r="E8" i="46"/>
  <c r="D9" i="46"/>
  <c r="D21" i="46" s="1"/>
  <c r="G12" i="10"/>
  <c r="D13" i="4"/>
  <c r="E11" i="4"/>
  <c r="G27" i="6"/>
  <c r="D6" i="19"/>
  <c r="D9" i="19" s="1"/>
  <c r="D6" i="43"/>
  <c r="D67" i="6"/>
  <c r="D69" i="6" s="1"/>
  <c r="D74" i="4"/>
  <c r="D5" i="36"/>
  <c r="D6" i="18"/>
  <c r="D8" i="18" s="1"/>
  <c r="D72" i="6"/>
  <c r="D75" i="6" s="1"/>
  <c r="D12" i="10"/>
  <c r="D12" i="4" l="1"/>
  <c r="D73" i="4"/>
  <c r="D71" i="4"/>
  <c r="D53" i="4"/>
  <c r="D20" i="4"/>
  <c r="D57" i="4"/>
  <c r="D6" i="4"/>
  <c r="D32" i="4"/>
  <c r="D7" i="14"/>
  <c r="D8" i="14" s="1"/>
  <c r="D24" i="4"/>
  <c r="D61" i="4"/>
  <c r="D10" i="4"/>
  <c r="D75" i="4"/>
  <c r="D45" i="4"/>
  <c r="D7" i="24"/>
  <c r="D8" i="24" s="1"/>
  <c r="D47" i="4"/>
  <c r="D5" i="43"/>
  <c r="D16" i="4"/>
  <c r="D69" i="4"/>
  <c r="D8" i="4"/>
  <c r="D51" i="4"/>
  <c r="D63" i="4"/>
  <c r="D36" i="4"/>
  <c r="D67" i="4"/>
  <c r="D30" i="4"/>
  <c r="D99" i="6"/>
  <c r="D100" i="6" s="1"/>
  <c r="D47" i="6"/>
  <c r="D48" i="6" s="1"/>
  <c r="D59" i="4"/>
  <c r="D5" i="42"/>
  <c r="D43" i="4"/>
  <c r="D55" i="4"/>
  <c r="D28" i="4"/>
  <c r="D65" i="4"/>
  <c r="D22" i="4"/>
  <c r="D49" i="4"/>
  <c r="D26" i="4"/>
  <c r="D41" i="4"/>
  <c r="D18" i="4"/>
  <c r="D34" i="4"/>
  <c r="E5" i="36"/>
  <c r="E6" i="19"/>
  <c r="E9" i="19" s="1"/>
  <c r="E72" i="6"/>
  <c r="E75" i="6" s="1"/>
  <c r="E6" i="43"/>
  <c r="E67" i="6"/>
  <c r="E69" i="6" s="1"/>
  <c r="E6" i="18"/>
  <c r="E8" i="18" s="1"/>
  <c r="E74" i="4"/>
  <c r="F11" i="4"/>
  <c r="E13" i="4"/>
  <c r="E12" i="4"/>
  <c r="F8" i="46"/>
  <c r="E9" i="46"/>
  <c r="E21" i="46" s="1"/>
  <c r="D6" i="9"/>
  <c r="D8" i="9" s="1"/>
  <c r="D8" i="15"/>
  <c r="D58" i="6"/>
  <c r="D59" i="6" s="1"/>
  <c r="D16" i="6"/>
  <c r="D18" i="6" s="1"/>
  <c r="D7" i="17"/>
  <c r="D8" i="17" s="1"/>
  <c r="D53" i="6"/>
  <c r="D5" i="34"/>
  <c r="D63" i="6"/>
  <c r="D64" i="6" s="1"/>
  <c r="D37" i="4"/>
  <c r="D7" i="16"/>
  <c r="D8" i="16" s="1"/>
  <c r="D14" i="4"/>
  <c r="G38" i="46"/>
  <c r="G39" i="46" s="1"/>
  <c r="G40" i="46" s="1"/>
  <c r="F39" i="46"/>
  <c r="F40" i="46" s="1"/>
  <c r="F93" i="6"/>
  <c r="F95" i="6" s="1"/>
  <c r="F88" i="6"/>
  <c r="F90" i="6" s="1"/>
  <c r="G70" i="4"/>
  <c r="F72" i="4"/>
  <c r="F6" i="22"/>
  <c r="F8" i="22" s="1"/>
  <c r="F6" i="23"/>
  <c r="F8" i="23" s="1"/>
  <c r="F6" i="19" l="1"/>
  <c r="F9" i="19" s="1"/>
  <c r="F67" i="6"/>
  <c r="F69" i="6" s="1"/>
  <c r="F6" i="43"/>
  <c r="F5" i="36"/>
  <c r="F6" i="18"/>
  <c r="F8" i="18" s="1"/>
  <c r="F72" i="6"/>
  <c r="F75" i="6" s="1"/>
  <c r="F74" i="4"/>
  <c r="D5" i="41"/>
  <c r="D6" i="34"/>
  <c r="D5" i="40"/>
  <c r="D38" i="4"/>
  <c r="E53" i="6"/>
  <c r="E37" i="4"/>
  <c r="E14" i="4"/>
  <c r="E7" i="16"/>
  <c r="E8" i="16" s="1"/>
  <c r="E58" i="6"/>
  <c r="E59" i="6" s="1"/>
  <c r="E8" i="15"/>
  <c r="E7" i="17"/>
  <c r="E8" i="17" s="1"/>
  <c r="E6" i="9"/>
  <c r="E8" i="9" s="1"/>
  <c r="E63" i="6"/>
  <c r="E64" i="6" s="1"/>
  <c r="E5" i="34"/>
  <c r="E16" i="6"/>
  <c r="E18" i="6" s="1"/>
  <c r="G93" i="6"/>
  <c r="G95" i="6" s="1"/>
  <c r="G6" i="23"/>
  <c r="G8" i="23" s="1"/>
  <c r="G88" i="6"/>
  <c r="G90" i="6" s="1"/>
  <c r="G72" i="4"/>
  <c r="G6" i="22"/>
  <c r="G8" i="22" s="1"/>
  <c r="F12" i="4"/>
  <c r="F13" i="4"/>
  <c r="G11" i="4"/>
  <c r="G8" i="46"/>
  <c r="G9" i="46" s="1"/>
  <c r="G21" i="46" s="1"/>
  <c r="F9" i="46"/>
  <c r="F21" i="46" s="1"/>
  <c r="E73" i="4"/>
  <c r="E49" i="4"/>
  <c r="E43" i="4"/>
  <c r="E63" i="4"/>
  <c r="E75" i="4"/>
  <c r="E41" i="4"/>
  <c r="E8" i="4"/>
  <c r="E67" i="4"/>
  <c r="E34" i="4"/>
  <c r="E55" i="4"/>
  <c r="E65" i="4"/>
  <c r="E32" i="4"/>
  <c r="E5" i="42"/>
  <c r="E59" i="4"/>
  <c r="E26" i="4"/>
  <c r="E53" i="4"/>
  <c r="E20" i="4"/>
  <c r="E47" i="4"/>
  <c r="E5" i="43"/>
  <c r="E99" i="6"/>
  <c r="E100" i="6" s="1"/>
  <c r="E71" i="4"/>
  <c r="E7" i="24"/>
  <c r="E8" i="24" s="1"/>
  <c r="E69" i="4"/>
  <c r="E22" i="4"/>
  <c r="E28" i="4"/>
  <c r="E57" i="4"/>
  <c r="E24" i="4"/>
  <c r="E18" i="4"/>
  <c r="E51" i="4"/>
  <c r="E10" i="4"/>
  <c r="E45" i="4"/>
  <c r="E7" i="14"/>
  <c r="E8" i="14" s="1"/>
  <c r="E30" i="4"/>
  <c r="E16" i="4"/>
  <c r="E36" i="4"/>
  <c r="E47" i="6"/>
  <c r="E48" i="6" s="1"/>
  <c r="E61" i="4"/>
  <c r="E6" i="4"/>
  <c r="F73" i="4" l="1"/>
  <c r="F59" i="4"/>
  <c r="F26" i="4"/>
  <c r="F53" i="4"/>
  <c r="F20" i="4"/>
  <c r="F63" i="4"/>
  <c r="F18" i="4"/>
  <c r="F8" i="4"/>
  <c r="F71" i="4"/>
  <c r="F51" i="4"/>
  <c r="F7" i="24"/>
  <c r="F8" i="24" s="1"/>
  <c r="F45" i="4"/>
  <c r="F7" i="14"/>
  <c r="F8" i="14" s="1"/>
  <c r="F55" i="4"/>
  <c r="F6" i="4"/>
  <c r="F65" i="4"/>
  <c r="F32" i="4"/>
  <c r="F99" i="6"/>
  <c r="F100" i="6" s="1"/>
  <c r="F75" i="4"/>
  <c r="F43" i="4"/>
  <c r="F69" i="4"/>
  <c r="F36" i="4"/>
  <c r="F47" i="6"/>
  <c r="F48" i="6" s="1"/>
  <c r="F47" i="4"/>
  <c r="F5" i="43"/>
  <c r="F57" i="4"/>
  <c r="F24" i="4"/>
  <c r="F67" i="4"/>
  <c r="F34" i="4"/>
  <c r="F61" i="4"/>
  <c r="F28" i="4"/>
  <c r="F10" i="4"/>
  <c r="F30" i="4"/>
  <c r="F5" i="42"/>
  <c r="F49" i="4"/>
  <c r="F16" i="4"/>
  <c r="F22" i="4"/>
  <c r="F41" i="4"/>
  <c r="G13" i="4"/>
  <c r="G74" i="4"/>
  <c r="G12" i="4" s="1"/>
  <c r="G5" i="36"/>
  <c r="G67" i="6"/>
  <c r="G69" i="6" s="1"/>
  <c r="G6" i="18"/>
  <c r="G8" i="18" s="1"/>
  <c r="G6" i="19"/>
  <c r="G9" i="19" s="1"/>
  <c r="G6" i="43"/>
  <c r="G72" i="6"/>
  <c r="G75" i="6" s="1"/>
  <c r="F7" i="16"/>
  <c r="F8" i="16" s="1"/>
  <c r="F63" i="6"/>
  <c r="F64" i="6" s="1"/>
  <c r="F5" i="34"/>
  <c r="F6" i="9"/>
  <c r="F8" i="9" s="1"/>
  <c r="F37" i="4"/>
  <c r="F7" i="17"/>
  <c r="F8" i="17" s="1"/>
  <c r="F8" i="15"/>
  <c r="F16" i="6"/>
  <c r="F18" i="6" s="1"/>
  <c r="F14" i="4"/>
  <c r="F53" i="6"/>
  <c r="F58" i="6"/>
  <c r="F59" i="6" s="1"/>
  <c r="E5" i="40"/>
  <c r="E5" i="41"/>
  <c r="E38" i="4"/>
  <c r="E6" i="34"/>
  <c r="F5" i="40" l="1"/>
  <c r="F38" i="4"/>
  <c r="F5" i="41"/>
  <c r="F6" i="34"/>
  <c r="G63" i="6"/>
  <c r="G64" i="6" s="1"/>
  <c r="G53" i="6"/>
  <c r="G14" i="4"/>
  <c r="G5" i="34"/>
  <c r="G7" i="16"/>
  <c r="G8" i="16" s="1"/>
  <c r="G8" i="15"/>
  <c r="G16" i="6"/>
  <c r="G18" i="6" s="1"/>
  <c r="G37" i="4"/>
  <c r="G58" i="6"/>
  <c r="G59" i="6" s="1"/>
  <c r="G7" i="17"/>
  <c r="G8" i="17" s="1"/>
  <c r="G6" i="9"/>
  <c r="G8" i="9" s="1"/>
  <c r="G73" i="4"/>
  <c r="G75" i="4"/>
  <c r="G30" i="4"/>
  <c r="G47" i="6"/>
  <c r="G48" i="6" s="1"/>
  <c r="G41" i="4"/>
  <c r="G8" i="4"/>
  <c r="G59" i="4"/>
  <c r="G26" i="4"/>
  <c r="G61" i="4"/>
  <c r="G28" i="4"/>
  <c r="G63" i="4"/>
  <c r="G22" i="4"/>
  <c r="G65" i="4"/>
  <c r="G32" i="4"/>
  <c r="G99" i="6"/>
  <c r="G100" i="6" s="1"/>
  <c r="G51" i="4"/>
  <c r="G18" i="4"/>
  <c r="G53" i="4"/>
  <c r="G20" i="4"/>
  <c r="G55" i="4"/>
  <c r="G6" i="4"/>
  <c r="G57" i="4"/>
  <c r="G24" i="4"/>
  <c r="G5" i="42"/>
  <c r="G43" i="4"/>
  <c r="G10" i="4"/>
  <c r="G45" i="4"/>
  <c r="G7" i="24"/>
  <c r="G8" i="24" s="1"/>
  <c r="G71" i="4"/>
  <c r="G47" i="4"/>
  <c r="G7" i="14"/>
  <c r="G8" i="14" s="1"/>
  <c r="G49" i="4"/>
  <c r="G16" i="4"/>
  <c r="G67" i="4"/>
  <c r="G34" i="4"/>
  <c r="G69" i="4"/>
  <c r="G36" i="4"/>
  <c r="G5" i="43"/>
  <c r="G5" i="40" l="1"/>
  <c r="G38" i="4"/>
  <c r="G6" i="34"/>
  <c r="G5" i="41"/>
</calcChain>
</file>

<file path=xl/sharedStrings.xml><?xml version="1.0" encoding="utf-8"?>
<sst xmlns="http://schemas.openxmlformats.org/spreadsheetml/2006/main" count="626" uniqueCount="270">
  <si>
    <t>Balance Sheet of Bajaj Finance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</si>
  <si>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</si>
  <si>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</si>
  <si>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</si>
  <si>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</si>
  <si>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</si>
  <si>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</si>
  <si>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</si>
  <si>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</si>
  <si>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</si>
  <si>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</si>
  <si>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</si>
  <si>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</si>
  <si>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</si>
  <si>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</si>
  <si>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</si>
  <si>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</si>
  <si>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</si>
  <si>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</si>
  <si>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</si>
  <si>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</si>
  <si>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</si>
  <si>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</si>
  <si>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</si>
  <si>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</si>
  <si>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</si>
  <si>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</si>
  <si>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</si>
  <si>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</si>
  <si>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</si>
  <si>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</si>
  <si>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</si>
  <si>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</si>
  <si>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</si>
  <si>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</si>
  <si>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</si>
  <si>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</si>
  <si>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</si>
  <si>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</si>
  <si>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</si>
  <si>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</si>
  <si>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</si>
  <si>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</si>
  <si>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</si>
  <si>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</si>
  <si>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</si>
  <si>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</si>
  <si>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</si>
  <si>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</si>
  <si>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</si>
  <si>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</si>
  <si>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</si>
  <si>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</si>
  <si>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</si>
  <si>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</si>
  <si>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Bajaj Finance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</si>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</sst>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1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45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6C4-4576-B86E-396F054F86D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6C4-4576-B86E-396F054F86D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6C4-4576-B86E-396F054F86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48</c:v>
                </c:pt>
                <c:pt idx="1">
                  <c:v>69</c:v>
                </c:pt>
                <c:pt idx="2">
                  <c:v>90</c:v>
                </c:pt>
                <c:pt idx="3">
                  <c:v>74</c:v>
                </c:pt>
                <c:pt idx="4">
                  <c:v>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C4-4576-B86E-396F054F8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3048"/>
        <c:axId val="449430592"/>
      </c:lineChart>
      <c:catAx>
        <c:axId val="449423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592"/>
        <c:crosses val="autoZero"/>
        <c:auto val="0"/>
        <c:lblAlgn val="ctr"/>
        <c:lblOffset val="100"/>
        <c:noMultiLvlLbl val="0"/>
      </c:catAx>
      <c:valAx>
        <c:axId val="449430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3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480-43E3-9474-DCF245DF94D4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480-43E3-9474-DCF245DF94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0.08</c:v>
                </c:pt>
                <c:pt idx="1">
                  <c:v>0.12</c:v>
                </c:pt>
                <c:pt idx="2">
                  <c:v>0.15</c:v>
                </c:pt>
                <c:pt idx="3">
                  <c:v>0.13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80-43E3-9474-DCF245DF9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000"/>
        <c:axId val="449423376"/>
      </c:lineChart>
      <c:catAx>
        <c:axId val="44942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376"/>
        <c:crosses val="autoZero"/>
        <c:auto val="0"/>
        <c:lblAlgn val="ctr"/>
        <c:lblOffset val="100"/>
        <c:noMultiLvlLbl val="0"/>
      </c:catAx>
      <c:valAx>
        <c:axId val="44942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D4-45B0-9A2C-8A0A91F170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3.42</c:v>
                </c:pt>
                <c:pt idx="1">
                  <c:v>4.6900000000000004</c:v>
                </c:pt>
                <c:pt idx="2">
                  <c:v>4.3899999999999997</c:v>
                </c:pt>
                <c:pt idx="3">
                  <c:v>3.31</c:v>
                </c:pt>
                <c:pt idx="4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DD4-45B0-9A2C-8A0A91F17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7968"/>
        <c:axId val="449425672"/>
      </c:lineChart>
      <c:catAx>
        <c:axId val="4494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672"/>
        <c:crosses val="autoZero"/>
        <c:auto val="0"/>
        <c:lblAlgn val="ctr"/>
        <c:lblOffset val="100"/>
        <c:noMultiLvlLbl val="0"/>
      </c:catAx>
      <c:valAx>
        <c:axId val="449425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7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CD-45BF-AF88-8ACB018CADF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6CD-45BF-AF88-8ACB018CAD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6.11</c:v>
                </c:pt>
                <c:pt idx="1">
                  <c:v>39.71</c:v>
                </c:pt>
                <c:pt idx="2">
                  <c:v>63.45</c:v>
                </c:pt>
                <c:pt idx="3">
                  <c:v>52.47</c:v>
                </c:pt>
                <c:pt idx="4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D-45BF-AF88-8ACB018CA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2112"/>
        <c:axId val="559954408"/>
      </c:lineChart>
      <c:catAx>
        <c:axId val="55995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4408"/>
        <c:crosses val="autoZero"/>
        <c:auto val="0"/>
        <c:lblAlgn val="ctr"/>
        <c:lblOffset val="100"/>
        <c:noMultiLvlLbl val="0"/>
      </c:catAx>
      <c:valAx>
        <c:axId val="559954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21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3F1-42D6-87AF-A2E44DDD605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3F1-42D6-87AF-A2E44DDD6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6.11</c:v>
                </c:pt>
                <c:pt idx="1">
                  <c:v>39.71</c:v>
                </c:pt>
                <c:pt idx="2">
                  <c:v>63.45</c:v>
                </c:pt>
                <c:pt idx="3">
                  <c:v>52.47</c:v>
                </c:pt>
                <c:pt idx="4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F1-42D6-87AF-A2E44DDD6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1456"/>
        <c:axId val="559957360"/>
      </c:lineChart>
      <c:catAx>
        <c:axId val="5599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7360"/>
        <c:crosses val="autoZero"/>
        <c:auto val="0"/>
        <c:lblAlgn val="ctr"/>
        <c:lblOffset val="100"/>
        <c:noMultiLvlLbl val="0"/>
      </c:catAx>
      <c:valAx>
        <c:axId val="559957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14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89C-46E3-A0CE-8090475C085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89C-46E3-A0CE-8090475C085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89C-46E3-A0CE-8090475C085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89C-46E3-A0CE-8090475C08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1.87</c:v>
                </c:pt>
                <c:pt idx="1">
                  <c:v>2.15</c:v>
                </c:pt>
                <c:pt idx="2">
                  <c:v>2.17</c:v>
                </c:pt>
                <c:pt idx="3">
                  <c:v>2.25</c:v>
                </c:pt>
                <c:pt idx="4">
                  <c:v>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9C-46E3-A0CE-8090475C0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1784"/>
        <c:axId val="559952440"/>
      </c:lineChart>
      <c:catAx>
        <c:axId val="55995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2440"/>
        <c:crosses val="autoZero"/>
        <c:auto val="0"/>
        <c:lblAlgn val="ctr"/>
        <c:lblOffset val="100"/>
        <c:noMultiLvlLbl val="0"/>
      </c:catAx>
      <c:valAx>
        <c:axId val="559952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1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058-4A42-880D-4B113361B4B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058-4A42-880D-4B113361B4B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058-4A42-880D-4B113361B4B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058-4A42-880D-4B113361B4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58-4A42-880D-4B113361B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976"/>
        <c:axId val="364047352"/>
      </c:lineChart>
      <c:catAx>
        <c:axId val="36404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7352"/>
        <c:crosses val="autoZero"/>
        <c:auto val="0"/>
        <c:lblAlgn val="ctr"/>
        <c:lblOffset val="100"/>
        <c:noMultiLvlLbl val="0"/>
      </c:catAx>
      <c:valAx>
        <c:axId val="364047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680-4B69-AA33-827C87CCB65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680-4B69-AA33-827C87CCB65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680-4B69-AA33-827C87CCB65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680-4B69-AA33-827C87CCB6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80-4B69-AA33-827C87CCB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5920"/>
        <c:axId val="104317432"/>
      </c:lineChart>
      <c:catAx>
        <c:axId val="44076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7432"/>
        <c:crosses val="autoZero"/>
        <c:auto val="0"/>
        <c:lblAlgn val="ctr"/>
        <c:lblOffset val="100"/>
        <c:noMultiLvlLbl val="0"/>
      </c:catAx>
      <c:valAx>
        <c:axId val="104317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59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E3-4267-9CD7-A714ECC2A9D6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E3-4267-9CD7-A714ECC2A9D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2E3-4267-9CD7-A714ECC2A9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339.46</c:v>
                </c:pt>
                <c:pt idx="1">
                  <c:v>2473.88</c:v>
                </c:pt>
                <c:pt idx="2">
                  <c:v>-924.77</c:v>
                </c:pt>
                <c:pt idx="3">
                  <c:v>5873.32</c:v>
                </c:pt>
                <c:pt idx="4">
                  <c:v>11863.44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E3-4267-9CD7-A714ECC2A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0640"/>
        <c:axId val="559959656"/>
      </c:lineChart>
      <c:catAx>
        <c:axId val="55996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9656"/>
        <c:crosses val="autoZero"/>
        <c:auto val="0"/>
        <c:lblAlgn val="ctr"/>
        <c:lblOffset val="100"/>
        <c:noMultiLvlLbl val="0"/>
      </c:catAx>
      <c:valAx>
        <c:axId val="559959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60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25F-4DD6-9349-FDC1EDD619E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25F-4DD6-9349-FDC1EDD619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0.14000000000000001</c:v>
                </c:pt>
                <c:pt idx="1">
                  <c:v>0.15</c:v>
                </c:pt>
                <c:pt idx="2">
                  <c:v>0.16</c:v>
                </c:pt>
                <c:pt idx="3">
                  <c:v>0.15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5F-4DD6-9349-FDC1EDD6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1296"/>
        <c:axId val="559962936"/>
      </c:lineChart>
      <c:catAx>
        <c:axId val="55996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2936"/>
        <c:crosses val="autoZero"/>
        <c:auto val="0"/>
        <c:lblAlgn val="ctr"/>
        <c:lblOffset val="100"/>
        <c:noMultiLvlLbl val="0"/>
      </c:catAx>
      <c:valAx>
        <c:axId val="55996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61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EA-48DF-995F-7F0884253112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3EA-48DF-995F-7F088425311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3EA-48DF-995F-7F088425311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3EA-48DF-995F-7F08842531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EA-48DF-995F-7F0884253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385424"/>
        <c:axId val="554379520"/>
      </c:lineChart>
      <c:catAx>
        <c:axId val="55438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79520"/>
        <c:crosses val="autoZero"/>
        <c:auto val="0"/>
        <c:lblAlgn val="ctr"/>
        <c:lblOffset val="100"/>
        <c:noMultiLvlLbl val="0"/>
      </c:catAx>
      <c:valAx>
        <c:axId val="554379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385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99-4BCF-9BBD-B91E0395C89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199-4BCF-9BBD-B91E0395C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3.63</c:v>
                </c:pt>
                <c:pt idx="1">
                  <c:v>2.95</c:v>
                </c:pt>
                <c:pt idx="2">
                  <c:v>9.4499999999999993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99-4BCF-9BBD-B91E0395C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384"/>
        <c:axId val="364048336"/>
      </c:lineChart>
      <c:catAx>
        <c:axId val="36404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336"/>
        <c:crosses val="autoZero"/>
        <c:auto val="0"/>
        <c:lblAlgn val="ctr"/>
        <c:lblOffset val="100"/>
        <c:noMultiLvlLbl val="0"/>
      </c:catAx>
      <c:valAx>
        <c:axId val="364048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5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3DD-4B6A-8261-CCB59B36854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3DD-4B6A-8261-CCB59B36854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3DD-4B6A-8261-CCB59B3685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0.36</c:v>
                </c:pt>
                <c:pt idx="1">
                  <c:v>22.75</c:v>
                </c:pt>
                <c:pt idx="2">
                  <c:v>27.53</c:v>
                </c:pt>
                <c:pt idx="3">
                  <c:v>23.94</c:v>
                </c:pt>
                <c:pt idx="4">
                  <c:v>24.28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DD-4B6A-8261-CCB59B368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712"/>
        <c:axId val="439797384"/>
      </c:lineChart>
      <c:catAx>
        <c:axId val="3640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384"/>
        <c:crosses val="autoZero"/>
        <c:auto val="0"/>
        <c:lblAlgn val="ctr"/>
        <c:lblOffset val="100"/>
        <c:noMultiLvlLbl val="0"/>
      </c:catAx>
      <c:valAx>
        <c:axId val="439797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5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DCD-4762-AC19-7A5D0E564B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35.64</c:v>
                </c:pt>
                <c:pt idx="1">
                  <c:v>34.94</c:v>
                </c:pt>
                <c:pt idx="2">
                  <c:v>23.9</c:v>
                </c:pt>
                <c:pt idx="3">
                  <c:v>25.44</c:v>
                </c:pt>
                <c:pt idx="4">
                  <c:v>17.59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D-4762-AC19-7A5D0E564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30640"/>
        <c:axId val="553632608"/>
      </c:lineChart>
      <c:catAx>
        <c:axId val="55363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32608"/>
        <c:crosses val="autoZero"/>
        <c:auto val="0"/>
        <c:lblAlgn val="ctr"/>
        <c:lblOffset val="100"/>
        <c:noMultiLvlLbl val="0"/>
      </c:catAx>
      <c:valAx>
        <c:axId val="553632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30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49-499E-A533-3D59745B720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A49-499E-A533-3D59745B720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DA49-499E-A533-3D59745B720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A49-499E-A533-3D59745B72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49-499E-A533-3D59745B7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447392"/>
        <c:axId val="448443456"/>
      </c:lineChart>
      <c:catAx>
        <c:axId val="4484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3456"/>
        <c:crosses val="autoZero"/>
        <c:auto val="0"/>
        <c:lblAlgn val="ctr"/>
        <c:lblOffset val="100"/>
        <c:noMultiLvlLbl val="0"/>
      </c:catAx>
      <c:valAx>
        <c:axId val="448443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447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0C0-4105-8D85-CDA41E7EB25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0C0-4105-8D85-CDA41E7EB25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0C0-4105-8D85-CDA41E7EB25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C0-4105-8D85-CDA41E7EB2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C0-4105-8D85-CDA41E7EB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248"/>
        <c:axId val="553593624"/>
      </c:lineChart>
      <c:catAx>
        <c:axId val="5535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624"/>
        <c:crosses val="autoZero"/>
        <c:auto val="0"/>
        <c:lblAlgn val="ctr"/>
        <c:lblOffset val="100"/>
        <c:noMultiLvlLbl val="0"/>
      </c:catAx>
      <c:valAx>
        <c:axId val="553593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DC3-4FF3-8A57-4416E389196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DC3-4FF3-8A57-4416E389196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DC3-4FF3-8A57-4416E389196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DC3-4FF3-8A57-4416E38919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C3-4FF3-8A57-4416E3891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447064"/>
        <c:axId val="448444440"/>
      </c:lineChart>
      <c:catAx>
        <c:axId val="44844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4440"/>
        <c:crosses val="autoZero"/>
        <c:auto val="0"/>
        <c:lblAlgn val="ctr"/>
        <c:lblOffset val="100"/>
        <c:noMultiLvlLbl val="0"/>
      </c:catAx>
      <c:valAx>
        <c:axId val="448444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4470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F14-44D2-9823-7F7612E8A2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1015.78</c:v>
                </c:pt>
                <c:pt idx="1">
                  <c:v>16.04</c:v>
                </c:pt>
                <c:pt idx="2">
                  <c:v>13.26</c:v>
                </c:pt>
                <c:pt idx="3">
                  <c:v>15.25</c:v>
                </c:pt>
                <c:pt idx="4">
                  <c:v>15.03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4-44D2-9823-7F7612E8A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864"/>
        <c:axId val="553646896"/>
      </c:lineChart>
      <c:catAx>
        <c:axId val="5536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896"/>
        <c:crosses val="autoZero"/>
        <c:auto val="0"/>
        <c:lblAlgn val="ctr"/>
        <c:lblOffset val="100"/>
        <c:noMultiLvlLbl val="0"/>
      </c:catAx>
      <c:valAx>
        <c:axId val="553646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F4E-4CF4-BC70-FE28A7AA121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F4E-4CF4-BC70-FE28A7AA121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F4E-4CF4-BC70-FE28A7AA121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4E-4CF4-BC70-FE28A7AA12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4E-4CF4-BC70-FE28A7AA1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381160"/>
        <c:axId val="554379192"/>
      </c:lineChart>
      <c:catAx>
        <c:axId val="55438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79192"/>
        <c:crosses val="autoZero"/>
        <c:auto val="0"/>
        <c:lblAlgn val="ctr"/>
        <c:lblOffset val="100"/>
        <c:noMultiLvlLbl val="0"/>
      </c:catAx>
      <c:valAx>
        <c:axId val="554379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4381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32E-4BF7-84E8-DB79825228B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2E-4BF7-84E8-DB79825228B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32E-4BF7-84E8-DB79825228B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2E-4BF7-84E8-DB79825228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2E-4BF7-84E8-DB7982522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381816"/>
        <c:axId val="554383456"/>
      </c:lineChart>
      <c:catAx>
        <c:axId val="55438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3456"/>
        <c:crosses val="autoZero"/>
        <c:auto val="0"/>
        <c:lblAlgn val="ctr"/>
        <c:lblOffset val="100"/>
        <c:noMultiLvlLbl val="0"/>
      </c:catAx>
      <c:valAx>
        <c:axId val="554383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43818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16545.649999999998</c:v>
                </c:pt>
                <c:pt idx="1">
                  <c:v>21674.770708800046</c:v>
                </c:pt>
                <c:pt idx="2">
                  <c:v>29578.091161454908</c:v>
                </c:pt>
                <c:pt idx="3">
                  <c:v>39804.241725509644</c:v>
                </c:pt>
                <c:pt idx="4">
                  <c:v>50743.941985438767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E8-4089-97B2-76295A7BC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988984"/>
        <c:axId val="45398931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86824.34</c:v>
                </c:pt>
                <c:pt idx="1">
                  <c:v>126210.26070880005</c:v>
                </c:pt>
                <c:pt idx="2">
                  <c:v>161641.59116145491</c:v>
                </c:pt>
                <c:pt idx="3">
                  <c:v>174412.70172550963</c:v>
                </c:pt>
                <c:pt idx="4">
                  <c:v>219536.61198543877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E8-4089-97B2-76295A7BC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88984"/>
        <c:axId val="453989312"/>
      </c:lineChart>
      <c:catAx>
        <c:axId val="45398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9312"/>
        <c:crosses val="autoZero"/>
        <c:auto val="1"/>
        <c:lblAlgn val="ctr"/>
        <c:lblOffset val="100"/>
        <c:noMultiLvlLbl val="0"/>
      </c:catAx>
      <c:valAx>
        <c:axId val="453989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89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8773.3119348991931</c:v>
                </c:pt>
                <c:pt idx="1">
                  <c:v>14359.370708800048</c:v>
                </c:pt>
                <c:pt idx="2">
                  <c:v>20869.740452654856</c:v>
                </c:pt>
                <c:pt idx="3">
                  <c:v>21537.530564054738</c:v>
                </c:pt>
                <c:pt idx="4">
                  <c:v>23547.720259929119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4F-4ADC-8FB1-A141713A80E8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8671.2419348991934</c:v>
                </c:pt>
                <c:pt idx="1">
                  <c:v>14215.220708800049</c:v>
                </c:pt>
                <c:pt idx="2">
                  <c:v>20575.110452654855</c:v>
                </c:pt>
                <c:pt idx="3">
                  <c:v>21212.260564054737</c:v>
                </c:pt>
                <c:pt idx="4">
                  <c:v>23163.15025992912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4F-4ADC-8FB1-A141713A8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80432"/>
        <c:axId val="449880760"/>
      </c:barChart>
      <c:catAx>
        <c:axId val="44988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80760"/>
        <c:crosses val="autoZero"/>
        <c:auto val="1"/>
        <c:lblAlgn val="ctr"/>
        <c:lblOffset val="100"/>
        <c:noMultiLvlLbl val="0"/>
      </c:catAx>
      <c:valAx>
        <c:axId val="449880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804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150-4548-AAF1-898B07FA8D0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150-4548-AAF1-898B07FA8D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303.73</c:v>
                </c:pt>
                <c:pt idx="1">
                  <c:v>276.57</c:v>
                </c:pt>
                <c:pt idx="2">
                  <c:v>294.36</c:v>
                </c:pt>
                <c:pt idx="3">
                  <c:v>288.05</c:v>
                </c:pt>
                <c:pt idx="4">
                  <c:v>542.72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50-4548-AAF1-898B07FA8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583808"/>
        <c:axId val="448584136"/>
      </c:lineChart>
      <c:catAx>
        <c:axId val="44858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584136"/>
        <c:crosses val="autoZero"/>
        <c:auto val="0"/>
        <c:lblAlgn val="ctr"/>
        <c:lblOffset val="100"/>
        <c:noMultiLvlLbl val="0"/>
      </c:catAx>
      <c:valAx>
        <c:axId val="448584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583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83208.11</c:v>
                </c:pt>
                <c:pt idx="1">
                  <c:v>117063.81070880007</c:v>
                </c:pt>
                <c:pt idx="2">
                  <c:v>143218.75116145491</c:v>
                </c:pt>
                <c:pt idx="3">
                  <c:v>155460.34172550964</c:v>
                </c:pt>
                <c:pt idx="4">
                  <c:v>206692.5219854388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35-41DA-AA09-B9379BC0BFF3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13625.27</c:v>
                </c:pt>
                <c:pt idx="1">
                  <c:v>2947.6400000000003</c:v>
                </c:pt>
                <c:pt idx="2">
                  <c:v>2257.0699999999997</c:v>
                </c:pt>
                <c:pt idx="3">
                  <c:v>2963.08</c:v>
                </c:pt>
                <c:pt idx="4">
                  <c:v>83629.59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35-41DA-AA09-B9379BC0B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444112"/>
        <c:axId val="448446736"/>
      </c:barChart>
      <c:catAx>
        <c:axId val="44844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6736"/>
        <c:crosses val="autoZero"/>
        <c:auto val="1"/>
        <c:lblAlgn val="ctr"/>
        <c:lblOffset val="100"/>
        <c:noMultiLvlLbl val="0"/>
      </c:catAx>
      <c:valAx>
        <c:axId val="448446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41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1136.3399999999999</c:v>
                </c:pt>
                <c:pt idx="1">
                  <c:v>73.89</c:v>
                </c:pt>
                <c:pt idx="2">
                  <c:v>81</c:v>
                </c:pt>
                <c:pt idx="3">
                  <c:v>137.69</c:v>
                </c:pt>
                <c:pt idx="4">
                  <c:v>166.9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12-4608-88CC-41EF8F81D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815568"/>
        <c:axId val="55381786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12-4608-88CC-41EF8F81D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46240"/>
        <c:axId val="548324776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3817864"/>
        <c:crosses val="autoZero"/>
        <c:auto val="1"/>
        <c:lblAlgn val="ctr"/>
        <c:lblOffset val="100"/>
        <c:noMultiLvlLbl val="0"/>
      </c:catAx>
      <c:valAx>
        <c:axId val="553817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568"/>
        <c:crosses val="autoZero"/>
        <c:crossBetween val="between"/>
      </c:valAx>
      <c:valAx>
        <c:axId val="5483247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3646240"/>
        <c:crosses val="max"/>
        <c:crossBetween val="between"/>
      </c:valAx>
      <c:catAx>
        <c:axId val="553646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4832477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31-435A-ACE7-75083751F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60968"/>
        <c:axId val="55996424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712.88</c:v>
                </c:pt>
                <c:pt idx="2">
                  <c:v>1056.3699999999999</c:v>
                </c:pt>
                <c:pt idx="3">
                  <c:v>1246.48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31-435A-ACE7-75083751F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89120"/>
        <c:axId val="554379848"/>
      </c:lineChart>
      <c:catAx>
        <c:axId val="55996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9964248"/>
        <c:crosses val="autoZero"/>
        <c:auto val="1"/>
        <c:lblAlgn val="ctr"/>
        <c:lblOffset val="100"/>
        <c:noMultiLvlLbl val="0"/>
      </c:catAx>
      <c:valAx>
        <c:axId val="559964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0968"/>
        <c:crosses val="autoZero"/>
        <c:crossBetween val="between"/>
      </c:valAx>
      <c:valAx>
        <c:axId val="5543798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0789120"/>
        <c:crosses val="max"/>
        <c:crossBetween val="between"/>
      </c:valAx>
      <c:catAx>
        <c:axId val="4507891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437984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12336.56</c:v>
                </c:pt>
                <c:pt idx="1">
                  <c:v>18397.29</c:v>
                </c:pt>
                <c:pt idx="2">
                  <c:v>26223.07</c:v>
                </c:pt>
                <c:pt idx="3">
                  <c:v>26504.52</c:v>
                </c:pt>
                <c:pt idx="4">
                  <c:v>30739.15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AB-41E2-A859-B49943A76BF0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12361.431934899194</c:v>
                </c:pt>
                <c:pt idx="1">
                  <c:v>18411.330708800047</c:v>
                </c:pt>
                <c:pt idx="2">
                  <c:v>26235.940452654857</c:v>
                </c:pt>
                <c:pt idx="3">
                  <c:v>26520.470564054736</c:v>
                </c:pt>
                <c:pt idx="4">
                  <c:v>30748.140259929118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AB-41E2-A859-B49943A7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503544"/>
        <c:axId val="624506824"/>
      </c:barChart>
      <c:catAx>
        <c:axId val="62450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06824"/>
        <c:crosses val="autoZero"/>
        <c:auto val="1"/>
        <c:lblAlgn val="ctr"/>
        <c:lblOffset val="100"/>
        <c:noMultiLvlLbl val="0"/>
      </c:catAx>
      <c:valAx>
        <c:axId val="624506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035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126210.26070880005</c:v>
                </c:pt>
                <c:pt idx="2">
                  <c:v>161641.59116145491</c:v>
                </c:pt>
                <c:pt idx="3">
                  <c:v>174412.70172550963</c:v>
                </c:pt>
                <c:pt idx="4">
                  <c:v>219536.61198543877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7-47D3-8432-610A3F0136E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56653.42</c:v>
                </c:pt>
                <c:pt idx="1">
                  <c:v>101587.85</c:v>
                </c:pt>
                <c:pt idx="2">
                  <c:v>129806.43</c:v>
                </c:pt>
                <c:pt idx="3">
                  <c:v>131645.38</c:v>
                </c:pt>
                <c:pt idx="4">
                  <c:v>85163.08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47-47D3-8432-610A3F013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338648"/>
        <c:axId val="442340288"/>
      </c:barChart>
      <c:catAx>
        <c:axId val="44233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40288"/>
        <c:crosses val="autoZero"/>
        <c:auto val="1"/>
        <c:lblAlgn val="ctr"/>
        <c:lblOffset val="100"/>
        <c:noMultiLvlLbl val="0"/>
      </c:catAx>
      <c:valAx>
        <c:axId val="442340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38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126210.26070880005</c:v>
                </c:pt>
                <c:pt idx="2">
                  <c:v>161641.59116145491</c:v>
                </c:pt>
                <c:pt idx="3">
                  <c:v>174412.70172550963</c:v>
                </c:pt>
                <c:pt idx="4">
                  <c:v>219536.61198543877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FB-4D5E-BD91-041900CF935E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13625.27</c:v>
                </c:pt>
                <c:pt idx="1">
                  <c:v>2947.6400000000003</c:v>
                </c:pt>
                <c:pt idx="2">
                  <c:v>2257.0699999999997</c:v>
                </c:pt>
                <c:pt idx="3">
                  <c:v>2963.08</c:v>
                </c:pt>
                <c:pt idx="4">
                  <c:v>83629.59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FB-4D5E-BD91-041900CF9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271704"/>
        <c:axId val="626275968"/>
      </c:barChart>
      <c:catAx>
        <c:axId val="62627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5968"/>
        <c:crosses val="autoZero"/>
        <c:auto val="1"/>
        <c:lblAlgn val="ctr"/>
        <c:lblOffset val="100"/>
        <c:noMultiLvlLbl val="0"/>
      </c:catAx>
      <c:valAx>
        <c:axId val="626275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170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126210.26070880007</c:v>
                </c:pt>
                <c:pt idx="2">
                  <c:v>161641.59116145491</c:v>
                </c:pt>
                <c:pt idx="3">
                  <c:v>174412.70172550966</c:v>
                </c:pt>
                <c:pt idx="4">
                  <c:v>219536.61198543879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70-413F-B1AB-9D08D0971CB0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3616.23</c:v>
                </c:pt>
                <c:pt idx="1">
                  <c:v>9146.4500000000007</c:v>
                </c:pt>
                <c:pt idx="2">
                  <c:v>18422.84</c:v>
                </c:pt>
                <c:pt idx="3">
                  <c:v>18952.36</c:v>
                </c:pt>
                <c:pt idx="4">
                  <c:v>12844.09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70-413F-B1AB-9D08D0971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383128"/>
        <c:axId val="554382144"/>
      </c:barChart>
      <c:catAx>
        <c:axId val="55438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2144"/>
        <c:crosses val="autoZero"/>
        <c:auto val="1"/>
        <c:lblAlgn val="ctr"/>
        <c:lblOffset val="100"/>
        <c:noMultiLvlLbl val="0"/>
      </c:catAx>
      <c:valAx>
        <c:axId val="554382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31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126210.26070880007</c:v>
                </c:pt>
                <c:pt idx="2">
                  <c:v>161641.59116145491</c:v>
                </c:pt>
                <c:pt idx="3">
                  <c:v>174412.70172550966</c:v>
                </c:pt>
                <c:pt idx="4">
                  <c:v>219536.61198543879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9A-4E9B-9D0B-381FFD87BF7C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83208.11</c:v>
                </c:pt>
                <c:pt idx="1">
                  <c:v>117063.81070880007</c:v>
                </c:pt>
                <c:pt idx="2">
                  <c:v>143218.75116145491</c:v>
                </c:pt>
                <c:pt idx="3">
                  <c:v>155460.34172550964</c:v>
                </c:pt>
                <c:pt idx="4">
                  <c:v>206692.5219854388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9A-4E9B-9D0B-381FFD87B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1100360"/>
        <c:axId val="621102656"/>
      </c:barChart>
      <c:catAx>
        <c:axId val="62110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102656"/>
        <c:crosses val="autoZero"/>
        <c:auto val="1"/>
        <c:lblAlgn val="ctr"/>
        <c:lblOffset val="100"/>
        <c:noMultiLvlLbl val="0"/>
      </c:catAx>
      <c:valAx>
        <c:axId val="621102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1003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3588.12</c:v>
                </c:pt>
                <c:pt idx="1">
                  <c:v>4051.96</c:v>
                </c:pt>
                <c:pt idx="2">
                  <c:v>5366.2</c:v>
                </c:pt>
                <c:pt idx="3">
                  <c:v>4982.9400000000005</c:v>
                </c:pt>
                <c:pt idx="4">
                  <c:v>7200.42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7B-4740-84F2-657ABFB3E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72032"/>
        <c:axId val="626273016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12361.431934899194</c:v>
                </c:pt>
                <c:pt idx="1">
                  <c:v>18411.330708800047</c:v>
                </c:pt>
                <c:pt idx="2">
                  <c:v>26235.940452654857</c:v>
                </c:pt>
                <c:pt idx="3">
                  <c:v>26520.470564054736</c:v>
                </c:pt>
                <c:pt idx="4">
                  <c:v>30748.140259929118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7B-4740-84F2-657ABFB3E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55240"/>
        <c:axId val="555452288"/>
      </c:lineChart>
      <c:catAx>
        <c:axId val="62627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3016"/>
        <c:crosses val="autoZero"/>
        <c:auto val="1"/>
        <c:lblAlgn val="ctr"/>
        <c:lblOffset val="100"/>
        <c:noMultiLvlLbl val="0"/>
      </c:catAx>
      <c:valAx>
        <c:axId val="626273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2032"/>
        <c:crosses val="autoZero"/>
        <c:crossBetween val="between"/>
      </c:valAx>
      <c:valAx>
        <c:axId val="5554522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455240"/>
        <c:crosses val="max"/>
        <c:crossBetween val="between"/>
      </c:valAx>
      <c:catAx>
        <c:axId val="555455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545228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2376.5619348991931</c:v>
                </c:pt>
                <c:pt idx="1">
                  <c:v>5128.7807088000482</c:v>
                </c:pt>
                <c:pt idx="2">
                  <c:v>7898.7004526548571</c:v>
                </c:pt>
                <c:pt idx="3">
                  <c:v>10225.820564054737</c:v>
                </c:pt>
                <c:pt idx="4">
                  <c:v>10939.360259929119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6B-401D-BC41-CA3C654C8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3272"/>
        <c:axId val="5554575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2614.8219348991934</c:v>
                </c:pt>
                <c:pt idx="1">
                  <c:v>5407.4907088000482</c:v>
                </c:pt>
                <c:pt idx="2">
                  <c:v>9043.5304526548571</c:v>
                </c:pt>
                <c:pt idx="3">
                  <c:v>10225.820564054737</c:v>
                </c:pt>
                <c:pt idx="4">
                  <c:v>10939.360259929119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6B-401D-BC41-CA3C654C8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55568"/>
        <c:axId val="555452616"/>
      </c:lineChart>
      <c:catAx>
        <c:axId val="55545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7536"/>
        <c:crosses val="autoZero"/>
        <c:auto val="1"/>
        <c:lblAlgn val="ctr"/>
        <c:lblOffset val="100"/>
        <c:noMultiLvlLbl val="0"/>
      </c:catAx>
      <c:valAx>
        <c:axId val="555457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3272"/>
        <c:crosses val="autoZero"/>
        <c:crossBetween val="between"/>
      </c:valAx>
      <c:valAx>
        <c:axId val="5554526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455568"/>
        <c:crosses val="max"/>
        <c:crossBetween val="between"/>
      </c:valAx>
      <c:catAx>
        <c:axId val="555455568"/>
        <c:scaling>
          <c:orientation val="minMax"/>
        </c:scaling>
        <c:delete val="1"/>
        <c:axPos val="b"/>
        <c:majorTickMark val="out"/>
        <c:minorTickMark val="none"/>
        <c:tickLblPos val="nextTo"/>
        <c:crossAx val="55545261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8AC-49F8-A145-13D55481D89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8AC-49F8-A145-13D55481D8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0.08</c:v>
                </c:pt>
                <c:pt idx="1">
                  <c:v>0.04</c:v>
                </c:pt>
                <c:pt idx="2">
                  <c:v>0.11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8AC-49F8-A145-13D55481D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585120"/>
        <c:axId val="627514800"/>
      </c:lineChart>
      <c:catAx>
        <c:axId val="44858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4800"/>
        <c:crosses val="autoZero"/>
        <c:auto val="0"/>
        <c:lblAlgn val="ctr"/>
        <c:lblOffset val="100"/>
        <c:noMultiLvlLbl val="0"/>
      </c:catAx>
      <c:valAx>
        <c:axId val="627514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585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FE-40D7-A667-2DEB1D14DFB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FE-40D7-A667-2DEB1D14DFB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CFE-40D7-A667-2DEB1D14DF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-2.63</c:v>
                </c:pt>
                <c:pt idx="1">
                  <c:v>-1.9500000000000002</c:v>
                </c:pt>
                <c:pt idx="2">
                  <c:v>-8.4499999999999993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FE-40D7-A667-2DEB1D14D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3952"/>
        <c:axId val="553514280"/>
      </c:lineChart>
      <c:catAx>
        <c:axId val="55351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14280"/>
        <c:crosses val="autoZero"/>
        <c:auto val="0"/>
        <c:lblAlgn val="ctr"/>
        <c:lblOffset val="100"/>
        <c:noMultiLvlLbl val="0"/>
      </c:catAx>
      <c:valAx>
        <c:axId val="553514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513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95B-4D7F-B300-EADC2E82953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95B-4D7F-B300-EADC2E82953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95B-4D7F-B300-EADC2E82953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95B-4D7F-B300-EADC2E8295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12336.56</c:v>
                </c:pt>
                <c:pt idx="1">
                  <c:v>18397.29</c:v>
                </c:pt>
                <c:pt idx="2">
                  <c:v>26223.07</c:v>
                </c:pt>
                <c:pt idx="3">
                  <c:v>26504.52</c:v>
                </c:pt>
                <c:pt idx="4">
                  <c:v>30739.15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95B-4D7F-B300-EADC2E829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6192"/>
        <c:axId val="551537832"/>
      </c:lineChart>
      <c:catAx>
        <c:axId val="5515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7832"/>
        <c:crosses val="autoZero"/>
        <c:auto val="0"/>
        <c:lblAlgn val="ctr"/>
        <c:lblOffset val="100"/>
        <c:noMultiLvlLbl val="0"/>
      </c:catAx>
      <c:valAx>
        <c:axId val="551537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1536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B0-4970-BC7A-FC16859421C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8B0-4970-BC7A-FC16859421C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8B0-4970-BC7A-FC16859421C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8B0-4970-BC7A-FC16859421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8748.44</c:v>
                </c:pt>
                <c:pt idx="1">
                  <c:v>14345.33</c:v>
                </c:pt>
                <c:pt idx="2">
                  <c:v>20856.87</c:v>
                </c:pt>
                <c:pt idx="3">
                  <c:v>21521.58</c:v>
                </c:pt>
                <c:pt idx="4">
                  <c:v>23538.73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B0-4970-BC7A-FC1685942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7176"/>
        <c:axId val="551534880"/>
      </c:lineChart>
      <c:catAx>
        <c:axId val="55153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4880"/>
        <c:crosses val="autoZero"/>
        <c:auto val="0"/>
        <c:lblAlgn val="ctr"/>
        <c:lblOffset val="100"/>
        <c:noMultiLvlLbl val="0"/>
      </c:catAx>
      <c:valAx>
        <c:axId val="551534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1537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3F0-4693-8898-67E801E2728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3F0-4693-8898-67E801E2728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3F0-4693-8898-67E801E272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0.03</c:v>
                </c:pt>
                <c:pt idx="1">
                  <c:v>0.04</c:v>
                </c:pt>
                <c:pt idx="2">
                  <c:v>0.06</c:v>
                </c:pt>
                <c:pt idx="3">
                  <c:v>0.06</c:v>
                </c:pt>
                <c:pt idx="4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F0-4693-8898-67E801E27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31952"/>
        <c:axId val="553629984"/>
      </c:lineChart>
      <c:catAx>
        <c:axId val="55363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29984"/>
        <c:crosses val="autoZero"/>
        <c:auto val="0"/>
        <c:lblAlgn val="ctr"/>
        <c:lblOffset val="100"/>
        <c:noMultiLvlLbl val="0"/>
      </c:catAx>
      <c:valAx>
        <c:axId val="55362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631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7E8-4491-B2DF-7546D756C4E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7E8-4491-B2DF-7546D756C4E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7E8-4491-B2DF-7546D756C4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0.08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0.08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7E8-4491-B2DF-7546D756C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656"/>
        <c:axId val="449430264"/>
      </c:lineChart>
      <c:catAx>
        <c:axId val="4494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101593-A098-0C8C-3A3A-4FD5FF00C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AE427F-201E-DC47-039C-DB93845BA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FD9317-E724-2127-BF37-0FA3923F00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ABCED1-ECCF-A112-6CDF-067965674D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C697AF-B5A8-8A6F-CBFE-C498C14292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111C8F-90EF-D1E4-21EF-2918A434AE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D3C5A-F57B-6B81-50AF-7B48B2A891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6A5B7-16FD-7C0B-987D-EAFDE1E74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4CB47-271E-4A1D-0E72-9691986F39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AB302C-A60E-7D0E-D6B7-783FB99AD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7866D-3A2D-CC5B-7C7F-E1AE07E395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E30199-D3F0-C3E6-9CBC-17CC536960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522BFC-17B2-607C-34F7-27C3CE248E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019A40-3E50-2282-80EC-A533B7E8D0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9B9E42-581A-8D92-79E6-14F83823FE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C7BDFE-B293-0E33-CE06-082B331591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5EB372-5208-469A-7E2F-8DF5739851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51EEC2-07C5-98D2-10FD-F51EE2DD2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8540AF-B04B-E751-8663-5D2D9466CC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309A74-69AF-7992-736A-6095413CE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A463FD0B-A495-BDEF-5BED-57722EDFCB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B2088C4E-B23F-52DC-7022-393D16829A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A40CC1-DA2E-4DA7-4C29-A1C9F3DA04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F28F4E7-BE90-6D2A-8DAF-4F732C2E8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F360765-3201-7695-B1CC-321232F57A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60BF803E-56C7-73EE-EFC6-45A9F32751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18E8BCC3-C7DC-DF36-BD1D-297FE9219B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F1F2563A-4518-6649-56F1-125413D694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26565B28-6E2E-E6BE-ABC9-C94D63BA16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3FD010C6-97F9-F2E8-74F7-DDB11EB542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496481A8-B659-0C02-7CED-47F3F10C1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EF141BBD-86C2-16BF-F985-0FB8A5CEE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D861C156-9890-CAEB-F9B7-A01C1343A1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0CCAB-7BD0-B6FF-3099-17FD905B0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4A8D85-54EA-0819-6E86-A9D2D8274F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E746EA-E450-B1AE-F23D-E5122246D8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BF011B-A380-40B1-3C75-674A6B4227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1F30A1-0F15-DF40-DF4A-5DAE1DC644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9BDA2B-4B8C-3FD7-0B6E-8F4889C1A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85D52-5598-4D83-863E-41F9B59DA3B4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115.03</v>
      </c>
      <c r="D6">
        <v>115.37</v>
      </c>
      <c r="E6">
        <v>119.99</v>
      </c>
      <c r="F6">
        <v>120.32</v>
      </c>
      <c r="G6">
        <v>120.66</v>
      </c>
      <c r="H6" t="s">
        <v>1</v>
      </c>
    </row>
    <row r="7" spans="1:8" x14ac:dyDescent="0.25">
      <c r="B7" t="s">
        <v>6</v>
      </c>
      <c r="C7">
        <v>115.03</v>
      </c>
      <c r="D7">
        <v>115.37</v>
      </c>
      <c r="E7">
        <v>119.99</v>
      </c>
      <c r="F7">
        <v>120.32</v>
      </c>
      <c r="G7">
        <v>120.66</v>
      </c>
      <c r="H7" t="s">
        <v>1</v>
      </c>
    </row>
    <row r="8" spans="1:8" x14ac:dyDescent="0.25">
      <c r="A8" t="s">
        <v>90</v>
      </c>
      <c r="B8" t="s">
        <v>7</v>
      </c>
      <c r="C8" s="2">
        <v>16430.62</v>
      </c>
      <c r="D8" s="2">
        <v>19443.8</v>
      </c>
      <c r="E8" s="2">
        <v>31994.47</v>
      </c>
      <c r="F8" s="2">
        <v>36494.839999999997</v>
      </c>
      <c r="G8" s="2">
        <v>43592.03</v>
      </c>
      <c r="H8" t="s">
        <v>1</v>
      </c>
    </row>
    <row r="9" spans="1:8" x14ac:dyDescent="0.25">
      <c r="B9" t="s">
        <v>8</v>
      </c>
      <c r="C9" s="2">
        <v>16430.62</v>
      </c>
      <c r="D9" s="2">
        <v>19443.8</v>
      </c>
      <c r="E9" s="2">
        <v>31994.47</v>
      </c>
      <c r="F9" s="2">
        <v>36494.839999999997</v>
      </c>
      <c r="G9" s="2">
        <v>43592.03</v>
      </c>
      <c r="H9" t="s">
        <v>1</v>
      </c>
    </row>
    <row r="10" spans="1:8" x14ac:dyDescent="0.25">
      <c r="B10" t="s">
        <v>9</v>
      </c>
      <c r="C10" s="2">
        <v>16545.650000000001</v>
      </c>
      <c r="D10" s="2">
        <v>19697.02</v>
      </c>
      <c r="E10" s="2">
        <v>32327.63</v>
      </c>
      <c r="F10" s="2">
        <v>36918.410000000003</v>
      </c>
      <c r="G10" s="2">
        <v>43712.69</v>
      </c>
      <c r="H10" t="s">
        <v>1</v>
      </c>
    </row>
    <row r="11" spans="1:8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45896.31</v>
      </c>
      <c r="D13" s="2">
        <v>64013.41</v>
      </c>
      <c r="E13" s="2">
        <v>75106.259999999995</v>
      </c>
      <c r="F13" s="2">
        <v>84204.18</v>
      </c>
      <c r="G13" s="2">
        <v>0</v>
      </c>
      <c r="H13" t="s">
        <v>1</v>
      </c>
    </row>
    <row r="14" spans="1:8" x14ac:dyDescent="0.25">
      <c r="A14" t="s">
        <v>91</v>
      </c>
      <c r="B14" t="s">
        <v>13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A15" t="s">
        <v>92</v>
      </c>
      <c r="B15" t="s">
        <v>14</v>
      </c>
      <c r="C15">
        <v>500.21</v>
      </c>
      <c r="D15">
        <v>358.06</v>
      </c>
      <c r="E15">
        <v>471.26</v>
      </c>
      <c r="F15">
        <v>687.06</v>
      </c>
      <c r="G15">
        <v>632.29999999999995</v>
      </c>
      <c r="H15" t="s">
        <v>1</v>
      </c>
    </row>
    <row r="16" spans="1:8" x14ac:dyDescent="0.25">
      <c r="A16" t="s">
        <v>93</v>
      </c>
      <c r="B16" t="s">
        <v>15</v>
      </c>
      <c r="C16">
        <v>1136.3399999999999</v>
      </c>
      <c r="D16">
        <v>73.89</v>
      </c>
      <c r="E16">
        <v>81</v>
      </c>
      <c r="F16">
        <v>137.69</v>
      </c>
      <c r="G16" s="2">
        <v>166.9</v>
      </c>
      <c r="H16" t="s">
        <v>1</v>
      </c>
    </row>
    <row r="17" spans="1:8" x14ac:dyDescent="0.25">
      <c r="B17" t="s">
        <v>16</v>
      </c>
      <c r="C17">
        <v>47532.86</v>
      </c>
      <c r="D17" s="2">
        <v>64445.36</v>
      </c>
      <c r="E17" s="2">
        <v>75658.52</v>
      </c>
      <c r="F17" s="2">
        <v>85028.93</v>
      </c>
      <c r="G17" s="2">
        <v>799.2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10757.11</v>
      </c>
      <c r="D19" s="2">
        <v>37574.44</v>
      </c>
      <c r="E19" s="2">
        <v>54700.17</v>
      </c>
      <c r="F19" s="2">
        <v>47441.2</v>
      </c>
      <c r="G19" s="2">
        <v>85163.08</v>
      </c>
      <c r="H19" t="s">
        <v>1</v>
      </c>
    </row>
    <row r="20" spans="1:8" x14ac:dyDescent="0.25">
      <c r="A20" t="s">
        <v>92</v>
      </c>
      <c r="B20" t="s">
        <v>19</v>
      </c>
      <c r="C20" s="2">
        <v>460.79</v>
      </c>
      <c r="D20" s="2">
        <v>811.54</v>
      </c>
      <c r="E20">
        <v>959.81</v>
      </c>
      <c r="F20">
        <v>1108.68</v>
      </c>
      <c r="G20">
        <v>81579.94</v>
      </c>
      <c r="H20" t="s">
        <v>1</v>
      </c>
    </row>
    <row r="21" spans="1:8" x14ac:dyDescent="0.25">
      <c r="A21" t="s">
        <v>92</v>
      </c>
      <c r="B21" t="s">
        <v>20</v>
      </c>
      <c r="C21" s="2">
        <v>11336.93</v>
      </c>
      <c r="D21" s="2">
        <v>1704.15</v>
      </c>
      <c r="E21">
        <v>745</v>
      </c>
      <c r="F21" s="2">
        <v>1029.6500000000001</v>
      </c>
      <c r="G21" s="2">
        <v>1250.45</v>
      </c>
      <c r="H21" t="s">
        <v>1</v>
      </c>
    </row>
    <row r="22" spans="1:8" x14ac:dyDescent="0.25">
      <c r="A22" t="s">
        <v>93</v>
      </c>
      <c r="B22" t="s">
        <v>21</v>
      </c>
      <c r="C22">
        <v>191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22</v>
      </c>
      <c r="C23" s="2">
        <v>22745.83</v>
      </c>
      <c r="D23" s="2">
        <v>40090.129999999997</v>
      </c>
      <c r="E23" s="2">
        <v>56404.98</v>
      </c>
      <c r="F23" s="2">
        <v>49579.53</v>
      </c>
      <c r="G23" s="2">
        <v>167993.47</v>
      </c>
      <c r="H23" t="s">
        <v>1</v>
      </c>
    </row>
    <row r="24" spans="1:8" x14ac:dyDescent="0.25">
      <c r="B24" t="s">
        <v>23</v>
      </c>
      <c r="C24" s="2">
        <v>86824.34</v>
      </c>
      <c r="D24" s="2">
        <v>124232.51</v>
      </c>
      <c r="E24" s="2">
        <v>164391.13</v>
      </c>
      <c r="F24" s="2">
        <v>171526.87</v>
      </c>
      <c r="G24" s="2">
        <v>212505.36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346.15</v>
      </c>
      <c r="D27" s="2">
        <v>526.51</v>
      </c>
      <c r="E27" s="2">
        <v>1097.26</v>
      </c>
      <c r="F27">
        <v>1041.69</v>
      </c>
      <c r="G27">
        <v>1747.17</v>
      </c>
      <c r="H27" t="s">
        <v>1</v>
      </c>
    </row>
    <row r="28" spans="1:8" x14ac:dyDescent="0.25">
      <c r="A28" t="s">
        <v>29</v>
      </c>
      <c r="B28" t="s">
        <v>27</v>
      </c>
      <c r="C28">
        <v>120.84</v>
      </c>
      <c r="D28">
        <v>165.06</v>
      </c>
      <c r="E28">
        <v>220.46</v>
      </c>
      <c r="F28">
        <v>270.74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0</v>
      </c>
      <c r="D29">
        <v>0</v>
      </c>
      <c r="E29">
        <v>0</v>
      </c>
      <c r="F29">
        <v>7.07</v>
      </c>
      <c r="G29">
        <v>0</v>
      </c>
      <c r="H29" t="s">
        <v>1</v>
      </c>
    </row>
    <row r="30" spans="1:8" x14ac:dyDescent="0.25">
      <c r="B30" t="s">
        <v>29</v>
      </c>
      <c r="C30" s="2">
        <v>466.99</v>
      </c>
      <c r="D30" s="2">
        <v>691.57</v>
      </c>
      <c r="E30" s="2">
        <v>1317.72</v>
      </c>
      <c r="F30">
        <v>1363.49</v>
      </c>
      <c r="G30">
        <v>1747.17</v>
      </c>
      <c r="H30" t="s">
        <v>1</v>
      </c>
    </row>
    <row r="31" spans="1:8" x14ac:dyDescent="0.25">
      <c r="A31" t="s">
        <v>94</v>
      </c>
      <c r="B31" t="s">
        <v>30</v>
      </c>
      <c r="C31">
        <v>837.58</v>
      </c>
      <c r="D31">
        <v>0</v>
      </c>
      <c r="E31">
        <v>0</v>
      </c>
      <c r="F31">
        <v>0</v>
      </c>
      <c r="G31">
        <v>0</v>
      </c>
      <c r="H31" t="s">
        <v>1</v>
      </c>
    </row>
    <row r="32" spans="1:8" x14ac:dyDescent="0.25">
      <c r="A32" t="s">
        <v>95</v>
      </c>
      <c r="B32" t="s">
        <v>31</v>
      </c>
      <c r="C32">
        <v>386.41</v>
      </c>
      <c r="D32">
        <v>669.03</v>
      </c>
      <c r="E32">
        <v>850.13</v>
      </c>
      <c r="F32">
        <v>945.9</v>
      </c>
      <c r="G32">
        <v>951.11</v>
      </c>
      <c r="H32" t="s">
        <v>1</v>
      </c>
    </row>
    <row r="33" spans="1:8" x14ac:dyDescent="0.25">
      <c r="A33" t="s">
        <v>95</v>
      </c>
      <c r="B33" t="s">
        <v>32</v>
      </c>
      <c r="C33">
        <v>81.55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47267.92</v>
      </c>
      <c r="D34">
        <v>209.43</v>
      </c>
      <c r="E34">
        <v>322.94</v>
      </c>
      <c r="F34">
        <v>309.83</v>
      </c>
      <c r="G34" s="2">
        <v>345.44</v>
      </c>
      <c r="H34" t="s">
        <v>1</v>
      </c>
    </row>
    <row r="35" spans="1:8" x14ac:dyDescent="0.25">
      <c r="B35" t="s">
        <v>34</v>
      </c>
      <c r="C35" s="2">
        <v>49043.72</v>
      </c>
      <c r="D35" s="2">
        <v>1573.3</v>
      </c>
      <c r="E35" s="2">
        <v>2494.06</v>
      </c>
      <c r="F35" s="2">
        <v>2622.49</v>
      </c>
      <c r="G35" s="2">
        <v>3046.99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2308.39</v>
      </c>
      <c r="D37" s="2">
        <v>8599.0300000000007</v>
      </c>
      <c r="E37" s="2">
        <v>17543.900000000001</v>
      </c>
      <c r="F37" s="2">
        <v>18396.91</v>
      </c>
      <c r="G37" s="2">
        <v>12245.54</v>
      </c>
      <c r="H37" t="s">
        <v>1</v>
      </c>
    </row>
    <row r="38" spans="1:8" x14ac:dyDescent="0.25">
      <c r="A38" t="s">
        <v>96</v>
      </c>
      <c r="B38" t="s">
        <v>37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</v>
      </c>
    </row>
    <row r="39" spans="1:8" x14ac:dyDescent="0.25">
      <c r="A39" t="s">
        <v>96</v>
      </c>
      <c r="B39" t="s">
        <v>38</v>
      </c>
      <c r="C39" s="2">
        <v>34332.18</v>
      </c>
      <c r="D39" s="2">
        <v>808.7</v>
      </c>
      <c r="E39">
        <v>952.56</v>
      </c>
      <c r="F39">
        <v>1107.24</v>
      </c>
      <c r="G39" s="2">
        <v>1265.8900000000001</v>
      </c>
      <c r="H39" t="s">
        <v>1</v>
      </c>
    </row>
    <row r="40" spans="1:8" x14ac:dyDescent="0.25">
      <c r="A40" t="s">
        <v>96</v>
      </c>
      <c r="B40" t="s">
        <v>39</v>
      </c>
      <c r="C40" s="2">
        <v>339.46</v>
      </c>
      <c r="D40" s="2">
        <v>348.71</v>
      </c>
      <c r="E40" s="2">
        <v>1382.72</v>
      </c>
      <c r="F40">
        <v>2176.1799999999998</v>
      </c>
      <c r="G40">
        <v>3680.3</v>
      </c>
      <c r="H40" t="s">
        <v>1</v>
      </c>
    </row>
    <row r="41" spans="1:8" x14ac:dyDescent="0.25">
      <c r="A41" t="s">
        <v>95</v>
      </c>
      <c r="B41" t="s">
        <v>40</v>
      </c>
      <c r="C41" s="2">
        <v>261.66000000000003</v>
      </c>
      <c r="D41" s="2">
        <v>112512.82</v>
      </c>
      <c r="E41" s="2">
        <v>141376.04999999999</v>
      </c>
      <c r="F41" s="2">
        <v>146686.87</v>
      </c>
      <c r="G41">
        <v>191423.25</v>
      </c>
      <c r="H41" t="s">
        <v>1</v>
      </c>
    </row>
    <row r="42" spans="1:8" x14ac:dyDescent="0.25">
      <c r="A42" t="s">
        <v>95</v>
      </c>
      <c r="B42" t="s">
        <v>41</v>
      </c>
      <c r="C42">
        <v>538.92999999999995</v>
      </c>
      <c r="D42">
        <v>389.95</v>
      </c>
      <c r="E42">
        <v>641.84</v>
      </c>
      <c r="F42">
        <v>537.17999999999995</v>
      </c>
      <c r="G42">
        <v>843.39</v>
      </c>
      <c r="H42" t="s">
        <v>1</v>
      </c>
    </row>
    <row r="43" spans="1:8" x14ac:dyDescent="0.25">
      <c r="B43" t="s">
        <v>42</v>
      </c>
      <c r="C43" s="2">
        <v>37780.620000000003</v>
      </c>
      <c r="D43" s="2">
        <v>122659.21</v>
      </c>
      <c r="E43" s="2">
        <v>161897.07</v>
      </c>
      <c r="F43" s="2">
        <v>168904.38</v>
      </c>
      <c r="G43" s="2">
        <v>209458.37</v>
      </c>
      <c r="H43" t="s">
        <v>1</v>
      </c>
    </row>
    <row r="44" spans="1:8" x14ac:dyDescent="0.25">
      <c r="B44" t="s">
        <v>43</v>
      </c>
      <c r="C44" s="2">
        <v>86824.34</v>
      </c>
      <c r="D44" s="2">
        <v>124232.51</v>
      </c>
      <c r="E44" s="2">
        <v>164391.13</v>
      </c>
      <c r="F44" s="2">
        <v>171526.87</v>
      </c>
      <c r="G44" s="2">
        <v>212505.36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1447.32</v>
      </c>
      <c r="D47" s="2">
        <v>2143.89</v>
      </c>
      <c r="E47" s="2">
        <v>5403.65</v>
      </c>
      <c r="F47" s="2">
        <v>5238.82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53.87</v>
      </c>
      <c r="D49">
        <v>53.87</v>
      </c>
      <c r="E49">
        <v>53.87</v>
      </c>
      <c r="F49">
        <v>53.87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2272.5700000000002</v>
      </c>
      <c r="D51">
        <v>0</v>
      </c>
      <c r="E51">
        <v>0</v>
      </c>
      <c r="F51">
        <v>0</v>
      </c>
      <c r="G51" s="2">
        <v>0</v>
      </c>
      <c r="H51" t="s">
        <v>1</v>
      </c>
    </row>
    <row r="52" spans="2:8" x14ac:dyDescent="0.25">
      <c r="B52" t="s">
        <v>51</v>
      </c>
      <c r="C52">
        <v>247.38</v>
      </c>
      <c r="D52">
        <v>0</v>
      </c>
      <c r="E52">
        <v>0</v>
      </c>
      <c r="F52">
        <v>0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612.54</v>
      </c>
      <c r="D55" s="2">
        <v>8599.0300000000007</v>
      </c>
      <c r="E55" s="2">
        <v>17543.900000000001</v>
      </c>
      <c r="F55" s="2">
        <v>18396.91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3C578-6EBF-4053-88D4-3BB93B476A17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151</v>
      </c>
      <c r="C5" s="33"/>
      <c r="D5" s="33"/>
      <c r="E5" s="33"/>
      <c r="F5" s="33"/>
      <c r="G5" s="33"/>
    </row>
    <row r="6" spans="2:7" ht="18.75" x14ac:dyDescent="0.25">
      <c r="B6" s="12" t="str">
        <f>'Income Statement'!B51</f>
        <v>Equity Share Dividend</v>
      </c>
      <c r="C6" s="13">
        <f>'Income Statement'!C51</f>
        <v>197.96</v>
      </c>
      <c r="D6" s="13">
        <f>'Income Statement'!D51</f>
        <v>231.19</v>
      </c>
      <c r="E6" s="13">
        <f>'Income Statement'!E51</f>
        <v>949.63</v>
      </c>
      <c r="F6" s="13">
        <f>'Income Statement'!F51</f>
        <v>0</v>
      </c>
      <c r="G6" s="13">
        <f>'Income Statement'!G51</f>
        <v>0</v>
      </c>
    </row>
    <row r="7" spans="2:7" ht="18.75" x14ac:dyDescent="0.25">
      <c r="B7" s="12" t="str">
        <f>'Income Statement'!B61</f>
        <v>Total Shares Outstanding(cr)</v>
      </c>
      <c r="C7" s="13">
        <f>'Income Statement'!C61</f>
        <v>54.475456977066528</v>
      </c>
      <c r="D7" s="13">
        <f>'Income Statement'!D61</f>
        <v>78.369430562319536</v>
      </c>
      <c r="E7" s="13">
        <f>'Income Statement'!E61</f>
        <v>100.48367169616508</v>
      </c>
      <c r="F7" s="13">
        <f>'Income Statement'!F61</f>
        <v>138.18676437911807</v>
      </c>
      <c r="G7" s="13">
        <f>'Income Statement'!G61</f>
        <v>93.498805640419818</v>
      </c>
    </row>
    <row r="8" spans="2:7" ht="18.75" x14ac:dyDescent="0.25">
      <c r="B8" s="12" t="s">
        <v>148</v>
      </c>
      <c r="C8" s="13">
        <f>ROUND(C6/C7, 2)</f>
        <v>3.63</v>
      </c>
      <c r="D8" s="13">
        <f t="shared" ref="D8:G8" si="0">ROUND(D6/D7, 2)</f>
        <v>2.95</v>
      </c>
      <c r="E8" s="13">
        <f t="shared" si="0"/>
        <v>9.4499999999999993</v>
      </c>
      <c r="F8" s="13">
        <f t="shared" si="0"/>
        <v>0</v>
      </c>
      <c r="G8" s="13">
        <f t="shared" si="0"/>
        <v>0</v>
      </c>
    </row>
    <row r="9" spans="2:7" ht="18.75" x14ac:dyDescent="0.25">
      <c r="B9" s="12" t="str">
        <f>'Income Statement'!B49</f>
        <v>Reported Net Profit(PAT)</v>
      </c>
      <c r="C9" s="13">
        <f>'Income Statement'!C49</f>
        <v>2614.8219348991934</v>
      </c>
      <c r="D9" s="13">
        <f>'Income Statement'!D49</f>
        <v>5407.4907088000482</v>
      </c>
      <c r="E9" s="13">
        <f>'Income Statement'!E49</f>
        <v>9043.5304526548571</v>
      </c>
      <c r="F9" s="13">
        <f>'Income Statement'!F49</f>
        <v>10225.820564054737</v>
      </c>
      <c r="G9" s="13">
        <f>'Income Statement'!G49</f>
        <v>10939.360259929119</v>
      </c>
    </row>
    <row r="10" spans="2:7" ht="18.75" x14ac:dyDescent="0.25">
      <c r="B10" s="12" t="str">
        <f>'Income Statement'!B61</f>
        <v>Total Shares Outstanding(cr)</v>
      </c>
      <c r="C10" s="13">
        <f>'Income Statement'!C61</f>
        <v>54.475456977066528</v>
      </c>
      <c r="D10" s="13">
        <f>'Income Statement'!D61</f>
        <v>78.369430562319536</v>
      </c>
      <c r="E10" s="13">
        <f>'Income Statement'!E61</f>
        <v>100.48367169616508</v>
      </c>
      <c r="F10" s="13">
        <f>'Income Statement'!F61</f>
        <v>138.18676437911807</v>
      </c>
      <c r="G10" s="13">
        <f>'Income Statement'!G61</f>
        <v>93.498805640419818</v>
      </c>
    </row>
    <row r="11" spans="2:7" ht="18.75" x14ac:dyDescent="0.25">
      <c r="B11" s="12" t="s">
        <v>146</v>
      </c>
      <c r="C11" s="13">
        <f>C9/C10</f>
        <v>48</v>
      </c>
      <c r="D11" s="13">
        <f t="shared" ref="D11:G11" si="1">D9/D10</f>
        <v>69</v>
      </c>
      <c r="E11" s="13">
        <f t="shared" si="1"/>
        <v>90</v>
      </c>
      <c r="F11" s="13">
        <f t="shared" si="1"/>
        <v>74</v>
      </c>
      <c r="G11" s="13">
        <f t="shared" si="1"/>
        <v>117</v>
      </c>
    </row>
    <row r="12" spans="2:7" ht="18.75" x14ac:dyDescent="0.25">
      <c r="B12" s="14" t="s">
        <v>152</v>
      </c>
      <c r="C12" s="14">
        <f>ROUND(C8/C11, 2)</f>
        <v>0.08</v>
      </c>
      <c r="D12" s="14">
        <f t="shared" ref="D12:G12" si="2">ROUND(D8/D11, 2)</f>
        <v>0.04</v>
      </c>
      <c r="E12" s="14">
        <f t="shared" si="2"/>
        <v>0.11</v>
      </c>
      <c r="F12" s="14">
        <f t="shared" si="2"/>
        <v>0</v>
      </c>
      <c r="G12" s="14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E7B8-38EE-4D3C-9560-2DAC879B5F83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5" width="13.5703125" bestFit="1" customWidth="1"/>
    <col min="6" max="7" width="12.425781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153</v>
      </c>
      <c r="C5" s="33"/>
      <c r="D5" s="33"/>
      <c r="E5" s="33"/>
      <c r="F5" s="33"/>
      <c r="G5" s="33"/>
    </row>
    <row r="6" spans="2:7" ht="18.75" x14ac:dyDescent="0.25">
      <c r="B6" s="12" t="str">
        <f>'Income Statement'!B51</f>
        <v>Equity Share Dividend</v>
      </c>
      <c r="C6" s="13">
        <f>'Income Statement'!C51</f>
        <v>197.96</v>
      </c>
      <c r="D6" s="13">
        <f>'Income Statement'!D51</f>
        <v>231.19</v>
      </c>
      <c r="E6" s="13">
        <f>'Income Statement'!E51</f>
        <v>949.63</v>
      </c>
      <c r="F6" s="13">
        <f>'Income Statement'!F51</f>
        <v>0</v>
      </c>
      <c r="G6" s="13">
        <f>'Income Statement'!G51</f>
        <v>0</v>
      </c>
    </row>
    <row r="7" spans="2:7" ht="18.75" x14ac:dyDescent="0.25">
      <c r="B7" s="12" t="str">
        <f>'Income Statement'!B61</f>
        <v>Total Shares Outstanding(cr)</v>
      </c>
      <c r="C7" s="13">
        <f>'Income Statement'!C61</f>
        <v>54.475456977066528</v>
      </c>
      <c r="D7" s="13">
        <f>'Income Statement'!D61</f>
        <v>78.369430562319536</v>
      </c>
      <c r="E7" s="13">
        <f>'Income Statement'!E61</f>
        <v>100.48367169616508</v>
      </c>
      <c r="F7" s="13">
        <f>'Income Statement'!F61</f>
        <v>138.18676437911807</v>
      </c>
      <c r="G7" s="13">
        <f>'Income Statement'!G61</f>
        <v>93.498805640419818</v>
      </c>
    </row>
    <row r="8" spans="2:7" ht="18.75" x14ac:dyDescent="0.25">
      <c r="B8" s="12" t="s">
        <v>154</v>
      </c>
      <c r="C8" s="13">
        <f>ROUND(C6/C7, 2)</f>
        <v>3.63</v>
      </c>
      <c r="D8" s="13">
        <f t="shared" ref="D8:G8" si="0">ROUND(D6/D7, 2)</f>
        <v>2.95</v>
      </c>
      <c r="E8" s="13">
        <f t="shared" si="0"/>
        <v>9.4499999999999993</v>
      </c>
      <c r="F8" s="13">
        <f t="shared" si="0"/>
        <v>0</v>
      </c>
      <c r="G8" s="13">
        <f t="shared" si="0"/>
        <v>0</v>
      </c>
    </row>
    <row r="9" spans="2:7" ht="18.75" x14ac:dyDescent="0.25">
      <c r="B9" s="14" t="s">
        <v>155</v>
      </c>
      <c r="C9" s="15">
        <f>1-C8</f>
        <v>-2.63</v>
      </c>
      <c r="D9" s="15">
        <f t="shared" ref="D9:G9" si="1">1-D8</f>
        <v>-1.9500000000000002</v>
      </c>
      <c r="E9" s="15">
        <f t="shared" si="1"/>
        <v>-8.4499999999999993</v>
      </c>
      <c r="F9" s="15">
        <f t="shared" si="1"/>
        <v>1</v>
      </c>
      <c r="G9" s="15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5B694-FCB2-4F0E-9A26-7B2D10F2CCE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156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'Income Statement'!B17</f>
        <v>Cost Of Materials Consumed</v>
      </c>
      <c r="C7" s="13">
        <f>'Income Statement'!C17</f>
        <v>0</v>
      </c>
      <c r="D7" s="13">
        <f>'Income Statement'!D17</f>
        <v>0</v>
      </c>
      <c r="E7" s="13">
        <f>'Income Statement'!E17</f>
        <v>0</v>
      </c>
      <c r="F7" s="13">
        <f>'Income Statement'!F17</f>
        <v>0</v>
      </c>
      <c r="G7" s="13">
        <f>'Income Statement'!G17</f>
        <v>0</v>
      </c>
    </row>
    <row r="8" spans="2:7" ht="18.75" x14ac:dyDescent="0.25">
      <c r="B8" s="14" t="s">
        <v>157</v>
      </c>
      <c r="C8" s="16">
        <f>ROUND(C6- C7, 2)</f>
        <v>12336.56</v>
      </c>
      <c r="D8" s="16">
        <f t="shared" ref="D8:G8" si="0">ROUND(D6- D7, 2)</f>
        <v>18397.29</v>
      </c>
      <c r="E8" s="16">
        <f t="shared" si="0"/>
        <v>26223.07</v>
      </c>
      <c r="F8" s="16">
        <f t="shared" si="0"/>
        <v>26504.52</v>
      </c>
      <c r="G8" s="16">
        <f t="shared" si="0"/>
        <v>30739.15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83E8C-6534-42E0-BE09-4A9499EA23C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158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'Income Statement'!B25</f>
        <v>Total Expenditure</v>
      </c>
      <c r="C7" s="13">
        <f>'Income Statement'!C25</f>
        <v>3588.12</v>
      </c>
      <c r="D7" s="13">
        <f>'Income Statement'!D25</f>
        <v>4051.96</v>
      </c>
      <c r="E7" s="13">
        <f>'Income Statement'!E25</f>
        <v>5366.2</v>
      </c>
      <c r="F7" s="13">
        <f>'Income Statement'!F25</f>
        <v>4982.9400000000005</v>
      </c>
      <c r="G7" s="13">
        <f>'Income Statement'!G25</f>
        <v>7200.42</v>
      </c>
    </row>
    <row r="8" spans="2:7" ht="18.75" x14ac:dyDescent="0.25">
      <c r="B8" s="14" t="s">
        <v>159</v>
      </c>
      <c r="C8" s="16">
        <f>ROUND(C6- C7, 2)</f>
        <v>8748.44</v>
      </c>
      <c r="D8" s="16">
        <f t="shared" ref="D8:G8" si="0">ROUND(D6- D7, 2)</f>
        <v>14345.33</v>
      </c>
      <c r="E8" s="16">
        <f t="shared" si="0"/>
        <v>20856.87</v>
      </c>
      <c r="F8" s="16">
        <f t="shared" si="0"/>
        <v>21521.58</v>
      </c>
      <c r="G8" s="16">
        <f t="shared" si="0"/>
        <v>23538.73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2380D-8DB2-4E03-84BD-CCFFDD0CE89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160</v>
      </c>
      <c r="C5" s="33"/>
      <c r="D5" s="33"/>
      <c r="E5" s="33"/>
      <c r="F5" s="33"/>
      <c r="G5" s="33"/>
    </row>
    <row r="6" spans="2:7" ht="18.75" x14ac:dyDescent="0.25">
      <c r="B6" s="12" t="str">
        <f>'Income Statement'!B49</f>
        <v>Reported Net Profit(PAT)</v>
      </c>
      <c r="C6" s="13">
        <f>'Income Statement'!C49</f>
        <v>2614.8219348991934</v>
      </c>
      <c r="D6" s="13">
        <f>'Income Statement'!D49</f>
        <v>5407.4907088000482</v>
      </c>
      <c r="E6" s="13">
        <f>'Income Statement'!E49</f>
        <v>9043.5304526548571</v>
      </c>
      <c r="F6" s="13">
        <f>'Income Statement'!F49</f>
        <v>10225.820564054737</v>
      </c>
      <c r="G6" s="13">
        <f>'Income Statement'!G49</f>
        <v>10939.360259929119</v>
      </c>
    </row>
    <row r="7" spans="2:7" ht="18.75" x14ac:dyDescent="0.25">
      <c r="B7" s="12" t="str">
        <f>'Balance Sheet'!B74</f>
        <v>Total Assets</v>
      </c>
      <c r="C7" s="13">
        <f>'Balance Sheet'!C74</f>
        <v>86824.34</v>
      </c>
      <c r="D7" s="13">
        <f>'Balance Sheet'!D74</f>
        <v>126210.26070880007</v>
      </c>
      <c r="E7" s="13">
        <f>'Balance Sheet'!E74</f>
        <v>161641.59116145491</v>
      </c>
      <c r="F7" s="13">
        <f>'Balance Sheet'!F74</f>
        <v>174412.70172550966</v>
      </c>
      <c r="G7" s="13">
        <f>'Balance Sheet'!G74</f>
        <v>219536.61198543879</v>
      </c>
    </row>
    <row r="8" spans="2:7" ht="18.75" x14ac:dyDescent="0.25">
      <c r="B8" s="14" t="s">
        <v>161</v>
      </c>
      <c r="C8" s="15">
        <f>ROUND(C6/ C7, 2)</f>
        <v>0.03</v>
      </c>
      <c r="D8" s="15">
        <f t="shared" ref="D8:G8" si="0">ROUND(D6/ D7, 2)</f>
        <v>0.04</v>
      </c>
      <c r="E8" s="15">
        <f t="shared" si="0"/>
        <v>0.06</v>
      </c>
      <c r="F8" s="15">
        <f t="shared" si="0"/>
        <v>0.06</v>
      </c>
      <c r="G8" s="15">
        <f t="shared" si="0"/>
        <v>0.05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4D3F2-2793-4969-BE9E-817F446DBD9C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3" width="13.140625" bestFit="1" customWidth="1"/>
    <col min="4" max="6" width="14.85546875" bestFit="1" customWidth="1"/>
    <col min="7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162</v>
      </c>
      <c r="C5" s="33"/>
      <c r="D5" s="33"/>
      <c r="E5" s="33"/>
      <c r="F5" s="33"/>
      <c r="G5" s="33"/>
    </row>
    <row r="6" spans="2:7" ht="18.75" x14ac:dyDescent="0.25">
      <c r="B6" s="12" t="str">
        <f>'Income Statement'!B33</f>
        <v>PBIT</v>
      </c>
      <c r="C6" s="13">
        <f>'Income Statement'!C33</f>
        <v>8671.2419348991934</v>
      </c>
      <c r="D6" s="13">
        <f>'Income Statement'!D33</f>
        <v>14215.220708800049</v>
      </c>
      <c r="E6" s="13">
        <f>'Income Statement'!E33</f>
        <v>20575.110452654855</v>
      </c>
      <c r="F6" s="13">
        <f>'Income Statement'!F33</f>
        <v>21212.260564054737</v>
      </c>
      <c r="G6" s="13">
        <f>'Income Statement'!G33</f>
        <v>23163.15025992912</v>
      </c>
    </row>
    <row r="7" spans="2:7" ht="18.75" x14ac:dyDescent="0.25">
      <c r="B7" s="12" t="str">
        <f>'Balance Sheet'!B21</f>
        <v>Total Debt</v>
      </c>
      <c r="C7" s="13">
        <f>'Balance Sheet'!C21</f>
        <v>56653.42</v>
      </c>
      <c r="D7" s="13">
        <f>'Balance Sheet'!D21</f>
        <v>101587.85</v>
      </c>
      <c r="E7" s="13">
        <f>'Balance Sheet'!E21</f>
        <v>129806.43</v>
      </c>
      <c r="F7" s="13">
        <f>'Balance Sheet'!F21</f>
        <v>131645.38</v>
      </c>
      <c r="G7" s="13">
        <f>'Balance Sheet'!G21</f>
        <v>85163.08</v>
      </c>
    </row>
    <row r="8" spans="2:7" ht="18.75" x14ac:dyDescent="0.25">
      <c r="B8" s="12" t="str">
        <f>'Balance Sheet'!B13</f>
        <v>Net Worth</v>
      </c>
      <c r="C8" s="13">
        <f>'Balance Sheet'!C13</f>
        <v>16545.649999999998</v>
      </c>
      <c r="D8" s="13">
        <f>'Balance Sheet'!D13</f>
        <v>21674.770708800046</v>
      </c>
      <c r="E8" s="13">
        <f>'Balance Sheet'!E13</f>
        <v>29578.091161454908</v>
      </c>
      <c r="F8" s="13">
        <f>'Balance Sheet'!F13</f>
        <v>39804.241725509644</v>
      </c>
      <c r="G8" s="13">
        <f>'Balance Sheet'!G13</f>
        <v>50743.941985438767</v>
      </c>
    </row>
    <row r="9" spans="2:7" ht="18.75" x14ac:dyDescent="0.25">
      <c r="B9" s="14" t="s">
        <v>163</v>
      </c>
      <c r="C9" s="15">
        <f>ROUND(C6/ (C7+ C7), 2)</f>
        <v>0.08</v>
      </c>
      <c r="D9" s="15">
        <f t="shared" ref="D9:G9" si="0">ROUND(D6/ (D7+ D7), 2)</f>
        <v>7.0000000000000007E-2</v>
      </c>
      <c r="E9" s="15">
        <f t="shared" si="0"/>
        <v>0.08</v>
      </c>
      <c r="F9" s="15">
        <f t="shared" si="0"/>
        <v>0.08</v>
      </c>
      <c r="G9" s="15">
        <f t="shared" si="0"/>
        <v>0.14000000000000001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EC260-B253-4EDC-B933-80D86E30457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164</v>
      </c>
      <c r="C5" s="33"/>
      <c r="D5" s="33"/>
      <c r="E5" s="33"/>
      <c r="F5" s="33"/>
      <c r="G5" s="33"/>
    </row>
    <row r="6" spans="2:7" ht="18.75" x14ac:dyDescent="0.25">
      <c r="B6" s="12" t="str">
        <f>'Income Statement'!B49</f>
        <v>Reported Net Profit(PAT)</v>
      </c>
      <c r="C6" s="13">
        <f>'Income Statement'!C49</f>
        <v>2614.8219348991934</v>
      </c>
      <c r="D6" s="13">
        <f>'Income Statement'!D49</f>
        <v>5407.4907088000482</v>
      </c>
      <c r="E6" s="13">
        <f>'Income Statement'!E49</f>
        <v>9043.5304526548571</v>
      </c>
      <c r="F6" s="13">
        <f>'Income Statement'!F49</f>
        <v>10225.820564054737</v>
      </c>
      <c r="G6" s="13">
        <f>'Income Statement'!G49</f>
        <v>10939.360259929119</v>
      </c>
    </row>
    <row r="7" spans="2:7" ht="18.75" x14ac:dyDescent="0.25">
      <c r="B7" s="12" t="str">
        <f>'Balance Sheet'!B13</f>
        <v>Net Worth</v>
      </c>
      <c r="C7" s="13">
        <f>'Balance Sheet'!C13</f>
        <v>16545.649999999998</v>
      </c>
      <c r="D7" s="13">
        <f>'Balance Sheet'!D13</f>
        <v>21674.770708800046</v>
      </c>
      <c r="E7" s="13">
        <f>'Balance Sheet'!E13</f>
        <v>29578.091161454908</v>
      </c>
      <c r="F7" s="13">
        <f>'Balance Sheet'!F13</f>
        <v>39804.241725509644</v>
      </c>
      <c r="G7" s="13">
        <f>'Balance Sheet'!G13</f>
        <v>50743.941985438767</v>
      </c>
    </row>
    <row r="8" spans="2:7" ht="18.75" x14ac:dyDescent="0.25">
      <c r="B8" s="14" t="s">
        <v>165</v>
      </c>
      <c r="C8" s="15">
        <f>ROUND(C6/ (C7+ C7), 2)</f>
        <v>0.08</v>
      </c>
      <c r="D8" s="15">
        <f t="shared" ref="D8:G8" si="0">ROUND(D6/ (D7+ D7), 2)</f>
        <v>0.12</v>
      </c>
      <c r="E8" s="15">
        <f t="shared" si="0"/>
        <v>0.15</v>
      </c>
      <c r="F8" s="15">
        <f t="shared" si="0"/>
        <v>0.13</v>
      </c>
      <c r="G8" s="15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FD606-19EE-4DC4-82A5-AA131215196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6" width="14.85546875" bestFit="1" customWidth="1"/>
    <col min="7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166</v>
      </c>
      <c r="C5" s="33"/>
      <c r="D5" s="33"/>
      <c r="E5" s="33"/>
      <c r="F5" s="33"/>
      <c r="G5" s="33"/>
    </row>
    <row r="6" spans="2:7" ht="18.75" x14ac:dyDescent="0.25">
      <c r="B6" s="12" t="str">
        <f>'Balance Sheet'!B21</f>
        <v>Total Debt</v>
      </c>
      <c r="C6" s="13">
        <f>'Balance Sheet'!C21</f>
        <v>56653.42</v>
      </c>
      <c r="D6" s="13">
        <f>'Balance Sheet'!D21</f>
        <v>101587.85</v>
      </c>
      <c r="E6" s="13">
        <f>'Balance Sheet'!E21</f>
        <v>129806.43</v>
      </c>
      <c r="F6" s="13">
        <f>'Balance Sheet'!F21</f>
        <v>131645.38</v>
      </c>
      <c r="G6" s="13">
        <f>'Balance Sheet'!G21</f>
        <v>85163.08</v>
      </c>
    </row>
    <row r="7" spans="2:7" ht="18.75" x14ac:dyDescent="0.25">
      <c r="B7" s="12" t="str">
        <f>'Balance Sheet'!B13</f>
        <v>Net Worth</v>
      </c>
      <c r="C7" s="13">
        <f>'Balance Sheet'!C13</f>
        <v>16545.649999999998</v>
      </c>
      <c r="D7" s="13">
        <f>'Balance Sheet'!D13</f>
        <v>21674.770708800046</v>
      </c>
      <c r="E7" s="13">
        <f>'Balance Sheet'!E13</f>
        <v>29578.091161454908</v>
      </c>
      <c r="F7" s="13">
        <f>'Balance Sheet'!F13</f>
        <v>39804.241725509644</v>
      </c>
      <c r="G7" s="13">
        <f>'Balance Sheet'!G13</f>
        <v>50743.941985438767</v>
      </c>
    </row>
    <row r="8" spans="2:7" ht="18.75" x14ac:dyDescent="0.25">
      <c r="B8" s="14" t="s">
        <v>167</v>
      </c>
      <c r="C8" s="14">
        <f>ROUND(C6/ C7, 2)</f>
        <v>3.42</v>
      </c>
      <c r="D8" s="14">
        <f t="shared" ref="D8:G8" si="0">ROUND(D6/ D7, 2)</f>
        <v>4.6900000000000004</v>
      </c>
      <c r="E8" s="14">
        <f t="shared" si="0"/>
        <v>4.3899999999999997</v>
      </c>
      <c r="F8" s="14">
        <f t="shared" si="0"/>
        <v>3.31</v>
      </c>
      <c r="G8" s="14">
        <f t="shared" si="0"/>
        <v>1.68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9E2B6-5941-4F41-9E43-82FA6DC915D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168</v>
      </c>
      <c r="C5" s="33"/>
      <c r="D5" s="33"/>
      <c r="E5" s="33"/>
      <c r="F5" s="33"/>
      <c r="G5" s="33"/>
    </row>
    <row r="6" spans="2:7" ht="18.75" x14ac:dyDescent="0.25">
      <c r="B6" s="12" t="str">
        <f>'Balance Sheet'!B72</f>
        <v>Total Current Assets</v>
      </c>
      <c r="C6" s="13">
        <f>'Balance Sheet'!C72</f>
        <v>83208.11</v>
      </c>
      <c r="D6" s="13">
        <f>'Balance Sheet'!D72</f>
        <v>117063.81070880007</v>
      </c>
      <c r="E6" s="13">
        <f>'Balance Sheet'!E72</f>
        <v>143218.75116145491</v>
      </c>
      <c r="F6" s="13">
        <f>'Balance Sheet'!F72</f>
        <v>155460.34172550964</v>
      </c>
      <c r="G6" s="13">
        <f>'Balance Sheet'!G72</f>
        <v>206692.5219854388</v>
      </c>
    </row>
    <row r="7" spans="2:7" ht="18.75" x14ac:dyDescent="0.25">
      <c r="B7" s="12" t="str">
        <f>'Balance Sheet'!B33</f>
        <v>Total Current Liabilities</v>
      </c>
      <c r="C7" s="13">
        <f>'Balance Sheet'!C33</f>
        <v>13625.27</v>
      </c>
      <c r="D7" s="13">
        <f>'Balance Sheet'!D33</f>
        <v>2947.6400000000003</v>
      </c>
      <c r="E7" s="13">
        <f>'Balance Sheet'!E33</f>
        <v>2257.0699999999997</v>
      </c>
      <c r="F7" s="13">
        <f>'Balance Sheet'!F33</f>
        <v>2963.08</v>
      </c>
      <c r="G7" s="13">
        <f>'Balance Sheet'!G33</f>
        <v>83629.59</v>
      </c>
    </row>
    <row r="8" spans="2:7" ht="18.75" x14ac:dyDescent="0.25">
      <c r="B8" s="14" t="s">
        <v>169</v>
      </c>
      <c r="C8" s="14">
        <f>ROUND(C6/ C7, 2)</f>
        <v>6.11</v>
      </c>
      <c r="D8" s="14">
        <f t="shared" ref="D8:G8" si="0">ROUND(D6/ D7, 2)</f>
        <v>39.71</v>
      </c>
      <c r="E8" s="14">
        <f t="shared" si="0"/>
        <v>63.45</v>
      </c>
      <c r="F8" s="14">
        <f t="shared" si="0"/>
        <v>52.47</v>
      </c>
      <c r="G8" s="14">
        <f t="shared" si="0"/>
        <v>2.4700000000000002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BEAD9-7542-42EB-AD21-906705A9BA81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170</v>
      </c>
      <c r="C5" s="33"/>
      <c r="D5" s="33"/>
      <c r="E5" s="33"/>
      <c r="F5" s="33"/>
      <c r="G5" s="33"/>
    </row>
    <row r="6" spans="2:7" ht="18.75" x14ac:dyDescent="0.25">
      <c r="B6" s="12" t="str">
        <f>'Balance Sheet'!B72</f>
        <v>Total Current Assets</v>
      </c>
      <c r="C6" s="13">
        <f>'Balance Sheet'!C72</f>
        <v>83208.11</v>
      </c>
      <c r="D6" s="13">
        <f>'Balance Sheet'!D72</f>
        <v>117063.81070880007</v>
      </c>
      <c r="E6" s="13">
        <f>'Balance Sheet'!E72</f>
        <v>143218.75116145491</v>
      </c>
      <c r="F6" s="13">
        <f>'Balance Sheet'!F72</f>
        <v>155460.34172550964</v>
      </c>
      <c r="G6" s="13">
        <f>'Balance Sheet'!G72</f>
        <v>206692.5219854388</v>
      </c>
    </row>
    <row r="7" spans="2:7" ht="18.75" x14ac:dyDescent="0.25">
      <c r="B7" s="12" t="str">
        <f>'Balance Sheet'!B66</f>
        <v>Inventories</v>
      </c>
      <c r="C7" s="13">
        <f>'Balance Sheet'!C66</f>
        <v>0</v>
      </c>
      <c r="D7" s="13">
        <f>'Balance Sheet'!D66</f>
        <v>0</v>
      </c>
      <c r="E7" s="13">
        <f>'Balance Sheet'!E66</f>
        <v>0</v>
      </c>
      <c r="F7" s="13">
        <f>'Balance Sheet'!F66</f>
        <v>0</v>
      </c>
      <c r="G7" s="13">
        <f>'Balance Sheet'!G66</f>
        <v>0</v>
      </c>
    </row>
    <row r="8" spans="2:7" ht="18.75" x14ac:dyDescent="0.25">
      <c r="B8" s="12" t="str">
        <f>'Balance Sheet'!B33</f>
        <v>Total Current Liabilities</v>
      </c>
      <c r="C8" s="13">
        <f>'Balance Sheet'!C33</f>
        <v>13625.27</v>
      </c>
      <c r="D8" s="13">
        <f>'Balance Sheet'!D33</f>
        <v>2947.6400000000003</v>
      </c>
      <c r="E8" s="13">
        <f>'Balance Sheet'!E33</f>
        <v>2257.0699999999997</v>
      </c>
      <c r="F8" s="13">
        <f>'Balance Sheet'!F33</f>
        <v>2963.08</v>
      </c>
      <c r="G8" s="13">
        <f>'Balance Sheet'!G33</f>
        <v>83629.59</v>
      </c>
    </row>
    <row r="9" spans="2:7" ht="18.75" x14ac:dyDescent="0.25">
      <c r="B9" s="14" t="s">
        <v>171</v>
      </c>
      <c r="C9" s="14">
        <f>ROUND((C6-C7)/ C8, 2)</f>
        <v>6.11</v>
      </c>
      <c r="D9" s="14">
        <f t="shared" ref="D9:G9" si="0">ROUND((D6-D7)/ D8, 2)</f>
        <v>39.71</v>
      </c>
      <c r="E9" s="14">
        <f t="shared" si="0"/>
        <v>63.45</v>
      </c>
      <c r="F9" s="14">
        <f t="shared" si="0"/>
        <v>52.47</v>
      </c>
      <c r="G9" s="14">
        <f t="shared" si="0"/>
        <v>2.4700000000000002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14BD-2A9C-4DB0-B9DC-DBAE7C33B384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12336.56</v>
      </c>
      <c r="D5" s="2">
        <v>18397.29</v>
      </c>
      <c r="E5" s="2">
        <v>26223.07</v>
      </c>
      <c r="F5" s="2">
        <v>26504.52</v>
      </c>
      <c r="G5" s="2">
        <v>30739.15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12336.56</v>
      </c>
      <c r="D7" s="2">
        <v>18397.29</v>
      </c>
      <c r="E7" s="2">
        <v>26223.07</v>
      </c>
      <c r="F7" s="2">
        <v>26504.52</v>
      </c>
      <c r="G7" s="2">
        <v>30739.15</v>
      </c>
      <c r="H7" t="s">
        <v>1</v>
      </c>
    </row>
    <row r="8" spans="1:8" x14ac:dyDescent="0.25">
      <c r="B8" t="s">
        <v>58</v>
      </c>
      <c r="C8" s="2">
        <v>13442.04</v>
      </c>
      <c r="D8" s="2">
        <v>18487.14</v>
      </c>
      <c r="E8" s="2">
        <v>26373.77</v>
      </c>
      <c r="F8" s="2">
        <v>26668.1</v>
      </c>
      <c r="G8" s="2">
        <v>31632.42</v>
      </c>
      <c r="H8" t="s">
        <v>1</v>
      </c>
    </row>
    <row r="9" spans="1:8" x14ac:dyDescent="0.25">
      <c r="A9" t="s">
        <v>59</v>
      </c>
      <c r="B9" t="s">
        <v>59</v>
      </c>
      <c r="C9">
        <v>23.87</v>
      </c>
      <c r="D9">
        <v>13.04</v>
      </c>
      <c r="E9">
        <v>11.87</v>
      </c>
      <c r="F9">
        <v>14.95</v>
      </c>
      <c r="G9">
        <v>7.99</v>
      </c>
      <c r="H9" t="s">
        <v>1</v>
      </c>
    </row>
    <row r="10" spans="1:8" x14ac:dyDescent="0.25">
      <c r="B10" t="s">
        <v>60</v>
      </c>
      <c r="C10" s="2">
        <v>13465.91</v>
      </c>
      <c r="D10" s="2">
        <v>18500.18</v>
      </c>
      <c r="E10" s="2">
        <v>26385.64</v>
      </c>
      <c r="F10" s="2">
        <v>26683.05</v>
      </c>
      <c r="G10" s="2">
        <v>31640.41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 s="2">
        <v>712.88</v>
      </c>
      <c r="E14" s="2">
        <v>1056.3699999999999</v>
      </c>
      <c r="F14">
        <v>1246.48</v>
      </c>
      <c r="G14">
        <v>0</v>
      </c>
      <c r="H14" t="s">
        <v>1</v>
      </c>
    </row>
    <row r="15" spans="1:8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8" x14ac:dyDescent="0.25">
      <c r="A16" t="s">
        <v>99</v>
      </c>
      <c r="B16" t="s">
        <v>66</v>
      </c>
      <c r="C16" s="2">
        <v>1419.59</v>
      </c>
      <c r="D16" s="2">
        <v>1938.53</v>
      </c>
      <c r="E16" s="2">
        <v>2547.96</v>
      </c>
      <c r="F16" s="2">
        <v>2498.67</v>
      </c>
      <c r="G16" s="2">
        <v>3589.66</v>
      </c>
      <c r="H16" t="s">
        <v>1</v>
      </c>
    </row>
    <row r="17" spans="1:8" x14ac:dyDescent="0.25">
      <c r="A17" t="s">
        <v>100</v>
      </c>
      <c r="B17" t="s">
        <v>67</v>
      </c>
      <c r="C17" s="2">
        <v>4634.33</v>
      </c>
      <c r="D17" s="2">
        <v>6623.56</v>
      </c>
      <c r="E17" s="2">
        <v>9473.2099999999991</v>
      </c>
      <c r="F17" s="2">
        <v>9414</v>
      </c>
      <c r="G17" s="2">
        <v>9748.24</v>
      </c>
      <c r="H17" t="s">
        <v>1</v>
      </c>
    </row>
    <row r="18" spans="1:8" x14ac:dyDescent="0.25">
      <c r="A18" t="s">
        <v>101</v>
      </c>
      <c r="B18" t="s">
        <v>68</v>
      </c>
      <c r="C18">
        <v>102.07</v>
      </c>
      <c r="D18">
        <v>144.15</v>
      </c>
      <c r="E18">
        <v>294.63</v>
      </c>
      <c r="F18">
        <v>325.27</v>
      </c>
      <c r="G18">
        <v>384.57</v>
      </c>
      <c r="H18" t="s">
        <v>1</v>
      </c>
    </row>
    <row r="19" spans="1:8" x14ac:dyDescent="0.25">
      <c r="A19" t="s">
        <v>99</v>
      </c>
      <c r="B19" t="s">
        <v>69</v>
      </c>
      <c r="C19" s="2">
        <v>2168.5300000000002</v>
      </c>
      <c r="D19" s="2">
        <v>1400.55</v>
      </c>
      <c r="E19" s="2">
        <v>1761.87</v>
      </c>
      <c r="F19" s="2">
        <v>1237.79</v>
      </c>
      <c r="G19" s="2">
        <v>3610.76</v>
      </c>
      <c r="H19" t="s">
        <v>1</v>
      </c>
    </row>
    <row r="20" spans="1:8" x14ac:dyDescent="0.25">
      <c r="B20" t="s">
        <v>70</v>
      </c>
      <c r="C20" s="2">
        <v>9369.7099999999991</v>
      </c>
      <c r="D20" s="2">
        <v>12321.02</v>
      </c>
      <c r="E20" s="2">
        <v>19063.52</v>
      </c>
      <c r="F20" s="2">
        <v>20690.79</v>
      </c>
      <c r="G20" s="2">
        <v>22136.63</v>
      </c>
      <c r="H20" t="s">
        <v>1</v>
      </c>
    </row>
    <row r="21" spans="1:8" x14ac:dyDescent="0.25">
      <c r="B21" t="s">
        <v>71</v>
      </c>
      <c r="C21" s="2">
        <v>4096.2</v>
      </c>
      <c r="D21" s="2">
        <v>6179.16</v>
      </c>
      <c r="E21" s="2">
        <v>7322.12</v>
      </c>
      <c r="F21" s="2">
        <v>5992.26</v>
      </c>
      <c r="G21" s="2">
        <v>9503.7800000000007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4096.2</v>
      </c>
      <c r="D23" s="2">
        <v>6179.16</v>
      </c>
      <c r="E23" s="2">
        <v>7322.12</v>
      </c>
      <c r="F23" s="2">
        <v>5992.26</v>
      </c>
      <c r="G23" s="2">
        <v>9503.7800000000007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1439.43</v>
      </c>
      <c r="D25" s="2">
        <v>2085.89</v>
      </c>
      <c r="E25" s="2">
        <v>2205.25</v>
      </c>
      <c r="F25" s="2">
        <v>1660.26</v>
      </c>
      <c r="G25" s="2">
        <v>2475.5500000000002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-17.34</v>
      </c>
      <c r="D27">
        <v>98.28</v>
      </c>
      <c r="E27">
        <v>-146.88</v>
      </c>
      <c r="F27">
        <v>-87.82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1422.09</v>
      </c>
      <c r="D29" s="2">
        <v>2184.17</v>
      </c>
      <c r="E29" s="2">
        <v>2058.37</v>
      </c>
      <c r="F29" s="2">
        <v>1572.44</v>
      </c>
      <c r="G29" s="2">
        <v>2475.5500000000002</v>
      </c>
      <c r="H29" t="s">
        <v>1</v>
      </c>
    </row>
    <row r="30" spans="1:8" x14ac:dyDescent="0.25">
      <c r="B30" t="s">
        <v>80</v>
      </c>
      <c r="C30" s="2">
        <v>2674.11</v>
      </c>
      <c r="D30" s="2">
        <v>3994.99</v>
      </c>
      <c r="E30" s="2">
        <v>5263.75</v>
      </c>
      <c r="F30" s="2">
        <v>4419.82</v>
      </c>
      <c r="G30" s="2">
        <v>7028.23</v>
      </c>
      <c r="H30" t="s">
        <v>1</v>
      </c>
    </row>
    <row r="31" spans="1:8" x14ac:dyDescent="0.25">
      <c r="B31" t="s">
        <v>81</v>
      </c>
      <c r="C31" s="2">
        <v>2674.11</v>
      </c>
      <c r="D31" s="2">
        <v>3994.99</v>
      </c>
      <c r="E31" s="2">
        <v>5263.75</v>
      </c>
      <c r="F31" s="2">
        <v>4419.82</v>
      </c>
      <c r="G31" s="2">
        <v>7028.23</v>
      </c>
      <c r="H31" t="s">
        <v>1</v>
      </c>
    </row>
    <row r="32" spans="1:8" x14ac:dyDescent="0.25">
      <c r="B32" t="s">
        <v>82</v>
      </c>
      <c r="C32" s="2">
        <v>2674.11</v>
      </c>
      <c r="D32" s="2">
        <v>3994.99</v>
      </c>
      <c r="E32" s="2">
        <v>5263.75</v>
      </c>
      <c r="F32" s="2">
        <v>4419.82</v>
      </c>
      <c r="G32" s="2">
        <v>7028.23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2674.11</v>
      </c>
      <c r="D34" s="2">
        <v>3994.99</v>
      </c>
      <c r="E34" s="2">
        <v>5263.75</v>
      </c>
      <c r="F34" s="2">
        <v>4419.82</v>
      </c>
      <c r="G34" s="2">
        <v>7028.23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48</v>
      </c>
      <c r="D37">
        <v>69</v>
      </c>
      <c r="E37">
        <v>90</v>
      </c>
      <c r="F37">
        <v>74</v>
      </c>
      <c r="G37">
        <v>117</v>
      </c>
      <c r="H37" t="s">
        <v>1</v>
      </c>
    </row>
    <row r="38" spans="1:8" x14ac:dyDescent="0.25">
      <c r="B38" t="s">
        <v>86</v>
      </c>
      <c r="C38">
        <v>47</v>
      </c>
      <c r="D38">
        <v>69</v>
      </c>
      <c r="E38">
        <v>89</v>
      </c>
      <c r="F38">
        <v>73</v>
      </c>
      <c r="G38">
        <v>116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197.96</v>
      </c>
      <c r="D40">
        <v>231.19</v>
      </c>
      <c r="E40">
        <v>949.63</v>
      </c>
      <c r="F40">
        <v>0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40.299999999999997</v>
      </c>
      <c r="D41">
        <v>47.52</v>
      </c>
      <c r="E41">
        <v>195.2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66C1-39AA-4679-9E9C-226AEAE21B3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172</v>
      </c>
      <c r="C5" s="33"/>
      <c r="D5" s="33"/>
      <c r="E5" s="33"/>
      <c r="F5" s="33"/>
      <c r="G5" s="33"/>
    </row>
    <row r="6" spans="2:7" ht="18.75" x14ac:dyDescent="0.25">
      <c r="B6" s="12" t="str">
        <f>'Income Statement'!B33</f>
        <v>PBIT</v>
      </c>
      <c r="C6" s="13">
        <f>'Income Statement'!C33</f>
        <v>8671.2419348991934</v>
      </c>
      <c r="D6" s="13">
        <f>'Income Statement'!D33</f>
        <v>14215.220708800049</v>
      </c>
      <c r="E6" s="13">
        <f>'Income Statement'!E33</f>
        <v>20575.110452654855</v>
      </c>
      <c r="F6" s="13">
        <f>'Income Statement'!F33</f>
        <v>21212.260564054737</v>
      </c>
      <c r="G6" s="13">
        <f>'Income Statement'!G33</f>
        <v>23163.15025992912</v>
      </c>
    </row>
    <row r="7" spans="2:7" ht="18.75" x14ac:dyDescent="0.25">
      <c r="B7" s="12" t="str">
        <f>'Income Statement'!B35</f>
        <v>Finance Costs</v>
      </c>
      <c r="C7" s="13">
        <f>'Income Statement'!C35</f>
        <v>4634.33</v>
      </c>
      <c r="D7" s="13">
        <f>'Income Statement'!D35</f>
        <v>6623.56</v>
      </c>
      <c r="E7" s="13">
        <f>'Income Statement'!E35</f>
        <v>9473.2099999999991</v>
      </c>
      <c r="F7" s="13">
        <f>'Income Statement'!F35</f>
        <v>9414</v>
      </c>
      <c r="G7" s="13">
        <f>'Income Statement'!G35</f>
        <v>9748.24</v>
      </c>
    </row>
    <row r="8" spans="2:7" ht="18.75" x14ac:dyDescent="0.25">
      <c r="B8" s="14" t="s">
        <v>173</v>
      </c>
      <c r="C8" s="14">
        <f>ROUND(C6/C7, 2)</f>
        <v>1.87</v>
      </c>
      <c r="D8" s="14">
        <f t="shared" ref="D8:G8" si="0">ROUND(D6/D7, 2)</f>
        <v>2.15</v>
      </c>
      <c r="E8" s="14">
        <f t="shared" si="0"/>
        <v>2.17</v>
      </c>
      <c r="F8" s="14">
        <f t="shared" si="0"/>
        <v>2.25</v>
      </c>
      <c r="G8" s="14">
        <f t="shared" si="0"/>
        <v>2.38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C70D7-2613-4704-BDD5-862CF66EA66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174</v>
      </c>
      <c r="C5" s="33"/>
      <c r="D5" s="33"/>
      <c r="E5" s="33"/>
      <c r="F5" s="33"/>
      <c r="G5" s="33"/>
    </row>
    <row r="6" spans="2:7" ht="18.75" x14ac:dyDescent="0.25">
      <c r="B6" s="12" t="str">
        <f>'Income Statement'!B17</f>
        <v>Cost Of Materials Consumed</v>
      </c>
      <c r="C6" s="13">
        <f>'Income Statement'!C17</f>
        <v>0</v>
      </c>
      <c r="D6" s="13">
        <f>'Income Statement'!D17</f>
        <v>0</v>
      </c>
      <c r="E6" s="13">
        <f>'Income Statement'!E17</f>
        <v>0</v>
      </c>
      <c r="F6" s="13">
        <f>'Income Statement'!F17</f>
        <v>0</v>
      </c>
      <c r="G6" s="13">
        <f>'Income Statement'!G17</f>
        <v>0</v>
      </c>
    </row>
    <row r="7" spans="2:7" ht="18.75" x14ac:dyDescent="0.25">
      <c r="B7" s="12" t="str">
        <f>'Income Statement'!B9</f>
        <v>Net Sales</v>
      </c>
      <c r="C7" s="13">
        <f>'Income Statement'!C9</f>
        <v>12336.56</v>
      </c>
      <c r="D7" s="13">
        <f>'Income Statement'!D9</f>
        <v>18397.29</v>
      </c>
      <c r="E7" s="13">
        <f>'Income Statement'!E9</f>
        <v>26223.07</v>
      </c>
      <c r="F7" s="13">
        <f>'Income Statement'!F9</f>
        <v>26504.52</v>
      </c>
      <c r="G7" s="13">
        <f>'Income Statement'!G9</f>
        <v>30739.15</v>
      </c>
    </row>
    <row r="8" spans="2:7" ht="18.75" x14ac:dyDescent="0.25">
      <c r="B8" s="14" t="s">
        <v>175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F8940-8979-4EF2-8C6A-3031CF585AF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1.5703125" bestFit="1" customWidth="1"/>
    <col min="7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176</v>
      </c>
      <c r="C5" s="33"/>
      <c r="D5" s="33"/>
      <c r="E5" s="33"/>
      <c r="F5" s="33"/>
      <c r="G5" s="33"/>
    </row>
    <row r="6" spans="2:7" ht="18.75" x14ac:dyDescent="0.25">
      <c r="B6" s="12" t="str">
        <f>'Balance Sheet'!B70</f>
        <v>Cash And Cash Equivalents</v>
      </c>
      <c r="C6" s="13">
        <f>'Balance Sheet'!C70</f>
        <v>339.46</v>
      </c>
      <c r="D6" s="13">
        <f>'Balance Sheet'!D70</f>
        <v>2473.8807088000622</v>
      </c>
      <c r="E6" s="13">
        <f>'Balance Sheet'!E70</f>
        <v>-924.76883854507378</v>
      </c>
      <c r="F6" s="13">
        <f>'Balance Sheet'!F70</f>
        <v>5873.3217255096542</v>
      </c>
      <c r="G6" s="13">
        <f>'Balance Sheet'!G70</f>
        <v>11863.441985438789</v>
      </c>
    </row>
    <row r="7" spans="2:7" ht="18.75" x14ac:dyDescent="0.25">
      <c r="B7" s="12" t="str">
        <f>'Income Statement'!B17</f>
        <v>Cost Of Materials Consumed</v>
      </c>
      <c r="C7" s="13">
        <f>'Income Statement'!C17</f>
        <v>0</v>
      </c>
      <c r="D7" s="13">
        <f>'Income Statement'!D17</f>
        <v>0</v>
      </c>
      <c r="E7" s="13">
        <f>'Income Statement'!E17</f>
        <v>0</v>
      </c>
      <c r="F7" s="13">
        <f>'Income Statement'!F17</f>
        <v>0</v>
      </c>
      <c r="G7" s="13">
        <f>'Income Statement'!G17</f>
        <v>0</v>
      </c>
    </row>
    <row r="8" spans="2:7" ht="18.75" x14ac:dyDescent="0.25">
      <c r="B8" s="14" t="s">
        <v>177</v>
      </c>
      <c r="C8" s="14" t="e">
        <f>ROUND(C6/C7*365, 2)</f>
        <v>#DIV/0!</v>
      </c>
      <c r="D8" s="14" t="e">
        <f t="shared" ref="D8:G8" si="0">ROUND(D6/D7*365,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72839-4029-40FB-B4D3-173E2F8B7F3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.7109375" bestFit="1" customWidth="1"/>
    <col min="4" max="4" width="12.28515625" bestFit="1" customWidth="1"/>
    <col min="5" max="5" width="11.7109375" bestFit="1" customWidth="1"/>
    <col min="6" max="6" width="12.28515625" bestFit="1" customWidth="1"/>
    <col min="7" max="7" width="14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178</v>
      </c>
      <c r="C5" s="33"/>
      <c r="D5" s="33"/>
      <c r="E5" s="33"/>
      <c r="F5" s="33"/>
      <c r="G5" s="33"/>
    </row>
    <row r="6" spans="2:7" ht="18.75" x14ac:dyDescent="0.25">
      <c r="B6" s="12" t="str">
        <f>'Balance Sheet'!B70</f>
        <v>Cash And Cash Equivalents</v>
      </c>
      <c r="C6" s="13">
        <f>'Balance Sheet'!C70</f>
        <v>339.46</v>
      </c>
      <c r="D6" s="13">
        <f>'Balance Sheet'!D70</f>
        <v>2473.8807088000622</v>
      </c>
      <c r="E6" s="13">
        <f>'Balance Sheet'!E70</f>
        <v>-924.76883854507378</v>
      </c>
      <c r="F6" s="13">
        <f>'Balance Sheet'!F70</f>
        <v>5873.3217255096542</v>
      </c>
      <c r="G6" s="13">
        <f>'Balance Sheet'!G70</f>
        <v>11863.441985438789</v>
      </c>
    </row>
    <row r="7" spans="2:7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7" ht="18.75" x14ac:dyDescent="0.25">
      <c r="B8" s="14" t="s">
        <v>180</v>
      </c>
      <c r="C8" s="14">
        <f>ROUND(C6/C7*365, 2)</f>
        <v>339.46</v>
      </c>
      <c r="D8" s="14">
        <f t="shared" ref="D8:G8" si="0">ROUND(D6/D7*365, 2)</f>
        <v>2473.88</v>
      </c>
      <c r="E8" s="14">
        <f t="shared" si="0"/>
        <v>-924.77</v>
      </c>
      <c r="F8" s="14">
        <f t="shared" si="0"/>
        <v>5873.32</v>
      </c>
      <c r="G8" s="14">
        <f t="shared" si="0"/>
        <v>11863.44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BE76-2578-4F3F-8AA3-3BD35B588AD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181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Sheet'!B74</f>
        <v>Total Assets</v>
      </c>
      <c r="C7" s="13">
        <f>'Balance Sheet'!C74</f>
        <v>86824.34</v>
      </c>
      <c r="D7" s="13">
        <f>'Balance Sheet'!D74</f>
        <v>126210.26070880007</v>
      </c>
      <c r="E7" s="13">
        <f>'Balance Sheet'!E74</f>
        <v>161641.59116145491</v>
      </c>
      <c r="F7" s="13">
        <f>'Balance Sheet'!F74</f>
        <v>174412.70172550966</v>
      </c>
      <c r="G7" s="13">
        <f>'Balance Sheet'!G74</f>
        <v>219536.61198543879</v>
      </c>
    </row>
    <row r="8" spans="2:7" ht="18.75" x14ac:dyDescent="0.25">
      <c r="B8" s="14" t="s">
        <v>182</v>
      </c>
      <c r="C8" s="14">
        <f>ROUND(C6/C7, 2)</f>
        <v>0.14000000000000001</v>
      </c>
      <c r="D8" s="14">
        <f t="shared" ref="D8:G8" si="0">ROUND(D6/D7, 2)</f>
        <v>0.15</v>
      </c>
      <c r="E8" s="14">
        <f t="shared" si="0"/>
        <v>0.16</v>
      </c>
      <c r="F8" s="14">
        <f t="shared" si="0"/>
        <v>0.15</v>
      </c>
      <c r="G8" s="14">
        <f t="shared" si="0"/>
        <v>0.14000000000000001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873CB-AE0B-464D-BF61-3D611DB9582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183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Sheet'!B66</f>
        <v>Inventories</v>
      </c>
      <c r="C7" s="13">
        <f>'Balance Sheet'!C66</f>
        <v>0</v>
      </c>
      <c r="D7" s="13">
        <f>'Balance Sheet'!D66</f>
        <v>0</v>
      </c>
      <c r="E7" s="13">
        <f>'Balance Sheet'!E66</f>
        <v>0</v>
      </c>
      <c r="F7" s="13">
        <f>'Balance Sheet'!F66</f>
        <v>0</v>
      </c>
      <c r="G7" s="13">
        <f>'Balance Sheet'!G66</f>
        <v>0</v>
      </c>
    </row>
    <row r="8" spans="2:7" ht="18.75" x14ac:dyDescent="0.25">
      <c r="B8" s="14" t="s">
        <v>184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FD3C5-0514-452E-87A7-6FD79139314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185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Sheet'!B68</f>
        <v>Trade Receivables</v>
      </c>
      <c r="C7" s="13">
        <f>'Balance Sheet'!C68</f>
        <v>34332.18</v>
      </c>
      <c r="D7" s="13">
        <f>'Balance Sheet'!D68</f>
        <v>808.7</v>
      </c>
      <c r="E7" s="13">
        <f>'Balance Sheet'!E68</f>
        <v>952.56</v>
      </c>
      <c r="F7" s="13">
        <f>'Balance Sheet'!F68</f>
        <v>1107.24</v>
      </c>
      <c r="G7" s="13">
        <f>'Balance Sheet'!G68</f>
        <v>1265.8900000000001</v>
      </c>
    </row>
    <row r="8" spans="2:7" ht="18.75" x14ac:dyDescent="0.25">
      <c r="B8" s="14" t="s">
        <v>186</v>
      </c>
      <c r="C8" s="14">
        <f>ROUND(C6/C7, 2)</f>
        <v>0.36</v>
      </c>
      <c r="D8" s="14">
        <f t="shared" ref="D8:G8" si="0">ROUND(D6/D7, 2)</f>
        <v>22.75</v>
      </c>
      <c r="E8" s="14">
        <f t="shared" si="0"/>
        <v>27.53</v>
      </c>
      <c r="F8" s="14">
        <f t="shared" si="0"/>
        <v>23.94</v>
      </c>
      <c r="G8" s="14">
        <f t="shared" si="0"/>
        <v>24.28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25DF7-B81A-4854-81A5-C2E1633877E4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187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Sheet'!B40</f>
        <v>Tangible Assets</v>
      </c>
      <c r="C7" s="13">
        <f>'Balance Sheet'!C40</f>
        <v>346.15</v>
      </c>
      <c r="D7" s="13">
        <f>'Balance Sheet'!D40</f>
        <v>526.51</v>
      </c>
      <c r="E7" s="13">
        <f>'Balance Sheet'!E40</f>
        <v>1097.26</v>
      </c>
      <c r="F7" s="13">
        <f>'Balance Sheet'!F40</f>
        <v>1041.69</v>
      </c>
      <c r="G7" s="13">
        <f>'Balance Sheet'!G40</f>
        <v>1747.17</v>
      </c>
    </row>
    <row r="8" spans="2:7" ht="18.75" x14ac:dyDescent="0.25">
      <c r="B8" s="14" t="s">
        <v>188</v>
      </c>
      <c r="C8" s="14">
        <f>ROUND(C6/C7, 2)</f>
        <v>35.64</v>
      </c>
      <c r="D8" s="14">
        <f t="shared" ref="D8:G8" si="0">ROUND(D6/D7, 2)</f>
        <v>34.94</v>
      </c>
      <c r="E8" s="14">
        <f t="shared" si="0"/>
        <v>23.9</v>
      </c>
      <c r="F8" s="14">
        <f t="shared" si="0"/>
        <v>25.44</v>
      </c>
      <c r="G8" s="14">
        <f t="shared" si="0"/>
        <v>17.59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92FB-D8DC-4CC5-99B6-7AB667902A4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6" width="11.5703125" bestFit="1" customWidth="1"/>
    <col min="7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189</v>
      </c>
      <c r="C5" s="33"/>
      <c r="D5" s="33"/>
      <c r="E5" s="33"/>
      <c r="F5" s="33"/>
      <c r="G5" s="33"/>
    </row>
    <row r="6" spans="2:7" ht="18.75" x14ac:dyDescent="0.25">
      <c r="B6" s="12" t="str">
        <f>'Income Statement'!B17</f>
        <v>Cost Of Materials Consumed</v>
      </c>
      <c r="C6" s="13">
        <f>'Income Statement'!C17</f>
        <v>0</v>
      </c>
      <c r="D6" s="13">
        <f>'Income Statement'!D17</f>
        <v>0</v>
      </c>
      <c r="E6" s="13">
        <f>'Income Statement'!E17</f>
        <v>0</v>
      </c>
      <c r="F6" s="13">
        <f>'Income Statement'!F17</f>
        <v>0</v>
      </c>
      <c r="G6" s="13">
        <f>'Income Statement'!G17</f>
        <v>0</v>
      </c>
    </row>
    <row r="7" spans="2:7" ht="18.75" x14ac:dyDescent="0.25">
      <c r="B7" s="12" t="str">
        <f>'Balance Sheet'!B33</f>
        <v>Total Current Liabilities</v>
      </c>
      <c r="C7" s="13">
        <f>'Balance Sheet'!C33</f>
        <v>13625.27</v>
      </c>
      <c r="D7" s="13">
        <f>'Balance Sheet'!D33</f>
        <v>2947.6400000000003</v>
      </c>
      <c r="E7" s="13">
        <f>'Balance Sheet'!E33</f>
        <v>2257.0699999999997</v>
      </c>
      <c r="F7" s="13">
        <f>'Balance Sheet'!F33</f>
        <v>2963.08</v>
      </c>
      <c r="G7" s="13">
        <f>'Balance Sheet'!G33</f>
        <v>83629.59</v>
      </c>
    </row>
    <row r="8" spans="2:7" ht="18.75" x14ac:dyDescent="0.25">
      <c r="B8" s="14" t="s">
        <v>190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787F9-75DF-43E4-A442-9F1BE3015C1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191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Sheet'!B66</f>
        <v>Inventories</v>
      </c>
      <c r="C7" s="13">
        <f>'Balance Sheet'!C66</f>
        <v>0</v>
      </c>
      <c r="D7" s="13">
        <f>'Balance Sheet'!D66</f>
        <v>0</v>
      </c>
      <c r="E7" s="13">
        <f>'Balance Sheet'!E66</f>
        <v>0</v>
      </c>
      <c r="F7" s="13">
        <f>'Balance Sheet'!F66</f>
        <v>0</v>
      </c>
      <c r="G7" s="13">
        <f>'Balance Sheet'!G66</f>
        <v>0</v>
      </c>
    </row>
    <row r="8" spans="2:7" ht="18.75" x14ac:dyDescent="0.25">
      <c r="B8" s="14" t="s">
        <v>192</v>
      </c>
      <c r="C8" s="14">
        <f>ROUND(365/C6*C7, 2)</f>
        <v>0</v>
      </c>
      <c r="D8" s="14">
        <f t="shared" ref="D8:G8" si="0">ROUND(365/D6*D7,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255F4-6E7B-4754-B5C8-0D07E74F7CBA}">
  <dimension ref="B3:L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12" width="18.85546875" bestFit="1" customWidth="1"/>
  </cols>
  <sheetData>
    <row r="3" spans="2:12" ht="18.75" x14ac:dyDescent="0.25">
      <c r="B3" s="22" t="s">
        <v>120</v>
      </c>
      <c r="C3" s="23"/>
      <c r="D3" s="23"/>
      <c r="E3" s="23"/>
      <c r="F3" s="23"/>
      <c r="G3" s="23"/>
      <c r="H3" s="34" t="s">
        <v>264</v>
      </c>
      <c r="I3" s="35"/>
      <c r="J3" s="35"/>
      <c r="K3" s="35"/>
      <c r="L3" s="35"/>
    </row>
    <row r="4" spans="2:12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36">
        <v>2023</v>
      </c>
      <c r="I4" s="36">
        <v>2024</v>
      </c>
      <c r="J4" s="36">
        <v>2025</v>
      </c>
      <c r="K4" s="36">
        <v>2026</v>
      </c>
      <c r="L4" s="36">
        <v>2027</v>
      </c>
    </row>
    <row r="5" spans="2:12" ht="18.75" x14ac:dyDescent="0.25">
      <c r="B5" s="8" t="s">
        <v>97</v>
      </c>
      <c r="C5" s="5">
        <v>12336.56</v>
      </c>
      <c r="D5" s="5">
        <v>18397.29</v>
      </c>
      <c r="E5" s="5">
        <v>26223.07</v>
      </c>
      <c r="F5" s="5">
        <v>26504.52</v>
      </c>
      <c r="G5" s="5">
        <v>30739.15</v>
      </c>
      <c r="H5" s="42">
        <f>GROWTH(C5:G5,C4:G4,H4)</f>
        <v>41936.979413965382</v>
      </c>
      <c r="I5" s="42">
        <f t="shared" ref="I5:L5" si="0">GROWTH(D5:H5,D4:H4,I4)</f>
        <v>47732.890897922363</v>
      </c>
      <c r="J5" s="42">
        <f t="shared" si="0"/>
        <v>55218.642567915122</v>
      </c>
      <c r="K5" s="42">
        <f t="shared" si="0"/>
        <v>69103.447806799799</v>
      </c>
      <c r="L5" s="42">
        <f t="shared" si="0"/>
        <v>83381.504567029289</v>
      </c>
    </row>
    <row r="6" spans="2:12" x14ac:dyDescent="0.25">
      <c r="B6" s="17" t="s">
        <v>238</v>
      </c>
      <c r="C6" s="18">
        <f>C5/'Income Statement'!C5</f>
        <v>1</v>
      </c>
      <c r="D6" s="18">
        <f>D5/'Income Statement'!D5</f>
        <v>1</v>
      </c>
      <c r="E6" s="18">
        <f>E5/'Income Statement'!E5</f>
        <v>1</v>
      </c>
      <c r="F6" s="18">
        <f>F5/'Income Statement'!F5</f>
        <v>1</v>
      </c>
      <c r="G6" s="18">
        <f>G5/'Income Statement'!G5</f>
        <v>1</v>
      </c>
      <c r="H6" s="39">
        <f>H5/'Income Statement'!H5</f>
        <v>1</v>
      </c>
      <c r="I6" s="39">
        <f>I5/'Income Statement'!I5</f>
        <v>1</v>
      </c>
      <c r="J6" s="39">
        <f>J5/'Income Statement'!J5</f>
        <v>1</v>
      </c>
      <c r="K6" s="39">
        <f>K5/'Income Statement'!K5</f>
        <v>1</v>
      </c>
      <c r="L6" s="39">
        <f>L5/'Income Statement'!L5</f>
        <v>1</v>
      </c>
    </row>
    <row r="7" spans="2:12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38">
        <f>H5*H8</f>
        <v>0</v>
      </c>
      <c r="I7" s="38">
        <f t="shared" ref="I7:L7" si="1">I5*I8</f>
        <v>0</v>
      </c>
      <c r="J7" s="38">
        <f t="shared" si="1"/>
        <v>0</v>
      </c>
      <c r="K7" s="38">
        <f t="shared" si="1"/>
        <v>0</v>
      </c>
      <c r="L7" s="38">
        <f t="shared" si="1"/>
        <v>0</v>
      </c>
    </row>
    <row r="8" spans="2:12" x14ac:dyDescent="0.25">
      <c r="B8" s="17" t="s">
        <v>239</v>
      </c>
      <c r="C8" s="18">
        <f>C7/'Income Statement'!C5</f>
        <v>0</v>
      </c>
      <c r="D8" s="18">
        <f>D7/'Income Statement'!D5</f>
        <v>0</v>
      </c>
      <c r="E8" s="18">
        <f>E7/'Income Statement'!E5</f>
        <v>0</v>
      </c>
      <c r="F8" s="18">
        <f>F7/'Income Statement'!F5</f>
        <v>0</v>
      </c>
      <c r="G8" s="18">
        <f>G7/'Income Statement'!G5</f>
        <v>0</v>
      </c>
      <c r="H8" s="39">
        <f>G8</f>
        <v>0</v>
      </c>
      <c r="I8" s="39">
        <f t="shared" ref="I8:L8" si="2">H8</f>
        <v>0</v>
      </c>
      <c r="J8" s="39">
        <f t="shared" si="2"/>
        <v>0</v>
      </c>
      <c r="K8" s="39">
        <f t="shared" si="2"/>
        <v>0</v>
      </c>
      <c r="L8" s="39">
        <f t="shared" si="2"/>
        <v>0</v>
      </c>
    </row>
    <row r="9" spans="2:12" ht="18.75" x14ac:dyDescent="0.25">
      <c r="B9" s="9" t="s">
        <v>105</v>
      </c>
      <c r="C9" s="7">
        <f>C5 - C7</f>
        <v>12336.56</v>
      </c>
      <c r="D9" s="7">
        <f t="shared" ref="D9:L9" si="3">D5 - D7</f>
        <v>18397.29</v>
      </c>
      <c r="E9" s="7">
        <f t="shared" si="3"/>
        <v>26223.07</v>
      </c>
      <c r="F9" s="7">
        <f t="shared" si="3"/>
        <v>26504.52</v>
      </c>
      <c r="G9" s="7">
        <f t="shared" si="3"/>
        <v>30739.15</v>
      </c>
      <c r="H9" s="43">
        <f t="shared" si="3"/>
        <v>41936.979413965382</v>
      </c>
      <c r="I9" s="43">
        <f t="shared" si="3"/>
        <v>47732.890897922363</v>
      </c>
      <c r="J9" s="43">
        <f t="shared" si="3"/>
        <v>55218.642567915122</v>
      </c>
      <c r="K9" s="43">
        <f t="shared" si="3"/>
        <v>69103.447806799799</v>
      </c>
      <c r="L9" s="43">
        <f t="shared" si="3"/>
        <v>83381.504567029289</v>
      </c>
    </row>
    <row r="10" spans="2:12" x14ac:dyDescent="0.25">
      <c r="B10" s="19" t="s">
        <v>240</v>
      </c>
      <c r="C10" s="21">
        <f>C9/'Income Statement'!C5</f>
        <v>1</v>
      </c>
      <c r="D10" s="21">
        <f>D9/'Income Statement'!D5</f>
        <v>1</v>
      </c>
      <c r="E10" s="21">
        <f>E9/'Income Statement'!E5</f>
        <v>1</v>
      </c>
      <c r="F10" s="21">
        <f>F9/'Income Statement'!F5</f>
        <v>1</v>
      </c>
      <c r="G10" s="21">
        <f>G9/'Income Statement'!G5</f>
        <v>1</v>
      </c>
      <c r="H10" s="44">
        <f>H9/'Income Statement'!H5</f>
        <v>1</v>
      </c>
      <c r="I10" s="44">
        <f>I9/'Income Statement'!I5</f>
        <v>1</v>
      </c>
      <c r="J10" s="44">
        <f>J9/'Income Statement'!J5</f>
        <v>1</v>
      </c>
      <c r="K10" s="44">
        <f>K9/'Income Statement'!K5</f>
        <v>1</v>
      </c>
      <c r="L10" s="44">
        <f>L9/'Income Statement'!L5</f>
        <v>1</v>
      </c>
    </row>
    <row r="11" spans="2:12" ht="18.75" x14ac:dyDescent="0.25">
      <c r="B11" s="8" t="s">
        <v>59</v>
      </c>
      <c r="C11" s="4">
        <v>23.87</v>
      </c>
      <c r="D11" s="4">
        <v>13.04</v>
      </c>
      <c r="E11" s="4">
        <v>11.87</v>
      </c>
      <c r="F11" s="4">
        <v>14.95</v>
      </c>
      <c r="G11" s="4">
        <v>7.99</v>
      </c>
      <c r="H11" s="38">
        <f>H5*H12</f>
        <v>23.654751802288153</v>
      </c>
      <c r="I11" s="38">
        <f t="shared" ref="I11:L11" si="4">I5*I12</f>
        <v>26.923963117382971</v>
      </c>
      <c r="J11" s="38">
        <f t="shared" si="4"/>
        <v>31.146336790492001</v>
      </c>
      <c r="K11" s="38">
        <f t="shared" si="4"/>
        <v>38.97812692746961</v>
      </c>
      <c r="L11" s="38">
        <f t="shared" si="4"/>
        <v>47.03173244703499</v>
      </c>
    </row>
    <row r="12" spans="2:12" x14ac:dyDescent="0.25">
      <c r="B12" s="17" t="s">
        <v>241</v>
      </c>
      <c r="C12" s="18">
        <f>C11/'Income Statement'!C5</f>
        <v>1.9348991939406124E-3</v>
      </c>
      <c r="D12" s="18">
        <f>D11/'Income Statement'!D5</f>
        <v>7.0880004609374524E-4</v>
      </c>
      <c r="E12" s="18">
        <f>E11/'Income Statement'!E5</f>
        <v>4.526548569637346E-4</v>
      </c>
      <c r="F12" s="18">
        <f>F11/'Income Statement'!F5</f>
        <v>5.6405473481504283E-4</v>
      </c>
      <c r="G12" s="18">
        <f>G11/'Income Statement'!G5</f>
        <v>2.5992911319929146E-4</v>
      </c>
      <c r="H12" s="39">
        <f>MEDIAN(C12:G12)</f>
        <v>5.6405473481504283E-4</v>
      </c>
      <c r="I12" s="39">
        <f t="shared" ref="I12:L12" si="5">H12</f>
        <v>5.6405473481504283E-4</v>
      </c>
      <c r="J12" s="39">
        <f t="shared" si="5"/>
        <v>5.6405473481504283E-4</v>
      </c>
      <c r="K12" s="39">
        <f t="shared" si="5"/>
        <v>5.6405473481504283E-4</v>
      </c>
      <c r="L12" s="39">
        <f t="shared" si="5"/>
        <v>5.6405473481504283E-4</v>
      </c>
    </row>
    <row r="13" spans="2:12" ht="18.75" x14ac:dyDescent="0.25">
      <c r="B13" s="8" t="s">
        <v>106</v>
      </c>
      <c r="C13" s="4"/>
      <c r="D13" s="4"/>
      <c r="E13" s="4"/>
      <c r="F13" s="4"/>
      <c r="G13" s="4"/>
      <c r="H13" s="38">
        <f>H5*H14</f>
        <v>0</v>
      </c>
      <c r="I13" s="38">
        <f t="shared" ref="I13:L13" si="6">I5*I14</f>
        <v>0</v>
      </c>
      <c r="J13" s="38">
        <f t="shared" si="6"/>
        <v>0</v>
      </c>
      <c r="K13" s="38">
        <f t="shared" si="6"/>
        <v>0</v>
      </c>
      <c r="L13" s="38">
        <f t="shared" si="6"/>
        <v>0</v>
      </c>
    </row>
    <row r="14" spans="2:12" x14ac:dyDescent="0.25">
      <c r="B14" s="17" t="s">
        <v>242</v>
      </c>
      <c r="C14" s="18">
        <f>C13/'Income Statement'!C5</f>
        <v>0</v>
      </c>
      <c r="D14" s="18">
        <f>D13/'Income Statement'!D5</f>
        <v>0</v>
      </c>
      <c r="E14" s="18">
        <f>E13/'Income Statement'!E5</f>
        <v>0</v>
      </c>
      <c r="F14" s="18">
        <f>F13/'Income Statement'!F5</f>
        <v>0</v>
      </c>
      <c r="G14" s="18">
        <f>G13/'Income Statement'!G5</f>
        <v>0</v>
      </c>
      <c r="H14" s="39">
        <f>MEDIAN(C14:G14)</f>
        <v>0</v>
      </c>
      <c r="I14" s="39">
        <f t="shared" ref="I14:L14" si="7">H14</f>
        <v>0</v>
      </c>
      <c r="J14" s="39">
        <f t="shared" si="7"/>
        <v>0</v>
      </c>
      <c r="K14" s="39">
        <f t="shared" si="7"/>
        <v>0</v>
      </c>
      <c r="L14" s="39">
        <f t="shared" si="7"/>
        <v>0</v>
      </c>
    </row>
    <row r="15" spans="2:12" ht="18.75" x14ac:dyDescent="0.25">
      <c r="B15" s="9" t="s">
        <v>107</v>
      </c>
      <c r="C15" s="7">
        <f>SUM(C9:C13)</f>
        <v>12361.431934899194</v>
      </c>
      <c r="D15" s="7">
        <f t="shared" ref="D15:L15" si="8">SUM(D9:D13)</f>
        <v>18411.330708800047</v>
      </c>
      <c r="E15" s="7">
        <f t="shared" si="8"/>
        <v>26235.940452654857</v>
      </c>
      <c r="F15" s="7">
        <f t="shared" si="8"/>
        <v>26520.470564054736</v>
      </c>
      <c r="G15" s="7">
        <f t="shared" si="8"/>
        <v>30748.140259929118</v>
      </c>
      <c r="H15" s="43">
        <f t="shared" si="8"/>
        <v>41961.634729822399</v>
      </c>
      <c r="I15" s="43">
        <f t="shared" si="8"/>
        <v>47760.815425094479</v>
      </c>
      <c r="J15" s="43">
        <f t="shared" si="8"/>
        <v>55250.789468760348</v>
      </c>
      <c r="K15" s="43">
        <f t="shared" si="8"/>
        <v>69143.426497781998</v>
      </c>
      <c r="L15" s="43">
        <f t="shared" si="8"/>
        <v>83429.536863531059</v>
      </c>
    </row>
    <row r="16" spans="2:12" x14ac:dyDescent="0.25">
      <c r="B16" s="19" t="s">
        <v>243</v>
      </c>
      <c r="C16" s="21">
        <f>C15/'Income Statement'!C5</f>
        <v>1.0020161159106911</v>
      </c>
      <c r="D16" s="21">
        <f>D15/'Income Statement'!D5</f>
        <v>1.0007631944052655</v>
      </c>
      <c r="E16" s="21">
        <f>E15/'Income Statement'!E5</f>
        <v>1.0004908064789841</v>
      </c>
      <c r="F16" s="21">
        <f>F15/'Income Statement'!F5</f>
        <v>1.0006018054299695</v>
      </c>
      <c r="G16" s="21">
        <f>G15/'Income Statement'!G5</f>
        <v>1.000292469373067</v>
      </c>
      <c r="H16" s="44">
        <f>H15/'Income Statement'!H5</f>
        <v>1.0005879134883235</v>
      </c>
      <c r="I16" s="44">
        <f>I15/'Income Statement'!I5</f>
        <v>1.0005850164665666</v>
      </c>
      <c r="J16" s="44">
        <f>J15/'Income Statement'!J5</f>
        <v>1.0005821747755876</v>
      </c>
      <c r="K16" s="44">
        <f>K15/'Income Statement'!K5</f>
        <v>1.0005785339552662</v>
      </c>
      <c r="L16" s="44">
        <f>L15/'Income Statement'!L5</f>
        <v>1.0005760545669113</v>
      </c>
    </row>
    <row r="17" spans="2:12" ht="18.75" x14ac:dyDescent="0.25">
      <c r="B17" s="8" t="s">
        <v>62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38">
        <f>H5*H18</f>
        <v>0</v>
      </c>
      <c r="I17" s="38">
        <f t="shared" ref="I17:L17" si="9">I5*I18</f>
        <v>0</v>
      </c>
      <c r="J17" s="38">
        <f t="shared" si="9"/>
        <v>0</v>
      </c>
      <c r="K17" s="38">
        <f t="shared" si="9"/>
        <v>0</v>
      </c>
      <c r="L17" s="38">
        <f t="shared" si="9"/>
        <v>0</v>
      </c>
    </row>
    <row r="18" spans="2:12" x14ac:dyDescent="0.25">
      <c r="B18" s="17" t="s">
        <v>244</v>
      </c>
      <c r="C18" s="18">
        <f>C17/'Income Statement'!C5</f>
        <v>0</v>
      </c>
      <c r="D18" s="18">
        <f>D17/'Income Statement'!D5</f>
        <v>0</v>
      </c>
      <c r="E18" s="18">
        <f>E17/'Income Statement'!E5</f>
        <v>0</v>
      </c>
      <c r="F18" s="18">
        <f>F17/'Income Statement'!F5</f>
        <v>0</v>
      </c>
      <c r="G18" s="18">
        <f>G17/'Income Statement'!G5</f>
        <v>0</v>
      </c>
      <c r="H18" s="39">
        <f>G18</f>
        <v>0</v>
      </c>
      <c r="I18" s="39">
        <f t="shared" ref="I18:L18" si="10">H18</f>
        <v>0</v>
      </c>
      <c r="J18" s="39">
        <f t="shared" si="10"/>
        <v>0</v>
      </c>
      <c r="K18" s="39">
        <f t="shared" si="10"/>
        <v>0</v>
      </c>
      <c r="L18" s="39">
        <f t="shared" si="10"/>
        <v>0</v>
      </c>
    </row>
    <row r="19" spans="2:12" ht="18.75" x14ac:dyDescent="0.25">
      <c r="B19" s="8" t="s">
        <v>64</v>
      </c>
      <c r="C19" s="4">
        <v>0</v>
      </c>
      <c r="D19" s="5">
        <v>712.88</v>
      </c>
      <c r="E19" s="5">
        <v>1056.3699999999999</v>
      </c>
      <c r="F19" s="4">
        <v>1246.48</v>
      </c>
      <c r="G19" s="4">
        <v>0</v>
      </c>
      <c r="H19" s="38">
        <f>H5*H20</f>
        <v>0</v>
      </c>
      <c r="I19" s="38">
        <f t="shared" ref="I19:L19" si="11">I5*I20</f>
        <v>0</v>
      </c>
      <c r="J19" s="38">
        <f t="shared" si="11"/>
        <v>0</v>
      </c>
      <c r="K19" s="38">
        <f t="shared" si="11"/>
        <v>0</v>
      </c>
      <c r="L19" s="38">
        <f t="shared" si="11"/>
        <v>0</v>
      </c>
    </row>
    <row r="20" spans="2:12" x14ac:dyDescent="0.25">
      <c r="B20" s="17" t="s">
        <v>245</v>
      </c>
      <c r="C20" s="18">
        <f>C19/'Income Statement'!C5</f>
        <v>0</v>
      </c>
      <c r="D20" s="18">
        <f>D19/'Income Statement'!D5</f>
        <v>3.8749185341971561E-2</v>
      </c>
      <c r="E20" s="18">
        <f>E19/'Income Statement'!E5</f>
        <v>4.0283994208153352E-2</v>
      </c>
      <c r="F20" s="18">
        <f>F19/'Income Statement'!F5</f>
        <v>4.7028959588779576E-2</v>
      </c>
      <c r="G20" s="18">
        <f>G19/'Income Statement'!G5</f>
        <v>0</v>
      </c>
      <c r="H20" s="39">
        <f>G20</f>
        <v>0</v>
      </c>
      <c r="I20" s="39">
        <f t="shared" ref="I20:L20" si="12">H20</f>
        <v>0</v>
      </c>
      <c r="J20" s="39">
        <f t="shared" si="12"/>
        <v>0</v>
      </c>
      <c r="K20" s="39">
        <f t="shared" si="12"/>
        <v>0</v>
      </c>
      <c r="L20" s="39">
        <f t="shared" si="12"/>
        <v>0</v>
      </c>
    </row>
    <row r="21" spans="2:12" ht="18.75" x14ac:dyDescent="0.25">
      <c r="B21" s="8" t="s">
        <v>66</v>
      </c>
      <c r="C21" s="5">
        <v>1419.59</v>
      </c>
      <c r="D21" s="5">
        <v>1938.53</v>
      </c>
      <c r="E21" s="5">
        <v>2547.96</v>
      </c>
      <c r="F21" s="5">
        <v>2498.67</v>
      </c>
      <c r="G21" s="5">
        <v>3589.66</v>
      </c>
      <c r="H21" s="42">
        <f>H5*H22</f>
        <v>4897.3214133486108</v>
      </c>
      <c r="I21" s="42">
        <f t="shared" ref="I21:L21" si="13">I5*I22</f>
        <v>5574.1570323394099</v>
      </c>
      <c r="J21" s="42">
        <f t="shared" si="13"/>
        <v>6448.3290032529258</v>
      </c>
      <c r="K21" s="42">
        <f t="shared" si="13"/>
        <v>8069.7703890366829</v>
      </c>
      <c r="L21" s="42">
        <f t="shared" si="13"/>
        <v>9737.1349462845374</v>
      </c>
    </row>
    <row r="22" spans="2:12" x14ac:dyDescent="0.25">
      <c r="B22" s="17" t="s">
        <v>246</v>
      </c>
      <c r="C22" s="18">
        <f>C21/'Income Statement'!C5</f>
        <v>0.1150717866244723</v>
      </c>
      <c r="D22" s="18">
        <f>D21/'Income Statement'!D5</f>
        <v>0.10537041053329049</v>
      </c>
      <c r="E22" s="18">
        <f>E21/'Income Statement'!E5</f>
        <v>9.7164824713506084E-2</v>
      </c>
      <c r="F22" s="18">
        <f>F21/'Income Statement'!F5</f>
        <v>9.4273354129786172E-2</v>
      </c>
      <c r="G22" s="18">
        <f>G21/'Income Statement'!G5</f>
        <v>0.11677811520487716</v>
      </c>
      <c r="H22" s="39">
        <f>G22</f>
        <v>0.11677811520487716</v>
      </c>
      <c r="I22" s="39">
        <f t="shared" ref="I22:L22" si="14">H22</f>
        <v>0.11677811520487716</v>
      </c>
      <c r="J22" s="39">
        <f t="shared" si="14"/>
        <v>0.11677811520487716</v>
      </c>
      <c r="K22" s="39">
        <f t="shared" si="14"/>
        <v>0.11677811520487716</v>
      </c>
      <c r="L22" s="39">
        <f t="shared" si="14"/>
        <v>0.11677811520487716</v>
      </c>
    </row>
    <row r="23" spans="2:12" ht="18.75" x14ac:dyDescent="0.25">
      <c r="B23" s="8" t="s">
        <v>69</v>
      </c>
      <c r="C23" s="5">
        <v>2168.5300000000002</v>
      </c>
      <c r="D23" s="5">
        <v>1400.55</v>
      </c>
      <c r="E23" s="5">
        <v>1761.87</v>
      </c>
      <c r="F23" s="5">
        <v>1237.79</v>
      </c>
      <c r="G23" s="5">
        <v>3610.76</v>
      </c>
      <c r="H23" s="42">
        <f>H5*H24</f>
        <v>4053.3117349619297</v>
      </c>
      <c r="I23" s="42">
        <f t="shared" ref="I23:L23" si="15">I5*I24</f>
        <v>4613.5007700572942</v>
      </c>
      <c r="J23" s="42">
        <f t="shared" si="15"/>
        <v>5337.0169963806511</v>
      </c>
      <c r="K23" s="42">
        <f t="shared" si="15"/>
        <v>6679.0174169853499</v>
      </c>
      <c r="L23" s="42">
        <f t="shared" si="15"/>
        <v>8059.0265599284958</v>
      </c>
    </row>
    <row r="24" spans="2:12" x14ac:dyDescent="0.25">
      <c r="B24" s="17" t="s">
        <v>247</v>
      </c>
      <c r="C24" s="18">
        <f>C23/'Income Statement'!C5</f>
        <v>0.17578076870699777</v>
      </c>
      <c r="D24" s="18">
        <f>D23/'Income Statement'!D5</f>
        <v>7.6128060165383052E-2</v>
      </c>
      <c r="E24" s="18">
        <f>E23/'Income Statement'!E5</f>
        <v>6.7187785411852996E-2</v>
      </c>
      <c r="F24" s="18">
        <f>F23/'Income Statement'!F5</f>
        <v>4.6701090983726545E-2</v>
      </c>
      <c r="G24" s="18">
        <f>G23/'Income Statement'!G5</f>
        <v>0.11746453626726829</v>
      </c>
      <c r="H24" s="39">
        <f>AVERAGE(C24:G24)</f>
        <v>9.6652448307045724E-2</v>
      </c>
      <c r="I24" s="39">
        <f t="shared" ref="I24:L24" si="16">H24</f>
        <v>9.6652448307045724E-2</v>
      </c>
      <c r="J24" s="39">
        <f t="shared" si="16"/>
        <v>9.6652448307045724E-2</v>
      </c>
      <c r="K24" s="39">
        <f t="shared" si="16"/>
        <v>9.6652448307045724E-2</v>
      </c>
      <c r="L24" s="39">
        <f t="shared" si="16"/>
        <v>9.6652448307045724E-2</v>
      </c>
    </row>
    <row r="25" spans="2:12" ht="18.75" x14ac:dyDescent="0.25">
      <c r="B25" s="9" t="s">
        <v>108</v>
      </c>
      <c r="C25" s="7">
        <f>C17+C19+C21+C23</f>
        <v>3588.12</v>
      </c>
      <c r="D25" s="7">
        <f t="shared" ref="D25:L25" si="17">D17+D19+D21+D23</f>
        <v>4051.96</v>
      </c>
      <c r="E25" s="7">
        <f t="shared" si="17"/>
        <v>5366.2</v>
      </c>
      <c r="F25" s="7">
        <f t="shared" si="17"/>
        <v>4982.9400000000005</v>
      </c>
      <c r="G25" s="7">
        <f t="shared" si="17"/>
        <v>7200.42</v>
      </c>
      <c r="H25" s="43">
        <f t="shared" si="17"/>
        <v>8950.6331483105405</v>
      </c>
      <c r="I25" s="43">
        <f t="shared" si="17"/>
        <v>10187.657802396705</v>
      </c>
      <c r="J25" s="43">
        <f t="shared" si="17"/>
        <v>11785.345999633577</v>
      </c>
      <c r="K25" s="43">
        <f t="shared" si="17"/>
        <v>14748.787806022032</v>
      </c>
      <c r="L25" s="43">
        <f t="shared" si="17"/>
        <v>17796.161506213033</v>
      </c>
    </row>
    <row r="26" spans="2:12" x14ac:dyDescent="0.25">
      <c r="B26" s="19" t="s">
        <v>248</v>
      </c>
      <c r="C26" s="21">
        <f>C25/'Income Statement'!C5</f>
        <v>0.29085255533147003</v>
      </c>
      <c r="D26" s="21">
        <f>D25/'Income Statement'!D5</f>
        <v>0.22024765604064511</v>
      </c>
      <c r="E26" s="21">
        <f>E25/'Income Statement'!E5</f>
        <v>0.20463660433351244</v>
      </c>
      <c r="F26" s="21">
        <f>F25/'Income Statement'!F5</f>
        <v>0.18800340470229229</v>
      </c>
      <c r="G26" s="21">
        <f>G25/'Income Statement'!G5</f>
        <v>0.23424265147214546</v>
      </c>
      <c r="H26" s="44">
        <f>H25/'Income Statement'!H5</f>
        <v>0.21343056351192288</v>
      </c>
      <c r="I26" s="44">
        <f>I25/'Income Statement'!I5</f>
        <v>0.21343056351192288</v>
      </c>
      <c r="J26" s="44">
        <f>J25/'Income Statement'!J5</f>
        <v>0.21343056351192288</v>
      </c>
      <c r="K26" s="44">
        <f>K25/'Income Statement'!K5</f>
        <v>0.21343056351192288</v>
      </c>
      <c r="L26" s="44">
        <f>L25/'Income Statement'!L5</f>
        <v>0.21343056351192288</v>
      </c>
    </row>
    <row r="27" spans="2:12" ht="18.75" x14ac:dyDescent="0.25">
      <c r="B27" s="9" t="s">
        <v>109</v>
      </c>
      <c r="C27" s="7">
        <f xml:space="preserve"> C15-C25-C11</f>
        <v>8749.4419348991923</v>
      </c>
      <c r="D27" s="7">
        <f t="shared" ref="D27:L27" si="18" xml:space="preserve"> D15-D25-D11</f>
        <v>14346.330708800047</v>
      </c>
      <c r="E27" s="7">
        <f t="shared" si="18"/>
        <v>20857.870452654857</v>
      </c>
      <c r="F27" s="7">
        <f t="shared" si="18"/>
        <v>21522.580564054737</v>
      </c>
      <c r="G27" s="7">
        <f t="shared" si="18"/>
        <v>23539.730259929118</v>
      </c>
      <c r="H27" s="43">
        <f t="shared" si="18"/>
        <v>32987.346829709575</v>
      </c>
      <c r="I27" s="43">
        <f t="shared" si="18"/>
        <v>37546.233659580394</v>
      </c>
      <c r="J27" s="43">
        <f t="shared" si="18"/>
        <v>43434.297132336273</v>
      </c>
      <c r="K27" s="43">
        <f t="shared" si="18"/>
        <v>54355.660564832498</v>
      </c>
      <c r="L27" s="43">
        <f t="shared" si="18"/>
        <v>65586.343624870991</v>
      </c>
    </row>
    <row r="28" spans="2:12" x14ac:dyDescent="0.25">
      <c r="B28" s="19" t="s">
        <v>249</v>
      </c>
      <c r="C28" s="21">
        <f>C27/'Income Statement'!C5</f>
        <v>0.70922866138528018</v>
      </c>
      <c r="D28" s="21">
        <f>D27/'Income Statement'!D5</f>
        <v>0.77980673831852665</v>
      </c>
      <c r="E28" s="21">
        <f>E27/'Income Statement'!E5</f>
        <v>0.79540154728850809</v>
      </c>
      <c r="F28" s="21">
        <f>F27/'Income Statement'!F5</f>
        <v>0.81203434599286217</v>
      </c>
      <c r="G28" s="21">
        <f>G27/'Income Statement'!G5</f>
        <v>0.76578988878772236</v>
      </c>
      <c r="H28" s="44">
        <f>H27/'Income Statement'!H5</f>
        <v>0.78659329524158572</v>
      </c>
      <c r="I28" s="44">
        <f>I27/'Income Statement'!I5</f>
        <v>0.78659039821982879</v>
      </c>
      <c r="J28" s="44">
        <f>J27/'Income Statement'!J5</f>
        <v>0.78658755652884949</v>
      </c>
      <c r="K28" s="44">
        <f>K27/'Income Statement'!K5</f>
        <v>0.78658391570852826</v>
      </c>
      <c r="L28" s="44">
        <f>L27/'Income Statement'!L5</f>
        <v>0.7865814363201733</v>
      </c>
    </row>
    <row r="29" spans="2:12" ht="18.75" x14ac:dyDescent="0.25">
      <c r="B29" s="9" t="s">
        <v>110</v>
      </c>
      <c r="C29" s="7">
        <f xml:space="preserve"> C27+C11</f>
        <v>8773.3119348991931</v>
      </c>
      <c r="D29" s="7">
        <f t="shared" ref="D29:L29" si="19" xml:space="preserve"> D27+D11</f>
        <v>14359.370708800048</v>
      </c>
      <c r="E29" s="7">
        <f t="shared" si="19"/>
        <v>20869.740452654856</v>
      </c>
      <c r="F29" s="7">
        <f t="shared" si="19"/>
        <v>21537.530564054738</v>
      </c>
      <c r="G29" s="7">
        <f t="shared" si="19"/>
        <v>23547.720259929119</v>
      </c>
      <c r="H29" s="43">
        <f t="shared" si="19"/>
        <v>33011.00158151186</v>
      </c>
      <c r="I29" s="43">
        <f t="shared" si="19"/>
        <v>37573.157622697778</v>
      </c>
      <c r="J29" s="43">
        <f t="shared" si="19"/>
        <v>43465.443469126767</v>
      </c>
      <c r="K29" s="43">
        <f t="shared" si="19"/>
        <v>54394.638691759967</v>
      </c>
      <c r="L29" s="43">
        <f t="shared" si="19"/>
        <v>65633.375357318029</v>
      </c>
    </row>
    <row r="30" spans="2:12" x14ac:dyDescent="0.25">
      <c r="B30" s="19" t="s">
        <v>250</v>
      </c>
      <c r="C30" s="21">
        <f>C29/'Income Statement'!C5</f>
        <v>0.71116356057922092</v>
      </c>
      <c r="D30" s="21">
        <f>D29/'Income Statement'!D5</f>
        <v>0.7805155383646204</v>
      </c>
      <c r="E30" s="21">
        <f>E29/'Income Statement'!E5</f>
        <v>0.79585420214547176</v>
      </c>
      <c r="F30" s="21">
        <f>F29/'Income Statement'!F5</f>
        <v>0.81259840072767731</v>
      </c>
      <c r="G30" s="21">
        <f>G29/'Income Statement'!G5</f>
        <v>0.76604981790092175</v>
      </c>
      <c r="H30" s="44">
        <f>H29/'Income Statement'!H5</f>
        <v>0.78715734997640074</v>
      </c>
      <c r="I30" s="44">
        <f>I29/'Income Statement'!I5</f>
        <v>0.78715445295464392</v>
      </c>
      <c r="J30" s="44">
        <f>J29/'Income Statement'!J5</f>
        <v>0.78715161126366462</v>
      </c>
      <c r="K30" s="44">
        <f>K29/'Income Statement'!K5</f>
        <v>0.78714797044334328</v>
      </c>
      <c r="L30" s="44">
        <f>L29/'Income Statement'!L5</f>
        <v>0.78714549105498843</v>
      </c>
    </row>
    <row r="31" spans="2:12" ht="18.75" x14ac:dyDescent="0.25">
      <c r="B31" s="8" t="s">
        <v>68</v>
      </c>
      <c r="C31" s="4">
        <v>102.07</v>
      </c>
      <c r="D31" s="4">
        <v>144.15</v>
      </c>
      <c r="E31" s="4">
        <v>294.63</v>
      </c>
      <c r="F31" s="4">
        <v>325.27</v>
      </c>
      <c r="G31" s="4">
        <v>384.57</v>
      </c>
      <c r="H31" s="38">
        <f>'Balance Sheet'!H40*H62</f>
        <v>614.29183966116511</v>
      </c>
      <c r="I31" s="38">
        <f>'Balance Sheet'!I40*I62</f>
        <v>717.99847106417735</v>
      </c>
      <c r="J31" s="38">
        <f>'Balance Sheet'!J40*J62</f>
        <v>867.63783973713703</v>
      </c>
      <c r="K31" s="38">
        <f>'Balance Sheet'!K40*K62</f>
        <v>1087.6944464492603</v>
      </c>
      <c r="L31" s="38">
        <f>'Balance Sheet'!L40*L62</f>
        <v>1314.814679683197</v>
      </c>
    </row>
    <row r="32" spans="2:12" x14ac:dyDescent="0.25">
      <c r="B32" s="17" t="s">
        <v>251</v>
      </c>
      <c r="C32" s="18">
        <f>C31/'Income Statement'!C5</f>
        <v>8.2737813458533E-3</v>
      </c>
      <c r="D32" s="18">
        <f>D31/'Income Statement'!D5</f>
        <v>7.8353931475777135E-3</v>
      </c>
      <c r="E32" s="18">
        <f>E31/'Income Statement'!E5</f>
        <v>1.1235526580221157E-2</v>
      </c>
      <c r="F32" s="18">
        <f>F31/'Income Statement'!F5</f>
        <v>1.2272246394199932E-2</v>
      </c>
      <c r="G32" s="18">
        <f>G31/'Income Statement'!G5</f>
        <v>1.2510755827666021E-2</v>
      </c>
      <c r="H32" s="39">
        <f>H31/'Income Statement'!H5</f>
        <v>1.4647975325008757E-2</v>
      </c>
      <c r="I32" s="39">
        <f>I31/'Income Statement'!I5</f>
        <v>1.5042006833393557E-2</v>
      </c>
      <c r="J32" s="39">
        <f>J31/'Income Statement'!J5</f>
        <v>1.5712770169422442E-2</v>
      </c>
      <c r="K32" s="39">
        <f>K31/'Income Statement'!K5</f>
        <v>1.5740089401765436E-2</v>
      </c>
      <c r="L32" s="39">
        <f>L31/'Income Statement'!L5</f>
        <v>1.5768661005945688E-2</v>
      </c>
    </row>
    <row r="33" spans="2:12" ht="18.75" x14ac:dyDescent="0.25">
      <c r="B33" s="9" t="s">
        <v>111</v>
      </c>
      <c r="C33" s="7">
        <f xml:space="preserve"> C29-C31</f>
        <v>8671.2419348991934</v>
      </c>
      <c r="D33" s="7">
        <f t="shared" ref="D33:L33" si="20" xml:space="preserve"> D29-D31</f>
        <v>14215.220708800049</v>
      </c>
      <c r="E33" s="7">
        <f t="shared" si="20"/>
        <v>20575.110452654855</v>
      </c>
      <c r="F33" s="7">
        <f t="shared" si="20"/>
        <v>21212.260564054737</v>
      </c>
      <c r="G33" s="7">
        <f t="shared" si="20"/>
        <v>23163.15025992912</v>
      </c>
      <c r="H33" s="43">
        <f t="shared" si="20"/>
        <v>32396.709741850696</v>
      </c>
      <c r="I33" s="43">
        <f t="shared" si="20"/>
        <v>36855.159151633598</v>
      </c>
      <c r="J33" s="43">
        <f t="shared" si="20"/>
        <v>42597.80562938963</v>
      </c>
      <c r="K33" s="43">
        <f t="shared" si="20"/>
        <v>53306.944245310704</v>
      </c>
      <c r="L33" s="43">
        <f t="shared" si="20"/>
        <v>64318.560677634829</v>
      </c>
    </row>
    <row r="34" spans="2:12" x14ac:dyDescent="0.25">
      <c r="B34" s="19" t="s">
        <v>252</v>
      </c>
      <c r="C34" s="21">
        <f>C33/'Income Statement'!C5</f>
        <v>0.7028897792333676</v>
      </c>
      <c r="D34" s="21">
        <f>D33/'Income Statement'!D5</f>
        <v>0.77268014521704276</v>
      </c>
      <c r="E34" s="21">
        <f>E33/'Income Statement'!E5</f>
        <v>0.78461867556525056</v>
      </c>
      <c r="F34" s="21">
        <f>F33/'Income Statement'!F5</f>
        <v>0.80032615433347731</v>
      </c>
      <c r="G34" s="21">
        <f>G33/'Income Statement'!G5</f>
        <v>0.75353906207325572</v>
      </c>
      <c r="H34" s="44">
        <f>H33/'Income Statement'!H5</f>
        <v>0.77250937465139202</v>
      </c>
      <c r="I34" s="44">
        <f>I33/'Income Statement'!I5</f>
        <v>0.7721124461212503</v>
      </c>
      <c r="J34" s="44">
        <f>J33/'Income Statement'!J5</f>
        <v>0.77143884109424221</v>
      </c>
      <c r="K34" s="44">
        <f>K33/'Income Statement'!K5</f>
        <v>0.77140788104157787</v>
      </c>
      <c r="L34" s="44">
        <f>L33/'Income Statement'!L5</f>
        <v>0.77137683004904267</v>
      </c>
    </row>
    <row r="35" spans="2:12" ht="18.75" x14ac:dyDescent="0.25">
      <c r="B35" s="8" t="s">
        <v>67</v>
      </c>
      <c r="C35" s="5">
        <v>4634.33</v>
      </c>
      <c r="D35" s="5">
        <v>6623.56</v>
      </c>
      <c r="E35" s="5">
        <v>9473.2099999999991</v>
      </c>
      <c r="F35" s="5">
        <v>9414</v>
      </c>
      <c r="G35" s="5">
        <v>9748.24</v>
      </c>
      <c r="H35" s="42">
        <f>'Balance Sheet'!H21*H63</f>
        <v>12518.677521724203</v>
      </c>
      <c r="I35" s="42">
        <f>'Balance Sheet'!I21*I63</f>
        <v>14632.095296234002</v>
      </c>
      <c r="J35" s="42">
        <f>'Balance Sheet'!J21*J63</f>
        <v>17681.576970330334</v>
      </c>
      <c r="K35" s="42">
        <f>'Balance Sheet'!K21*K63</f>
        <v>22166.145472981952</v>
      </c>
      <c r="L35" s="42">
        <f>'Balance Sheet'!L21*L63</f>
        <v>26794.621227583597</v>
      </c>
    </row>
    <row r="36" spans="2:12" x14ac:dyDescent="0.25">
      <c r="B36" s="17" t="s">
        <v>253</v>
      </c>
      <c r="C36" s="18">
        <f>C35/'Income Statement'!C5</f>
        <v>0.37565820617741091</v>
      </c>
      <c r="D36" s="18">
        <f>D35/'Income Statement'!D5</f>
        <v>0.36002911298348833</v>
      </c>
      <c r="E36" s="18">
        <f>E35/'Income Statement'!E5</f>
        <v>0.3612548034993614</v>
      </c>
      <c r="F36" s="18">
        <f>F35/'Income Statement'!F5</f>
        <v>0.35518470057182699</v>
      </c>
      <c r="G36" s="18">
        <f>G35/'Income Statement'!G5</f>
        <v>0.31712783209685369</v>
      </c>
      <c r="H36" s="39">
        <f>H35/'Income Statement'!H5</f>
        <v>0.29851166432734</v>
      </c>
      <c r="I36" s="39">
        <f>I35/'Income Statement'!I5</f>
        <v>0.30654115057738696</v>
      </c>
      <c r="J36" s="39">
        <f>J35/'Income Statement'!J5</f>
        <v>0.32021027950086267</v>
      </c>
      <c r="K36" s="39">
        <f>K35/'Income Statement'!K5</f>
        <v>0.32076757638713355</v>
      </c>
      <c r="L36" s="39">
        <f>L35/'Income Statement'!L5</f>
        <v>0.32134969699477844</v>
      </c>
    </row>
    <row r="37" spans="2:12" ht="18.75" x14ac:dyDescent="0.25">
      <c r="B37" s="9" t="s">
        <v>112</v>
      </c>
      <c r="C37" s="7">
        <f xml:space="preserve"> C33-C35</f>
        <v>4036.9119348991935</v>
      </c>
      <c r="D37" s="7">
        <f t="shared" ref="D37:L37" si="21" xml:space="preserve"> D33-D35</f>
        <v>7591.6607088000483</v>
      </c>
      <c r="E37" s="7">
        <f t="shared" si="21"/>
        <v>11101.900452654856</v>
      </c>
      <c r="F37" s="7">
        <f t="shared" si="21"/>
        <v>11798.260564054737</v>
      </c>
      <c r="G37" s="7">
        <f t="shared" si="21"/>
        <v>13414.91025992912</v>
      </c>
      <c r="H37" s="43">
        <f t="shared" si="21"/>
        <v>19878.032220126493</v>
      </c>
      <c r="I37" s="43">
        <f t="shared" si="21"/>
        <v>22223.063855399596</v>
      </c>
      <c r="J37" s="43">
        <f t="shared" si="21"/>
        <v>24916.228659059296</v>
      </c>
      <c r="K37" s="43">
        <f t="shared" si="21"/>
        <v>31140.798772328752</v>
      </c>
      <c r="L37" s="43">
        <f t="shared" si="21"/>
        <v>37523.939450051228</v>
      </c>
    </row>
    <row r="38" spans="2:12" x14ac:dyDescent="0.25">
      <c r="B38" s="19" t="s">
        <v>254</v>
      </c>
      <c r="C38" s="21">
        <f>C37/'Income Statement'!C5</f>
        <v>0.32723157305595674</v>
      </c>
      <c r="D38" s="21">
        <f>D37/'Income Statement'!D5</f>
        <v>0.41265103223355437</v>
      </c>
      <c r="E38" s="21">
        <f>E37/'Income Statement'!E5</f>
        <v>0.42336387206588916</v>
      </c>
      <c r="F38" s="21">
        <f>F37/'Income Statement'!F5</f>
        <v>0.44514145376165037</v>
      </c>
      <c r="G38" s="21">
        <f>G37/'Income Statement'!G5</f>
        <v>0.43641122997640208</v>
      </c>
      <c r="H38" s="44">
        <f>H37/'Income Statement'!H5</f>
        <v>0.47399771032405197</v>
      </c>
      <c r="I38" s="44">
        <f>I37/'Income Statement'!I5</f>
        <v>0.46557129554386334</v>
      </c>
      <c r="J38" s="44">
        <f>J37/'Income Statement'!J5</f>
        <v>0.45122856159337948</v>
      </c>
      <c r="K38" s="44">
        <f>K37/'Income Statement'!K5</f>
        <v>0.45064030465444427</v>
      </c>
      <c r="L38" s="44">
        <f>L37/'Income Statement'!L5</f>
        <v>0.45002713305426423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38">
        <f>H5*H40</f>
        <v>0</v>
      </c>
      <c r="I39" s="38">
        <f t="shared" ref="I39:L39" si="22">I5*I40</f>
        <v>0</v>
      </c>
      <c r="J39" s="38">
        <f t="shared" si="22"/>
        <v>0</v>
      </c>
      <c r="K39" s="38">
        <f t="shared" si="22"/>
        <v>0</v>
      </c>
      <c r="L39" s="38">
        <f t="shared" si="22"/>
        <v>0</v>
      </c>
    </row>
    <row r="40" spans="2:12" x14ac:dyDescent="0.25">
      <c r="B40" s="17" t="s">
        <v>255</v>
      </c>
      <c r="C40" s="18">
        <f>C39/'Income Statement'!C5</f>
        <v>0</v>
      </c>
      <c r="D40" s="18">
        <f>D39/'Income Statement'!D5</f>
        <v>0</v>
      </c>
      <c r="E40" s="18">
        <f>E39/'Income Statement'!E5</f>
        <v>0</v>
      </c>
      <c r="F40" s="18">
        <f>F39/'Income Statement'!F5</f>
        <v>0</v>
      </c>
      <c r="G40" s="18">
        <f>G39/'Income Statement'!G5</f>
        <v>0</v>
      </c>
      <c r="H40" s="39">
        <f>G40</f>
        <v>0</v>
      </c>
      <c r="I40" s="39">
        <f t="shared" ref="I40:L40" si="23">H40</f>
        <v>0</v>
      </c>
      <c r="J40" s="39">
        <f t="shared" si="23"/>
        <v>0</v>
      </c>
      <c r="K40" s="39">
        <f t="shared" si="23"/>
        <v>0</v>
      </c>
      <c r="L40" s="39">
        <f t="shared" si="23"/>
        <v>0</v>
      </c>
    </row>
    <row r="41" spans="2:12" ht="18.75" x14ac:dyDescent="0.25">
      <c r="B41" s="9" t="s">
        <v>114</v>
      </c>
      <c r="C41" s="7">
        <f xml:space="preserve"> C37+C39</f>
        <v>4036.9119348991935</v>
      </c>
      <c r="D41" s="7">
        <f t="shared" ref="D41:L41" si="24" xml:space="preserve"> D37+D39</f>
        <v>7591.6607088000483</v>
      </c>
      <c r="E41" s="7">
        <f t="shared" si="24"/>
        <v>11101.900452654856</v>
      </c>
      <c r="F41" s="7">
        <f t="shared" si="24"/>
        <v>11798.260564054737</v>
      </c>
      <c r="G41" s="7">
        <f t="shared" si="24"/>
        <v>13414.91025992912</v>
      </c>
      <c r="H41" s="43">
        <f t="shared" si="24"/>
        <v>19878.032220126493</v>
      </c>
      <c r="I41" s="43">
        <f t="shared" si="24"/>
        <v>22223.063855399596</v>
      </c>
      <c r="J41" s="43">
        <f t="shared" si="24"/>
        <v>24916.228659059296</v>
      </c>
      <c r="K41" s="43">
        <f t="shared" si="24"/>
        <v>31140.798772328752</v>
      </c>
      <c r="L41" s="43">
        <f t="shared" si="24"/>
        <v>37523.939450051228</v>
      </c>
    </row>
    <row r="42" spans="2:12" x14ac:dyDescent="0.25">
      <c r="B42" s="19" t="s">
        <v>256</v>
      </c>
      <c r="C42" s="21">
        <f>C41/'Income Statement'!C5</f>
        <v>0.32723157305595674</v>
      </c>
      <c r="D42" s="21">
        <f>D41/'Income Statement'!D5</f>
        <v>0.41265103223355437</v>
      </c>
      <c r="E42" s="21">
        <f>E41/'Income Statement'!E5</f>
        <v>0.42336387206588916</v>
      </c>
      <c r="F42" s="21">
        <f>F41/'Income Statement'!F5</f>
        <v>0.44514145376165037</v>
      </c>
      <c r="G42" s="21">
        <f>G41/'Income Statement'!G5</f>
        <v>0.43641122997640208</v>
      </c>
      <c r="H42" s="44">
        <f>H41/'Income Statement'!H5</f>
        <v>0.47399771032405197</v>
      </c>
      <c r="I42" s="44">
        <f>I41/'Income Statement'!I5</f>
        <v>0.46557129554386334</v>
      </c>
      <c r="J42" s="44">
        <f>J41/'Income Statement'!J5</f>
        <v>0.45122856159337948</v>
      </c>
      <c r="K42" s="44">
        <f>K41/'Income Statement'!K5</f>
        <v>0.45064030465444427</v>
      </c>
      <c r="L42" s="44">
        <f>L41/'Income Statement'!L5</f>
        <v>0.45002713305426423</v>
      </c>
    </row>
    <row r="43" spans="2:12" ht="18.75" x14ac:dyDescent="0.25">
      <c r="B43" s="8" t="s">
        <v>72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38">
        <f>H5*H44</f>
        <v>0</v>
      </c>
      <c r="I43" s="38">
        <f t="shared" ref="I43:L43" si="25">I5*I44</f>
        <v>0</v>
      </c>
      <c r="J43" s="38">
        <f t="shared" si="25"/>
        <v>0</v>
      </c>
      <c r="K43" s="38">
        <f t="shared" si="25"/>
        <v>0</v>
      </c>
      <c r="L43" s="38">
        <f t="shared" si="25"/>
        <v>0</v>
      </c>
    </row>
    <row r="44" spans="2:12" x14ac:dyDescent="0.25">
      <c r="B44" s="17" t="s">
        <v>257</v>
      </c>
      <c r="C44" s="18">
        <f>C43/'Income Statement'!C5</f>
        <v>0</v>
      </c>
      <c r="D44" s="18">
        <f>D43/'Income Statement'!D5</f>
        <v>0</v>
      </c>
      <c r="E44" s="18">
        <f>E43/'Income Statement'!E5</f>
        <v>0</v>
      </c>
      <c r="F44" s="18">
        <f>F43/'Income Statement'!F5</f>
        <v>0</v>
      </c>
      <c r="G44" s="18">
        <f>G43/'Income Statement'!G5</f>
        <v>0</v>
      </c>
      <c r="H44" s="39">
        <f>G44</f>
        <v>0</v>
      </c>
      <c r="I44" s="39">
        <f t="shared" ref="I44:L44" si="26">H44</f>
        <v>0</v>
      </c>
      <c r="J44" s="39">
        <f t="shared" si="26"/>
        <v>0</v>
      </c>
      <c r="K44" s="39">
        <f t="shared" si="26"/>
        <v>0</v>
      </c>
      <c r="L44" s="39">
        <f t="shared" si="26"/>
        <v>0</v>
      </c>
    </row>
    <row r="45" spans="2:12" ht="18.75" x14ac:dyDescent="0.25">
      <c r="B45" s="9" t="s">
        <v>115</v>
      </c>
      <c r="C45" s="7">
        <f xml:space="preserve"> C41+C43</f>
        <v>4036.9119348991935</v>
      </c>
      <c r="D45" s="7">
        <f t="shared" ref="D45:L45" si="27" xml:space="preserve"> D41+D43</f>
        <v>7591.6607088000483</v>
      </c>
      <c r="E45" s="7">
        <f t="shared" si="27"/>
        <v>11101.900452654856</v>
      </c>
      <c r="F45" s="7">
        <f t="shared" si="27"/>
        <v>11798.260564054737</v>
      </c>
      <c r="G45" s="7">
        <f t="shared" si="27"/>
        <v>13414.91025992912</v>
      </c>
      <c r="H45" s="43">
        <f t="shared" si="27"/>
        <v>19878.032220126493</v>
      </c>
      <c r="I45" s="43">
        <f t="shared" si="27"/>
        <v>22223.063855399596</v>
      </c>
      <c r="J45" s="43">
        <f t="shared" si="27"/>
        <v>24916.228659059296</v>
      </c>
      <c r="K45" s="43">
        <f t="shared" si="27"/>
        <v>31140.798772328752</v>
      </c>
      <c r="L45" s="43">
        <f t="shared" si="27"/>
        <v>37523.939450051228</v>
      </c>
    </row>
    <row r="46" spans="2:12" x14ac:dyDescent="0.25">
      <c r="B46" s="19" t="s">
        <v>258</v>
      </c>
      <c r="C46" s="21">
        <f>C45/'Income Statement'!C5</f>
        <v>0.32723157305595674</v>
      </c>
      <c r="D46" s="21">
        <f>D45/'Income Statement'!D5</f>
        <v>0.41265103223355437</v>
      </c>
      <c r="E46" s="21">
        <f>E45/'Income Statement'!E5</f>
        <v>0.42336387206588916</v>
      </c>
      <c r="F46" s="21">
        <f>F45/'Income Statement'!F5</f>
        <v>0.44514145376165037</v>
      </c>
      <c r="G46" s="21">
        <f>G45/'Income Statement'!G5</f>
        <v>0.43641122997640208</v>
      </c>
      <c r="H46" s="44">
        <f>H45/'Income Statement'!H5</f>
        <v>0.47399771032405197</v>
      </c>
      <c r="I46" s="44">
        <f>I45/'Income Statement'!I5</f>
        <v>0.46557129554386334</v>
      </c>
      <c r="J46" s="44">
        <f>J45/'Income Statement'!J5</f>
        <v>0.45122856159337948</v>
      </c>
      <c r="K46" s="44">
        <f>K45/'Income Statement'!K5</f>
        <v>0.45064030465444427</v>
      </c>
      <c r="L46" s="44">
        <f>L45/'Income Statement'!L5</f>
        <v>0.45002713305426423</v>
      </c>
    </row>
    <row r="47" spans="2:12" ht="18.75" x14ac:dyDescent="0.25">
      <c r="B47" s="8" t="s">
        <v>79</v>
      </c>
      <c r="C47" s="5">
        <v>1422.09</v>
      </c>
      <c r="D47" s="5">
        <v>2184.17</v>
      </c>
      <c r="E47" s="5">
        <v>2058.37</v>
      </c>
      <c r="F47" s="5">
        <v>1572.44</v>
      </c>
      <c r="G47" s="5">
        <v>2475.5500000000002</v>
      </c>
      <c r="H47" s="42">
        <f>H45*H64</f>
        <v>3668.2364405763942</v>
      </c>
      <c r="I47" s="42">
        <f t="shared" ref="I47:L47" si="28">I45*I64</f>
        <v>4100.9820163735594</v>
      </c>
      <c r="J47" s="42">
        <f t="shared" si="28"/>
        <v>4597.9711128727404</v>
      </c>
      <c r="K47" s="42">
        <f t="shared" si="28"/>
        <v>5746.6358631642288</v>
      </c>
      <c r="L47" s="42">
        <f t="shared" si="28"/>
        <v>6924.5627816868555</v>
      </c>
    </row>
    <row r="48" spans="2:12" x14ac:dyDescent="0.25">
      <c r="B48" s="17" t="s">
        <v>259</v>
      </c>
      <c r="C48" s="18">
        <f>C47/'Income Statement'!C5</f>
        <v>0.11527443630963574</v>
      </c>
      <c r="D48" s="18">
        <f>D47/'Income Statement'!D5</f>
        <v>0.11872237704574967</v>
      </c>
      <c r="E48" s="18">
        <f>E47/'Income Statement'!E5</f>
        <v>7.849462324586709E-2</v>
      </c>
      <c r="F48" s="18">
        <f>F47/'Income Statement'!F5</f>
        <v>5.932723927843251E-2</v>
      </c>
      <c r="G48" s="18">
        <f>G47/'Income Statement'!G5</f>
        <v>8.0534107156508883E-2</v>
      </c>
      <c r="H48" s="39">
        <f>H47/'Income Statement'!H5</f>
        <v>8.7470211060428432E-2</v>
      </c>
      <c r="I48" s="39">
        <f>I47/'Income Statement'!I5</f>
        <v>8.5915224056795192E-2</v>
      </c>
      <c r="J48" s="39">
        <f>J47/'Income Statement'!J5</f>
        <v>8.3268456069298571E-2</v>
      </c>
      <c r="K48" s="39">
        <f>K47/'Income Statement'!K5</f>
        <v>8.3159900779925452E-2</v>
      </c>
      <c r="L48" s="39">
        <f>L47/'Income Statement'!L5</f>
        <v>8.3046747808685692E-2</v>
      </c>
    </row>
    <row r="49" spans="2:12" ht="18.75" x14ac:dyDescent="0.25">
      <c r="B49" s="9" t="s">
        <v>116</v>
      </c>
      <c r="C49" s="7">
        <f xml:space="preserve"> C45-C47</f>
        <v>2614.8219348991934</v>
      </c>
      <c r="D49" s="7">
        <f t="shared" ref="D49:L49" si="29" xml:space="preserve"> D45-D47</f>
        <v>5407.4907088000482</v>
      </c>
      <c r="E49" s="7">
        <f t="shared" si="29"/>
        <v>9043.5304526548571</v>
      </c>
      <c r="F49" s="7">
        <f t="shared" si="29"/>
        <v>10225.820564054737</v>
      </c>
      <c r="G49" s="7">
        <f t="shared" si="29"/>
        <v>10939.360259929119</v>
      </c>
      <c r="H49" s="43">
        <f t="shared" si="29"/>
        <v>16209.795779550099</v>
      </c>
      <c r="I49" s="43">
        <f t="shared" si="29"/>
        <v>18122.081839026036</v>
      </c>
      <c r="J49" s="43">
        <f t="shared" si="29"/>
        <v>20318.257546186556</v>
      </c>
      <c r="K49" s="43">
        <f t="shared" si="29"/>
        <v>25394.162909164523</v>
      </c>
      <c r="L49" s="43">
        <f t="shared" si="29"/>
        <v>30599.376668364373</v>
      </c>
    </row>
    <row r="50" spans="2:12" x14ac:dyDescent="0.25">
      <c r="B50" s="19" t="s">
        <v>260</v>
      </c>
      <c r="C50" s="21">
        <f>C49/'Income Statement'!C5</f>
        <v>0.21195713674632097</v>
      </c>
      <c r="D50" s="21">
        <f>D49/'Income Statement'!D5</f>
        <v>0.2939286551878047</v>
      </c>
      <c r="E50" s="21">
        <f>E49/'Income Statement'!E5</f>
        <v>0.34486924882002212</v>
      </c>
      <c r="F50" s="21">
        <f>F49/'Income Statement'!F5</f>
        <v>0.38581421448321784</v>
      </c>
      <c r="G50" s="21">
        <f>G49/'Income Statement'!G5</f>
        <v>0.35587712281989314</v>
      </c>
      <c r="H50" s="44">
        <f>H49/'Income Statement'!H5</f>
        <v>0.38652749926362351</v>
      </c>
      <c r="I50" s="44">
        <f>I49/'Income Statement'!I5</f>
        <v>0.37965607148706809</v>
      </c>
      <c r="J50" s="44">
        <f>J49/'Income Statement'!J5</f>
        <v>0.36796010552408093</v>
      </c>
      <c r="K50" s="44">
        <f>K49/'Income Statement'!K5</f>
        <v>0.36748040387451886</v>
      </c>
      <c r="L50" s="44">
        <f>L49/'Income Statement'!L5</f>
        <v>0.36698038524557852</v>
      </c>
    </row>
    <row r="51" spans="2:12" ht="18.75" x14ac:dyDescent="0.25">
      <c r="B51" s="8" t="s">
        <v>88</v>
      </c>
      <c r="C51" s="4">
        <v>197.96</v>
      </c>
      <c r="D51" s="4">
        <v>231.19</v>
      </c>
      <c r="E51" s="4">
        <v>949.63</v>
      </c>
      <c r="F51" s="4">
        <v>0</v>
      </c>
      <c r="G51" s="4">
        <v>0</v>
      </c>
      <c r="H51" s="38">
        <f>H5*H52</f>
        <v>0</v>
      </c>
      <c r="I51" s="38">
        <f t="shared" ref="I51:L51" si="30">I5*I52</f>
        <v>0</v>
      </c>
      <c r="J51" s="38">
        <f t="shared" si="30"/>
        <v>0</v>
      </c>
      <c r="K51" s="38">
        <f t="shared" si="30"/>
        <v>0</v>
      </c>
      <c r="L51" s="38">
        <f t="shared" si="30"/>
        <v>0</v>
      </c>
    </row>
    <row r="52" spans="2:12" x14ac:dyDescent="0.25">
      <c r="B52" s="17" t="s">
        <v>261</v>
      </c>
      <c r="C52" s="18">
        <f>C51/'Income Statement'!C5</f>
        <v>1.6046612669982557E-2</v>
      </c>
      <c r="D52" s="18">
        <f>D51/'Income Statement'!D5</f>
        <v>1.2566524743589953E-2</v>
      </c>
      <c r="E52" s="18">
        <f>E51/'Income Statement'!E5</f>
        <v>3.6213532587908284E-2</v>
      </c>
      <c r="F52" s="18">
        <f>F51/'Income Statement'!F5</f>
        <v>0</v>
      </c>
      <c r="G52" s="18">
        <f>G51/'Income Statement'!G5</f>
        <v>0</v>
      </c>
      <c r="H52" s="39">
        <f>G52</f>
        <v>0</v>
      </c>
      <c r="I52" s="39">
        <f t="shared" ref="I52:L52" si="31">H52</f>
        <v>0</v>
      </c>
      <c r="J52" s="39">
        <f t="shared" si="31"/>
        <v>0</v>
      </c>
      <c r="K52" s="39">
        <f t="shared" si="31"/>
        <v>0</v>
      </c>
      <c r="L52" s="39">
        <f t="shared" si="31"/>
        <v>0</v>
      </c>
    </row>
    <row r="53" spans="2:12" ht="18.75" x14ac:dyDescent="0.25">
      <c r="B53" s="8" t="s">
        <v>89</v>
      </c>
      <c r="C53" s="4">
        <v>40.299999999999997</v>
      </c>
      <c r="D53" s="4">
        <v>47.52</v>
      </c>
      <c r="E53" s="4">
        <v>195.2</v>
      </c>
      <c r="F53" s="4">
        <v>0</v>
      </c>
      <c r="G53" s="4">
        <v>0</v>
      </c>
      <c r="H53" s="38">
        <f>H5*H54</f>
        <v>0</v>
      </c>
      <c r="I53" s="38">
        <f t="shared" ref="I53:L53" si="32">I5*I54</f>
        <v>0</v>
      </c>
      <c r="J53" s="38">
        <f t="shared" si="32"/>
        <v>0</v>
      </c>
      <c r="K53" s="38">
        <f t="shared" si="32"/>
        <v>0</v>
      </c>
      <c r="L53" s="38">
        <f t="shared" si="32"/>
        <v>0</v>
      </c>
    </row>
    <row r="54" spans="2:12" x14ac:dyDescent="0.25">
      <c r="B54" s="17" t="s">
        <v>262</v>
      </c>
      <c r="C54" s="18">
        <f>C53/'Income Statement'!C5</f>
        <v>3.2667129248348001E-3</v>
      </c>
      <c r="D54" s="18">
        <f>D53/'Income Statement'!D5</f>
        <v>2.5829891250287408E-3</v>
      </c>
      <c r="E54" s="18">
        <f>E53/'Income Statement'!E5</f>
        <v>7.4438271338939333E-3</v>
      </c>
      <c r="F54" s="18">
        <f>F53/'Income Statement'!F5</f>
        <v>0</v>
      </c>
      <c r="G54" s="18">
        <f>G53/'Income Statement'!G5</f>
        <v>0</v>
      </c>
      <c r="H54" s="39">
        <f>G54</f>
        <v>0</v>
      </c>
      <c r="I54" s="39">
        <f t="shared" ref="I54:L54" si="33">H54</f>
        <v>0</v>
      </c>
      <c r="J54" s="39">
        <f t="shared" si="33"/>
        <v>0</v>
      </c>
      <c r="K54" s="39">
        <f t="shared" si="33"/>
        <v>0</v>
      </c>
      <c r="L54" s="39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2376.5619348991931</v>
      </c>
      <c r="D55" s="7">
        <f t="shared" ref="D55:L55" si="34" xml:space="preserve"> D49-D51-D53</f>
        <v>5128.7807088000482</v>
      </c>
      <c r="E55" s="7">
        <f t="shared" si="34"/>
        <v>7898.7004526548571</v>
      </c>
      <c r="F55" s="7">
        <f t="shared" si="34"/>
        <v>10225.820564054737</v>
      </c>
      <c r="G55" s="7">
        <f t="shared" si="34"/>
        <v>10939.360259929119</v>
      </c>
      <c r="H55" s="43">
        <f t="shared" si="34"/>
        <v>16209.795779550099</v>
      </c>
      <c r="I55" s="43">
        <f t="shared" si="34"/>
        <v>18122.081839026036</v>
      </c>
      <c r="J55" s="43">
        <f t="shared" si="34"/>
        <v>20318.257546186556</v>
      </c>
      <c r="K55" s="43">
        <f t="shared" si="34"/>
        <v>25394.162909164523</v>
      </c>
      <c r="L55" s="43">
        <f t="shared" si="34"/>
        <v>30599.376668364373</v>
      </c>
    </row>
    <row r="56" spans="2:12" x14ac:dyDescent="0.25">
      <c r="B56" s="19" t="s">
        <v>263</v>
      </c>
      <c r="C56" s="21">
        <f>C55/'Income Statement'!C5</f>
        <v>0.19264381115150361</v>
      </c>
      <c r="D56" s="21">
        <f>D55/'Income Statement'!D5</f>
        <v>0.27877914131918602</v>
      </c>
      <c r="E56" s="21">
        <f>E55/'Income Statement'!E5</f>
        <v>0.30121188909821989</v>
      </c>
      <c r="F56" s="21">
        <f>F55/'Income Statement'!F5</f>
        <v>0.38581421448321784</v>
      </c>
      <c r="G56" s="21">
        <f>G55/'Income Statement'!G5</f>
        <v>0.35587712281989314</v>
      </c>
      <c r="H56" s="44">
        <f>H55/'Income Statement'!H5</f>
        <v>0.38652749926362351</v>
      </c>
      <c r="I56" s="44">
        <f>I55/'Income Statement'!I5</f>
        <v>0.37965607148706809</v>
      </c>
      <c r="J56" s="44">
        <f>J55/'Income Statement'!J5</f>
        <v>0.36796010552408093</v>
      </c>
      <c r="K56" s="44">
        <f>K55/'Income Statement'!K5</f>
        <v>0.36748040387451886</v>
      </c>
      <c r="L56" s="44">
        <f>L55/'Income Statement'!L5</f>
        <v>0.36698038524557852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48</v>
      </c>
      <c r="D60" s="4">
        <v>69</v>
      </c>
      <c r="E60" s="4">
        <v>90</v>
      </c>
      <c r="F60" s="4">
        <v>74</v>
      </c>
      <c r="G60" s="4">
        <v>117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54.475456977066528</v>
      </c>
      <c r="D61" s="4">
        <f t="shared" ref="D61:G61" si="35">D49/D60</f>
        <v>78.369430562319536</v>
      </c>
      <c r="E61" s="4">
        <f t="shared" si="35"/>
        <v>100.48367169616508</v>
      </c>
      <c r="F61" s="4">
        <f t="shared" si="35"/>
        <v>138.18676437911807</v>
      </c>
      <c r="G61" s="4">
        <f t="shared" si="35"/>
        <v>93.498805640419818</v>
      </c>
      <c r="H61" s="4"/>
      <c r="I61" s="4"/>
      <c r="J61" s="4"/>
      <c r="K61" s="4"/>
      <c r="L61" s="4"/>
    </row>
    <row r="62" spans="2:12" x14ac:dyDescent="0.25">
      <c r="B62" t="s">
        <v>266</v>
      </c>
      <c r="C62" s="37">
        <f>C31/'Balance Sheet'!C40</f>
        <v>0.29487216524628052</v>
      </c>
      <c r="D62" s="37">
        <f>D31/'Balance Sheet'!D40</f>
        <v>0.27378397371369967</v>
      </c>
      <c r="E62" s="37">
        <f>E31/'Balance Sheet'!E40</f>
        <v>0.26851429925450671</v>
      </c>
      <c r="F62" s="37">
        <f>F31/'Balance Sheet'!F40</f>
        <v>0.31225220555059563</v>
      </c>
      <c r="G62" s="37">
        <f>G31/'Balance Sheet'!G40</f>
        <v>0.22011023540926183</v>
      </c>
      <c r="H62" s="37">
        <f>MEDIAN(C62:G62)</f>
        <v>0.27378397371369967</v>
      </c>
      <c r="I62" s="37">
        <f t="shared" ref="I62:L62" si="36">H62</f>
        <v>0.27378397371369967</v>
      </c>
      <c r="J62" s="37">
        <f t="shared" si="36"/>
        <v>0.27378397371369967</v>
      </c>
      <c r="K62" s="37">
        <f t="shared" si="36"/>
        <v>0.27378397371369967</v>
      </c>
      <c r="L62" s="37">
        <f t="shared" si="36"/>
        <v>0.27378397371369967</v>
      </c>
    </row>
    <row r="63" spans="2:12" x14ac:dyDescent="0.25">
      <c r="B63" t="s">
        <v>267</v>
      </c>
      <c r="C63" s="37">
        <f>C35/'Balance Sheet'!C21</f>
        <v>8.1801416401692958E-2</v>
      </c>
      <c r="D63" s="37">
        <f>D35/'Balance Sheet'!D21</f>
        <v>6.520031677016494E-2</v>
      </c>
      <c r="E63" s="37">
        <f>E35/'Balance Sheet'!E21</f>
        <v>7.2979512648179284E-2</v>
      </c>
      <c r="F63" s="37">
        <f>F35/'Balance Sheet'!F21</f>
        <v>7.151029531002151E-2</v>
      </c>
      <c r="G63" s="37">
        <f>G35/'Balance Sheet'!G21</f>
        <v>0.11446556418579507</v>
      </c>
      <c r="H63" s="37">
        <f>G63</f>
        <v>0.11446556418579507</v>
      </c>
      <c r="I63" s="37">
        <f t="shared" ref="I63:L63" si="37">H63</f>
        <v>0.11446556418579507</v>
      </c>
      <c r="J63" s="37">
        <f t="shared" si="37"/>
        <v>0.11446556418579507</v>
      </c>
      <c r="K63" s="37">
        <f t="shared" si="37"/>
        <v>0.11446556418579507</v>
      </c>
      <c r="L63" s="37">
        <f t="shared" si="37"/>
        <v>0.11446556418579507</v>
      </c>
    </row>
    <row r="64" spans="2:12" x14ac:dyDescent="0.25">
      <c r="B64" t="s">
        <v>268</v>
      </c>
      <c r="C64" s="37">
        <f>C47/'Income Statement'!C45</f>
        <v>0.35227174209722045</v>
      </c>
      <c r="D64" s="37">
        <f>D47/'Income Statement'!D45</f>
        <v>0.28770648264985937</v>
      </c>
      <c r="E64" s="37">
        <f>E47/'Income Statement'!E45</f>
        <v>0.18540699484544299</v>
      </c>
      <c r="F64" s="37">
        <f>F47/'Income Statement'!F45</f>
        <v>0.13327727349832286</v>
      </c>
      <c r="G64" s="37">
        <f>G47/'Income Statement'!G45</f>
        <v>0.1845372016683979</v>
      </c>
      <c r="H64" s="37">
        <f>G64</f>
        <v>0.1845372016683979</v>
      </c>
      <c r="I64" s="37">
        <f t="shared" ref="I64:L64" si="38">H64</f>
        <v>0.1845372016683979</v>
      </c>
      <c r="J64" s="37">
        <f t="shared" si="38"/>
        <v>0.1845372016683979</v>
      </c>
      <c r="K64" s="37">
        <f t="shared" si="38"/>
        <v>0.1845372016683979</v>
      </c>
      <c r="L64" s="37">
        <f t="shared" si="38"/>
        <v>0.1845372016683979</v>
      </c>
    </row>
    <row r="65" spans="2:12" x14ac:dyDescent="0.25">
      <c r="B65" t="s">
        <v>269</v>
      </c>
      <c r="C65" s="37">
        <f>C53/'Income Statement'!C51</f>
        <v>0.20357648009698928</v>
      </c>
      <c r="D65" s="37">
        <f>D53/'Income Statement'!D51</f>
        <v>0.20554522254422772</v>
      </c>
      <c r="E65" s="37">
        <f>E53/'Income Statement'!E51</f>
        <v>0.20555374198371995</v>
      </c>
      <c r="F65" s="37" t="e">
        <f>F53/'Income Statement'!F51</f>
        <v>#DIV/0!</v>
      </c>
      <c r="G65" s="37" t="e">
        <f>G53/'Income Statement'!G51</f>
        <v>#DIV/0!</v>
      </c>
      <c r="H65" s="37" t="e">
        <f>G65</f>
        <v>#DIV/0!</v>
      </c>
      <c r="I65" s="37" t="e">
        <f t="shared" ref="I65:L65" si="39">H65</f>
        <v>#DIV/0!</v>
      </c>
      <c r="J65" s="37" t="e">
        <f t="shared" si="39"/>
        <v>#DIV/0!</v>
      </c>
      <c r="K65" s="37" t="e">
        <f t="shared" si="39"/>
        <v>#DIV/0!</v>
      </c>
      <c r="L65" s="37" t="e">
        <f t="shared" si="39"/>
        <v>#DIV/0!</v>
      </c>
    </row>
  </sheetData>
  <mergeCells count="2">
    <mergeCell ref="B3:G3"/>
    <mergeCell ref="H3:L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E4011-785F-4ABA-A087-CC572C21CB9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6" width="11.5703125" bestFit="1" customWidth="1"/>
    <col min="7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193</v>
      </c>
      <c r="C5" s="33"/>
      <c r="D5" s="33"/>
      <c r="E5" s="33"/>
      <c r="F5" s="33"/>
      <c r="G5" s="33"/>
    </row>
    <row r="6" spans="2:7" ht="18.75" x14ac:dyDescent="0.25">
      <c r="B6" s="12" t="str">
        <f>'Income Statement'!B17</f>
        <v>Cost Of Materials Consumed</v>
      </c>
      <c r="C6" s="13">
        <f>'Income Statement'!C17</f>
        <v>0</v>
      </c>
      <c r="D6" s="13">
        <f>'Income Statement'!D17</f>
        <v>0</v>
      </c>
      <c r="E6" s="13">
        <f>'Income Statement'!E17</f>
        <v>0</v>
      </c>
      <c r="F6" s="13">
        <f>'Income Statement'!F17</f>
        <v>0</v>
      </c>
      <c r="G6" s="13">
        <f>'Income Statement'!G17</f>
        <v>0</v>
      </c>
    </row>
    <row r="7" spans="2:7" ht="18.75" x14ac:dyDescent="0.25">
      <c r="B7" s="12" t="str">
        <f>'Balance Sheet'!B33</f>
        <v>Total Current Liabilities</v>
      </c>
      <c r="C7" s="13">
        <f>'Balance Sheet'!C33</f>
        <v>13625.27</v>
      </c>
      <c r="D7" s="13">
        <f>'Balance Sheet'!D33</f>
        <v>2947.6400000000003</v>
      </c>
      <c r="E7" s="13">
        <f>'Balance Sheet'!E33</f>
        <v>2257.0699999999997</v>
      </c>
      <c r="F7" s="13">
        <f>'Balance Sheet'!F33</f>
        <v>2963.08</v>
      </c>
      <c r="G7" s="13">
        <f>'Balance Sheet'!G33</f>
        <v>83629.59</v>
      </c>
    </row>
    <row r="8" spans="2:7" ht="18.75" x14ac:dyDescent="0.25">
      <c r="B8" s="14" t="s">
        <v>194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965CD-F778-4AE2-AEB2-296218A30AD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195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Sheet'!B68</f>
        <v>Trade Receivables</v>
      </c>
      <c r="C7" s="13">
        <f>'Balance Sheet'!C68</f>
        <v>34332.18</v>
      </c>
      <c r="D7" s="13">
        <f>'Balance Sheet'!D68</f>
        <v>808.7</v>
      </c>
      <c r="E7" s="13">
        <f>'Balance Sheet'!E68</f>
        <v>952.56</v>
      </c>
      <c r="F7" s="13">
        <f>'Balance Sheet'!F68</f>
        <v>1107.24</v>
      </c>
      <c r="G7" s="13">
        <f>'Balance Sheet'!G68</f>
        <v>1265.8900000000001</v>
      </c>
    </row>
    <row r="8" spans="2:7" ht="18.75" x14ac:dyDescent="0.25">
      <c r="B8" s="14" t="s">
        <v>196</v>
      </c>
      <c r="C8" s="14">
        <f>ROUND(365/C6*C7, 2)</f>
        <v>1015.78</v>
      </c>
      <c r="D8" s="14">
        <f t="shared" ref="D8:G8" si="0">ROUND(365/D6*D7, 2)</f>
        <v>16.04</v>
      </c>
      <c r="E8" s="14">
        <f t="shared" si="0"/>
        <v>13.26</v>
      </c>
      <c r="F8" s="14">
        <f t="shared" si="0"/>
        <v>15.25</v>
      </c>
      <c r="G8" s="14">
        <f t="shared" si="0"/>
        <v>15.03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E3F83-9F4B-43E3-A438-1BD72881F5FE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197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Sheet'!B66</f>
        <v>Inventories</v>
      </c>
      <c r="C7" s="13">
        <f>'Balance Sheet'!C66</f>
        <v>0</v>
      </c>
      <c r="D7" s="13">
        <f>'Balance Sheet'!D66</f>
        <v>0</v>
      </c>
      <c r="E7" s="13">
        <f>'Balance Sheet'!E66</f>
        <v>0</v>
      </c>
      <c r="F7" s="13">
        <f>'Balance Sheet'!F66</f>
        <v>0</v>
      </c>
      <c r="G7" s="13">
        <f>'Balance Sheet'!G66</f>
        <v>0</v>
      </c>
    </row>
    <row r="8" spans="2:7" ht="18.75" x14ac:dyDescent="0.25">
      <c r="B8" s="12" t="s">
        <v>192</v>
      </c>
      <c r="C8" s="13">
        <f>ROUND(365/C6*C7, 2)</f>
        <v>0</v>
      </c>
      <c r="D8" s="13">
        <f t="shared" ref="D8:G8" si="0">ROUND(365/D6*D7, 2)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</row>
    <row r="9" spans="2:7" ht="18.75" x14ac:dyDescent="0.25">
      <c r="B9" s="12" t="str">
        <f>'Income Statement'!B17</f>
        <v>Cost Of Materials Consumed</v>
      </c>
      <c r="C9" s="13">
        <f>'Income Statement'!C17</f>
        <v>0</v>
      </c>
      <c r="D9" s="13">
        <f>'Income Statement'!D17</f>
        <v>0</v>
      </c>
      <c r="E9" s="13">
        <f>'Income Statement'!E17</f>
        <v>0</v>
      </c>
      <c r="F9" s="13">
        <f>'Income Statement'!F17</f>
        <v>0</v>
      </c>
      <c r="G9" s="13">
        <f>'Income Statement'!G17</f>
        <v>0</v>
      </c>
    </row>
    <row r="10" spans="2:7" ht="18.75" x14ac:dyDescent="0.25">
      <c r="B10" s="12" t="str">
        <f>'Balance Sheet'!B33</f>
        <v>Total Current Liabilities</v>
      </c>
      <c r="C10" s="13">
        <f>'Balance Sheet'!C33</f>
        <v>13625.27</v>
      </c>
      <c r="D10" s="13">
        <f>'Balance Sheet'!D33</f>
        <v>2947.6400000000003</v>
      </c>
      <c r="E10" s="13">
        <f>'Balance Sheet'!E33</f>
        <v>2257.0699999999997</v>
      </c>
      <c r="F10" s="13">
        <f>'Balance Sheet'!F33</f>
        <v>2963.08</v>
      </c>
      <c r="G10" s="13">
        <f>'Balance Sheet'!G33</f>
        <v>83629.59</v>
      </c>
    </row>
    <row r="11" spans="2:7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7" ht="18.75" x14ac:dyDescent="0.25">
      <c r="B12" s="14" t="s">
        <v>198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925F3-511F-4AC7-A204-375EBD2A7A16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199</v>
      </c>
      <c r="C5" s="33"/>
      <c r="D5" s="33"/>
      <c r="E5" s="33"/>
      <c r="F5" s="33"/>
      <c r="G5" s="33"/>
    </row>
    <row r="6" spans="2:7" ht="18.75" x14ac:dyDescent="0.25">
      <c r="B6" s="12" t="str">
        <f>'Income Statement'!B5</f>
        <v>Gross Sales</v>
      </c>
      <c r="C6" s="13">
        <f>'Income Statement'!C5</f>
        <v>12336.56</v>
      </c>
      <c r="D6" s="13">
        <f>'Income Statement'!D5</f>
        <v>18397.29</v>
      </c>
      <c r="E6" s="13">
        <f>'Income Statement'!E5</f>
        <v>26223.07</v>
      </c>
      <c r="F6" s="13">
        <f>'Income Statement'!F5</f>
        <v>26504.52</v>
      </c>
      <c r="G6" s="13">
        <f>'Income Statement'!G5</f>
        <v>30739.15</v>
      </c>
    </row>
    <row r="7" spans="2:7" ht="18.75" x14ac:dyDescent="0.25">
      <c r="B7" s="12" t="str">
        <f>'Balance Sheet'!B66</f>
        <v>Inventories</v>
      </c>
      <c r="C7" s="13">
        <f>'Balance Sheet'!C66</f>
        <v>0</v>
      </c>
      <c r="D7" s="13">
        <f>'Balance Sheet'!D66</f>
        <v>0</v>
      </c>
      <c r="E7" s="13">
        <f>'Balance Sheet'!E66</f>
        <v>0</v>
      </c>
      <c r="F7" s="13">
        <f>'Balance Sheet'!F66</f>
        <v>0</v>
      </c>
      <c r="G7" s="13">
        <f>'Balance Sheet'!G66</f>
        <v>0</v>
      </c>
    </row>
    <row r="8" spans="2:7" ht="18.75" x14ac:dyDescent="0.25">
      <c r="B8" s="12" t="s">
        <v>192</v>
      </c>
      <c r="C8" s="13">
        <f>ROUND(365/C6*C7, 2)</f>
        <v>0</v>
      </c>
      <c r="D8" s="13">
        <f t="shared" ref="D8:G8" si="0">ROUND(365/D6*D7, 2)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</row>
    <row r="9" spans="2:7" ht="18.75" x14ac:dyDescent="0.25">
      <c r="B9" s="12" t="str">
        <f>'Income Statement'!B17</f>
        <v>Cost Of Materials Consumed</v>
      </c>
      <c r="C9" s="13">
        <f>'Income Statement'!C17</f>
        <v>0</v>
      </c>
      <c r="D9" s="13">
        <f>'Income Statement'!D17</f>
        <v>0</v>
      </c>
      <c r="E9" s="13">
        <f>'Income Statement'!E17</f>
        <v>0</v>
      </c>
      <c r="F9" s="13">
        <f>'Income Statement'!F17</f>
        <v>0</v>
      </c>
      <c r="G9" s="13">
        <f>'Income Statement'!G17</f>
        <v>0</v>
      </c>
    </row>
    <row r="10" spans="2:7" ht="18.75" x14ac:dyDescent="0.25">
      <c r="B10" s="12" t="str">
        <f>'Balance Sheet'!B33</f>
        <v>Total Current Liabilities</v>
      </c>
      <c r="C10" s="13">
        <f>'Balance Sheet'!C33</f>
        <v>13625.27</v>
      </c>
      <c r="D10" s="13">
        <f>'Balance Sheet'!D33</f>
        <v>2947.6400000000003</v>
      </c>
      <c r="E10" s="13">
        <f>'Balance Sheet'!E33</f>
        <v>2257.0699999999997</v>
      </c>
      <c r="F10" s="13">
        <f>'Balance Sheet'!F33</f>
        <v>2963.08</v>
      </c>
      <c r="G10" s="13">
        <f>'Balance Sheet'!G33</f>
        <v>83629.59</v>
      </c>
    </row>
    <row r="11" spans="2:7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7" ht="18.75" x14ac:dyDescent="0.25">
      <c r="B12" s="12" t="s">
        <v>200</v>
      </c>
      <c r="C12" s="13" t="e">
        <f>ROUND(C11+C8, 2)</f>
        <v>#DIV/0!</v>
      </c>
      <c r="D12" s="13" t="e">
        <f t="shared" ref="D12:G12" si="2">ROUND(D11+D8, 2)</f>
        <v>#DIV/0!</v>
      </c>
      <c r="E12" s="13" t="e">
        <f t="shared" si="2"/>
        <v>#DIV/0!</v>
      </c>
      <c r="F12" s="13" t="e">
        <f t="shared" si="2"/>
        <v>#DIV/0!</v>
      </c>
      <c r="G12" s="13" t="e">
        <f t="shared" si="2"/>
        <v>#DIV/0!</v>
      </c>
    </row>
    <row r="13" spans="2:7" ht="18.75" x14ac:dyDescent="0.25">
      <c r="B13" s="12" t="str">
        <f>'Income Statement'!B17</f>
        <v>Cost Of Materials Consumed</v>
      </c>
      <c r="C13" s="13">
        <f>'Income Statement'!C17</f>
        <v>0</v>
      </c>
      <c r="D13" s="13">
        <f>'Income Statement'!D17</f>
        <v>0</v>
      </c>
      <c r="E13" s="13">
        <f>'Income Statement'!E17</f>
        <v>0</v>
      </c>
      <c r="F13" s="13">
        <f>'Income Statement'!F17</f>
        <v>0</v>
      </c>
      <c r="G13" s="13">
        <f>'Income Statement'!G17</f>
        <v>0</v>
      </c>
    </row>
    <row r="14" spans="2:7" ht="18.75" x14ac:dyDescent="0.25">
      <c r="B14" s="12" t="str">
        <f>'Balance Sheet'!B33</f>
        <v>Total Current Liabilities</v>
      </c>
      <c r="C14" s="13">
        <f>'Balance Sheet'!C33</f>
        <v>13625.27</v>
      </c>
      <c r="D14" s="13">
        <f>'Balance Sheet'!D33</f>
        <v>2947.6400000000003</v>
      </c>
      <c r="E14" s="13">
        <f>'Balance Sheet'!E33</f>
        <v>2257.0699999999997</v>
      </c>
      <c r="F14" s="13">
        <f>'Balance Sheet'!F33</f>
        <v>2963.08</v>
      </c>
      <c r="G14" s="13">
        <f>'Balance Sheet'!G33</f>
        <v>83629.59</v>
      </c>
    </row>
    <row r="15" spans="2:7" ht="18.75" x14ac:dyDescent="0.25">
      <c r="B15" s="12" t="s">
        <v>194</v>
      </c>
      <c r="C15" s="13" t="e">
        <f>ROUND(365/C13*C14, 2)</f>
        <v>#DIV/0!</v>
      </c>
      <c r="D15" s="13" t="e">
        <f t="shared" ref="D15:G15" si="3">ROUND(365/D13*D14, 2)</f>
        <v>#DIV/0!</v>
      </c>
      <c r="E15" s="13" t="e">
        <f t="shared" si="3"/>
        <v>#DIV/0!</v>
      </c>
      <c r="F15" s="13" t="e">
        <f t="shared" si="3"/>
        <v>#DIV/0!</v>
      </c>
      <c r="G15" s="13" t="e">
        <f t="shared" si="3"/>
        <v>#DIV/0!</v>
      </c>
    </row>
    <row r="16" spans="2:7" ht="18.75" x14ac:dyDescent="0.25">
      <c r="B16" s="14" t="s">
        <v>201</v>
      </c>
      <c r="C16" s="16" t="e">
        <f>ROUND(C15-C12, 2)</f>
        <v>#DIV/0!</v>
      </c>
      <c r="D16" s="16" t="e">
        <f t="shared" ref="D16:G16" si="4">ROUND(D15-D12, 2)</f>
        <v>#DIV/0!</v>
      </c>
      <c r="E16" s="16" t="e">
        <f t="shared" si="4"/>
        <v>#DIV/0!</v>
      </c>
      <c r="F16" s="16" t="e">
        <f t="shared" si="4"/>
        <v>#DIV/0!</v>
      </c>
      <c r="G16" s="16" t="e">
        <f t="shared" si="4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93652-66C7-4163-8734-0CAA47EDADD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Sheet'!B13</f>
        <v>Net Worth</v>
      </c>
      <c r="C5" s="13">
        <f>'Balance Sheet'!C13</f>
        <v>16545.649999999998</v>
      </c>
      <c r="D5" s="13">
        <f>'Balance Sheet'!D13</f>
        <v>21674.770708800046</v>
      </c>
      <c r="E5" s="13">
        <f>'Balance Sheet'!E13</f>
        <v>29578.091161454908</v>
      </c>
      <c r="F5" s="13">
        <f>'Balance Sheet'!F13</f>
        <v>39804.241725509644</v>
      </c>
      <c r="G5" s="13">
        <f>'Balance Sheet'!G13</f>
        <v>50743.941985438767</v>
      </c>
    </row>
    <row r="6" spans="2:7" ht="18.75" x14ac:dyDescent="0.25">
      <c r="B6" s="12" t="str">
        <f>'Balance Sheet'!B37</f>
        <v>Total Liabilities</v>
      </c>
      <c r="C6" s="13">
        <f>'Balance Sheet'!C37</f>
        <v>86824.34</v>
      </c>
      <c r="D6" s="13">
        <f>'Balance Sheet'!D37</f>
        <v>126210.26070880005</v>
      </c>
      <c r="E6" s="13">
        <f>'Balance Sheet'!E37</f>
        <v>161641.59116145491</v>
      </c>
      <c r="F6" s="13">
        <f>'Balance Sheet'!F37</f>
        <v>174412.70172550963</v>
      </c>
      <c r="G6" s="13">
        <f>'Balance Sheet'!G37</f>
        <v>219536.61198543877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65810-D0D1-44D0-BDD1-557E33185D9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3" width="11.5703125" bestFit="1" customWidth="1"/>
    <col min="4" max="7" width="13.14062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'Income Statement'!B29</f>
        <v>PBDIT</v>
      </c>
      <c r="C5" s="13">
        <f>'Income Statement'!C29</f>
        <v>8773.3119348991931</v>
      </c>
      <c r="D5" s="13">
        <f>'Income Statement'!D29</f>
        <v>14359.370708800048</v>
      </c>
      <c r="E5" s="13">
        <f>'Income Statement'!E29</f>
        <v>20869.740452654856</v>
      </c>
      <c r="F5" s="13">
        <f>'Income Statement'!F29</f>
        <v>21537.530564054738</v>
      </c>
      <c r="G5" s="13">
        <f>'Income Statement'!G29</f>
        <v>23547.720259929119</v>
      </c>
    </row>
    <row r="6" spans="2:7" ht="18.75" x14ac:dyDescent="0.25">
      <c r="B6" s="12" t="str">
        <f>'Income Statement'!B33</f>
        <v>PBIT</v>
      </c>
      <c r="C6" s="13">
        <f>'Income Statement'!C33</f>
        <v>8671.2419348991934</v>
      </c>
      <c r="D6" s="13">
        <f>'Income Statement'!D33</f>
        <v>14215.220708800049</v>
      </c>
      <c r="E6" s="13">
        <f>'Income Statement'!E33</f>
        <v>20575.110452654855</v>
      </c>
      <c r="F6" s="13">
        <f>'Income Statement'!F33</f>
        <v>21212.260564054737</v>
      </c>
      <c r="G6" s="13">
        <f>'Income Statement'!G33</f>
        <v>23163.15025992912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311C-4AB8-4B14-AA30-4E9E3D9F903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Sheet'!B72</f>
        <v>Total Current Assets</v>
      </c>
      <c r="C5" s="13">
        <f>'Balance Sheet'!C72</f>
        <v>83208.11</v>
      </c>
      <c r="D5" s="13">
        <f>'Balance Sheet'!D72</f>
        <v>117063.81070880007</v>
      </c>
      <c r="E5" s="13">
        <f>'Balance Sheet'!E72</f>
        <v>143218.75116145491</v>
      </c>
      <c r="F5" s="13">
        <f>'Balance Sheet'!F72</f>
        <v>155460.34172550964</v>
      </c>
      <c r="G5" s="13">
        <f>'Balance Sheet'!G72</f>
        <v>206692.5219854388</v>
      </c>
    </row>
    <row r="6" spans="2:7" ht="18.75" x14ac:dyDescent="0.25">
      <c r="B6" s="12" t="str">
        <f>'Balance Sheet'!B33</f>
        <v>Total Current Liabilities</v>
      </c>
      <c r="C6" s="13">
        <f>'Balance Sheet'!C33</f>
        <v>13625.27</v>
      </c>
      <c r="D6" s="13">
        <f>'Balance Sheet'!D33</f>
        <v>2947.6400000000003</v>
      </c>
      <c r="E6" s="13">
        <f>'Balance Sheet'!E33</f>
        <v>2257.0699999999997</v>
      </c>
      <c r="F6" s="13">
        <f>'Balance Sheet'!F33</f>
        <v>2963.08</v>
      </c>
      <c r="G6" s="13">
        <f>'Balance Sheet'!G33</f>
        <v>83629.59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EC68E-35B9-4DAF-97EC-2897AB902EE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3" width="11.5703125" bestFit="1" customWidth="1"/>
    <col min="4" max="5" width="8.42578125" bestFit="1" customWidth="1"/>
    <col min="6" max="7" width="10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Sheet'!B23</f>
        <v>Long Term Provisions</v>
      </c>
      <c r="C5" s="13">
        <f>'Balance Sheet'!C23</f>
        <v>1136.3399999999999</v>
      </c>
      <c r="D5" s="13">
        <f>'Balance Sheet'!D23</f>
        <v>73.89</v>
      </c>
      <c r="E5" s="13">
        <f>'Balance Sheet'!E23</f>
        <v>81</v>
      </c>
      <c r="F5" s="13">
        <f>'Balance Sheet'!F23</f>
        <v>137.69</v>
      </c>
      <c r="G5" s="13">
        <f>'Balance Sheet'!G23</f>
        <v>166.9</v>
      </c>
    </row>
    <row r="6" spans="2:7" ht="18.75" x14ac:dyDescent="0.25">
      <c r="B6" s="12" t="str">
        <f>'Balance Sheet'!B25</f>
        <v>Short Term Provisions</v>
      </c>
      <c r="C6" s="13">
        <f>'Balance Sheet'!C25</f>
        <v>191</v>
      </c>
      <c r="D6" s="13">
        <f>'Balance Sheet'!D25</f>
        <v>0</v>
      </c>
      <c r="E6" s="13">
        <f>'Balance Sheet'!E25</f>
        <v>0</v>
      </c>
      <c r="F6" s="13">
        <f>'Balance Sheet'!F25</f>
        <v>0</v>
      </c>
      <c r="G6" s="13">
        <f>'Balance Sheet'!G25</f>
        <v>0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A7A0-4823-43FC-8537-76EA0A639CE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3" width="8.140625" bestFit="1" customWidth="1"/>
    <col min="4" max="4" width="10.28515625" bestFit="1" customWidth="1"/>
    <col min="5" max="6" width="11.85546875" bestFit="1" customWidth="1"/>
    <col min="7" max="7" width="8.14062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'Income Statement'!B17</f>
        <v>Cost Of Materials Consumed</v>
      </c>
      <c r="C5" s="13">
        <f>'Income Statement'!C17</f>
        <v>0</v>
      </c>
      <c r="D5" s="13">
        <f>'Income Statement'!D17</f>
        <v>0</v>
      </c>
      <c r="E5" s="13">
        <f>'Income Statement'!E17</f>
        <v>0</v>
      </c>
      <c r="F5" s="13">
        <f>'Income Statement'!F17</f>
        <v>0</v>
      </c>
      <c r="G5" s="13">
        <f>'Income Statement'!G17</f>
        <v>0</v>
      </c>
    </row>
    <row r="6" spans="2:7" ht="18.75" x14ac:dyDescent="0.25">
      <c r="B6" s="12" t="str">
        <f>'Income Statement'!B19</f>
        <v>Operating And Direct Expenses</v>
      </c>
      <c r="C6" s="13">
        <f>'Income Statement'!C19</f>
        <v>0</v>
      </c>
      <c r="D6" s="13">
        <f>'Income Statement'!D19</f>
        <v>712.88</v>
      </c>
      <c r="E6" s="13">
        <f>'Income Statement'!E19</f>
        <v>1056.3699999999999</v>
      </c>
      <c r="F6" s="13">
        <f>'Income Statement'!F19</f>
        <v>1246.48</v>
      </c>
      <c r="G6" s="13">
        <f>'Income Statement'!G19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C32B0-7762-40EA-BBF6-5096651D33D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'Income Statement'!B5</f>
        <v>Gross Sales</v>
      </c>
      <c r="C5" s="13">
        <f>'Income Statement'!C5</f>
        <v>12336.56</v>
      </c>
      <c r="D5" s="13">
        <f>'Income Statement'!D5</f>
        <v>18397.29</v>
      </c>
      <c r="E5" s="13">
        <f>'Income Statement'!E5</f>
        <v>26223.07</v>
      </c>
      <c r="F5" s="13">
        <f>'Income Statement'!F5</f>
        <v>26504.52</v>
      </c>
      <c r="G5" s="13">
        <f>'Income Statement'!G5</f>
        <v>30739.15</v>
      </c>
    </row>
    <row r="6" spans="2:7" ht="18.75" x14ac:dyDescent="0.25">
      <c r="B6" s="12" t="str">
        <f>'Income Statement'!B15</f>
        <v>Total Income</v>
      </c>
      <c r="C6" s="13">
        <f>'Income Statement'!C15</f>
        <v>12361.431934899194</v>
      </c>
      <c r="D6" s="13">
        <f>'Income Statement'!D15</f>
        <v>18411.330708800047</v>
      </c>
      <c r="E6" s="13">
        <f>'Income Statement'!E15</f>
        <v>26235.940452654857</v>
      </c>
      <c r="F6" s="13">
        <f>'Income Statement'!F15</f>
        <v>26520.470564054736</v>
      </c>
      <c r="G6" s="13">
        <f>'Income Statement'!G15</f>
        <v>30748.140259929118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BBFB7-DE07-4B98-8519-4A747BA74ACD}">
  <dimension ref="B3:L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3" width="15.42578125" bestFit="1" customWidth="1"/>
    <col min="4" max="7" width="17.140625" bestFit="1" customWidth="1"/>
    <col min="8" max="12" width="18.85546875" bestFit="1" customWidth="1"/>
  </cols>
  <sheetData>
    <row r="3" spans="2:12" ht="18.75" x14ac:dyDescent="0.25">
      <c r="B3" s="22" t="s">
        <v>128</v>
      </c>
      <c r="C3" s="23"/>
      <c r="D3" s="23"/>
      <c r="E3" s="23"/>
      <c r="F3" s="23"/>
      <c r="G3" s="23"/>
      <c r="H3" s="34" t="s">
        <v>264</v>
      </c>
      <c r="I3" s="35"/>
      <c r="J3" s="35"/>
      <c r="K3" s="35"/>
      <c r="L3" s="35"/>
    </row>
    <row r="4" spans="2:12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36">
        <v>2023</v>
      </c>
      <c r="I4" s="36">
        <v>2024</v>
      </c>
      <c r="J4" s="36">
        <v>2025</v>
      </c>
      <c r="K4" s="36">
        <v>2026</v>
      </c>
      <c r="L4" s="36">
        <v>2027</v>
      </c>
    </row>
    <row r="5" spans="2:12" ht="18.75" x14ac:dyDescent="0.25">
      <c r="B5" s="8" t="s">
        <v>5</v>
      </c>
      <c r="C5" s="4">
        <v>115.03</v>
      </c>
      <c r="D5" s="4">
        <v>115.37</v>
      </c>
      <c r="E5" s="4">
        <v>119.99</v>
      </c>
      <c r="F5" s="4">
        <v>120.32</v>
      </c>
      <c r="G5" s="4">
        <v>120.66</v>
      </c>
      <c r="H5" s="38">
        <f>G5</f>
        <v>120.66</v>
      </c>
      <c r="I5" s="38">
        <f t="shared" ref="I5:L5" si="0">H5</f>
        <v>120.66</v>
      </c>
      <c r="J5" s="38">
        <f t="shared" si="0"/>
        <v>120.66</v>
      </c>
      <c r="K5" s="38">
        <f t="shared" si="0"/>
        <v>120.66</v>
      </c>
      <c r="L5" s="38">
        <f t="shared" si="0"/>
        <v>120.66</v>
      </c>
    </row>
    <row r="6" spans="2:12" x14ac:dyDescent="0.25">
      <c r="B6" s="17" t="s">
        <v>203</v>
      </c>
      <c r="C6" s="18">
        <f>C5/'Balance Sheet'!C74</f>
        <v>1.3248589047725559E-3</v>
      </c>
      <c r="D6" s="18">
        <f>D5/'Balance Sheet'!D74</f>
        <v>9.1410951337933316E-4</v>
      </c>
      <c r="E6" s="18">
        <f>E5/'Balance Sheet'!E74</f>
        <v>7.4232132422000577E-4</v>
      </c>
      <c r="F6" s="18">
        <f>F5/'Balance Sheet'!F74</f>
        <v>6.8985801383525012E-4</v>
      </c>
      <c r="G6" s="18">
        <f>G5/'Balance Sheet'!G74</f>
        <v>5.4961219866143788E-4</v>
      </c>
      <c r="H6" s="39">
        <f>G6</f>
        <v>5.4961219866143788E-4</v>
      </c>
      <c r="I6" s="39">
        <f t="shared" ref="I6:L6" si="1">H6</f>
        <v>5.4961219866143788E-4</v>
      </c>
      <c r="J6" s="39">
        <f t="shared" si="1"/>
        <v>5.4961219866143788E-4</v>
      </c>
      <c r="K6" s="39">
        <f t="shared" si="1"/>
        <v>5.4961219866143788E-4</v>
      </c>
      <c r="L6" s="39">
        <f t="shared" si="1"/>
        <v>5.4961219866143788E-4</v>
      </c>
    </row>
    <row r="7" spans="2:12" ht="18.75" x14ac:dyDescent="0.25">
      <c r="B7" s="8" t="s">
        <v>121</v>
      </c>
      <c r="C7" s="4"/>
      <c r="D7" s="4"/>
      <c r="E7" s="4"/>
      <c r="F7" s="4"/>
      <c r="G7" s="4"/>
      <c r="H7" s="38">
        <f>G7</f>
        <v>0</v>
      </c>
      <c r="I7" s="38">
        <f t="shared" ref="I7:L7" si="2">H7</f>
        <v>0</v>
      </c>
      <c r="J7" s="38">
        <f t="shared" si="2"/>
        <v>0</v>
      </c>
      <c r="K7" s="38">
        <f t="shared" si="2"/>
        <v>0</v>
      </c>
      <c r="L7" s="38">
        <f t="shared" si="2"/>
        <v>0</v>
      </c>
    </row>
    <row r="8" spans="2:12" x14ac:dyDescent="0.25">
      <c r="B8" s="17" t="s">
        <v>204</v>
      </c>
      <c r="C8" s="18">
        <f>C7/'Balance Sheet'!C74</f>
        <v>0</v>
      </c>
      <c r="D8" s="18">
        <f>D7/'Balance Sheet'!D74</f>
        <v>0</v>
      </c>
      <c r="E8" s="18">
        <f>E7/'Balance Sheet'!E74</f>
        <v>0</v>
      </c>
      <c r="F8" s="18">
        <f>F7/'Balance Sheet'!F74</f>
        <v>0</v>
      </c>
      <c r="G8" s="18">
        <f>G7/'Balance Sheet'!G74</f>
        <v>0</v>
      </c>
      <c r="H8" s="39">
        <f>G8</f>
        <v>0</v>
      </c>
      <c r="I8" s="39">
        <f t="shared" ref="I8:L8" si="3">H8</f>
        <v>0</v>
      </c>
      <c r="J8" s="39">
        <f t="shared" si="3"/>
        <v>0</v>
      </c>
      <c r="K8" s="39">
        <f t="shared" si="3"/>
        <v>0</v>
      </c>
      <c r="L8" s="39">
        <f t="shared" si="3"/>
        <v>0</v>
      </c>
    </row>
    <row r="9" spans="2:12" ht="18.75" x14ac:dyDescent="0.25">
      <c r="B9" s="9" t="s">
        <v>6</v>
      </c>
      <c r="C9" s="6">
        <f>C5+C7</f>
        <v>115.03</v>
      </c>
      <c r="D9" s="6">
        <f t="shared" ref="D9:L9" si="4">D5+D7</f>
        <v>115.37</v>
      </c>
      <c r="E9" s="6">
        <f t="shared" si="4"/>
        <v>119.99</v>
      </c>
      <c r="F9" s="6">
        <f t="shared" si="4"/>
        <v>120.32</v>
      </c>
      <c r="G9" s="6">
        <f t="shared" si="4"/>
        <v>120.66</v>
      </c>
      <c r="H9" s="40">
        <f t="shared" si="4"/>
        <v>120.66</v>
      </c>
      <c r="I9" s="40">
        <f t="shared" si="4"/>
        <v>120.66</v>
      </c>
      <c r="J9" s="40">
        <f t="shared" si="4"/>
        <v>120.66</v>
      </c>
      <c r="K9" s="40">
        <f t="shared" si="4"/>
        <v>120.66</v>
      </c>
      <c r="L9" s="40">
        <f t="shared" si="4"/>
        <v>120.66</v>
      </c>
    </row>
    <row r="10" spans="2:12" x14ac:dyDescent="0.25">
      <c r="B10" s="19" t="s">
        <v>205</v>
      </c>
      <c r="C10" s="20">
        <f>C9/'Balance Sheet'!C74</f>
        <v>1.3248589047725559E-3</v>
      </c>
      <c r="D10" s="20">
        <f>D9/'Balance Sheet'!D74</f>
        <v>9.1410951337933316E-4</v>
      </c>
      <c r="E10" s="20">
        <f>E9/'Balance Sheet'!E74</f>
        <v>7.4232132422000577E-4</v>
      </c>
      <c r="F10" s="20">
        <f>F9/'Balance Sheet'!F74</f>
        <v>6.8985801383525012E-4</v>
      </c>
      <c r="G10" s="20">
        <f>G9/'Balance Sheet'!G74</f>
        <v>5.4961219866143788E-4</v>
      </c>
      <c r="H10" s="41">
        <f>H9/'Balance Sheet'!H74</f>
        <v>4.279806553039945E-4</v>
      </c>
      <c r="I10" s="41">
        <f>I9/'Balance Sheet'!I74</f>
        <v>3.6616434440585929E-4</v>
      </c>
      <c r="J10" s="41">
        <f>J9/'Balance Sheet'!J74</f>
        <v>3.0301322335917971E-4</v>
      </c>
      <c r="K10" s="41">
        <f>K9/'Balance Sheet'!K74</f>
        <v>2.4170876431337814E-4</v>
      </c>
      <c r="L10" s="41">
        <f>L9/'Balance Sheet'!L74</f>
        <v>1.999562394006311E-4</v>
      </c>
    </row>
    <row r="11" spans="2:12" ht="18.75" x14ac:dyDescent="0.25">
      <c r="B11" s="8" t="s">
        <v>7</v>
      </c>
      <c r="C11" s="5">
        <v>16430.62</v>
      </c>
      <c r="D11" s="5">
        <f>'Income Statement'!D55+C11</f>
        <v>21559.400708800047</v>
      </c>
      <c r="E11" s="5">
        <f>'Income Statement'!E55+D11</f>
        <v>29458.101161454906</v>
      </c>
      <c r="F11" s="5">
        <f>'Income Statement'!F55+E11</f>
        <v>39683.921725509645</v>
      </c>
      <c r="G11" s="5">
        <f>'Income Statement'!G55+F11</f>
        <v>50623.281985438764</v>
      </c>
      <c r="H11" s="42">
        <f>H74-H9-H21-H33-H35</f>
        <v>167958.82371710628</v>
      </c>
      <c r="I11" s="42">
        <f t="shared" ref="I11:L11" si="5">I74-I9-I21-I33-I35</f>
        <v>196334.21527701043</v>
      </c>
      <c r="J11" s="42">
        <f t="shared" si="5"/>
        <v>237277.46019933393</v>
      </c>
      <c r="K11" s="42">
        <f t="shared" si="5"/>
        <v>297488.61551749712</v>
      </c>
      <c r="L11" s="42">
        <f t="shared" si="5"/>
        <v>359631.89950810536</v>
      </c>
    </row>
    <row r="12" spans="2:12" x14ac:dyDescent="0.25">
      <c r="B12" s="17" t="s">
        <v>206</v>
      </c>
      <c r="C12" s="18">
        <f>C11/'Balance Sheet'!C74</f>
        <v>0.18923979151468356</v>
      </c>
      <c r="D12" s="18">
        <f>D11/'Balance Sheet'!D74</f>
        <v>0.17082129921705175</v>
      </c>
      <c r="E12" s="18">
        <f>E11/'Balance Sheet'!E74</f>
        <v>0.18224332580363445</v>
      </c>
      <c r="F12" s="18">
        <f>F11/'Balance Sheet'!F74</f>
        <v>0.22752885158538577</v>
      </c>
      <c r="G12" s="18">
        <f>G11/'Balance Sheet'!G74</f>
        <v>0.23059152424560717</v>
      </c>
      <c r="H12" s="39"/>
      <c r="I12" s="39"/>
      <c r="J12" s="39"/>
      <c r="K12" s="39"/>
      <c r="L12" s="39"/>
    </row>
    <row r="13" spans="2:12" ht="18.75" x14ac:dyDescent="0.25">
      <c r="B13" s="9" t="s">
        <v>122</v>
      </c>
      <c r="C13" s="7">
        <f>C9+C11</f>
        <v>16545.649999999998</v>
      </c>
      <c r="D13" s="7">
        <f t="shared" ref="D13:L13" si="6">D9+D11</f>
        <v>21674.770708800046</v>
      </c>
      <c r="E13" s="7">
        <f t="shared" si="6"/>
        <v>29578.091161454908</v>
      </c>
      <c r="F13" s="7">
        <f t="shared" si="6"/>
        <v>39804.241725509644</v>
      </c>
      <c r="G13" s="7">
        <f t="shared" si="6"/>
        <v>50743.941985438767</v>
      </c>
      <c r="H13" s="43">
        <f t="shared" si="6"/>
        <v>168079.48371710628</v>
      </c>
      <c r="I13" s="43">
        <f t="shared" si="6"/>
        <v>196454.87527701043</v>
      </c>
      <c r="J13" s="43">
        <f t="shared" si="6"/>
        <v>237398.12019933393</v>
      </c>
      <c r="K13" s="43">
        <f t="shared" si="6"/>
        <v>297609.2755174971</v>
      </c>
      <c r="L13" s="43">
        <f t="shared" si="6"/>
        <v>359752.55950810533</v>
      </c>
    </row>
    <row r="14" spans="2:12" x14ac:dyDescent="0.25">
      <c r="B14" s="19" t="s">
        <v>207</v>
      </c>
      <c r="C14" s="20">
        <f>C13/'Balance Sheet'!C74</f>
        <v>0.19056465041945608</v>
      </c>
      <c r="D14" s="20">
        <f>D13/'Balance Sheet'!D74</f>
        <v>0.17173540873043108</v>
      </c>
      <c r="E14" s="20">
        <f>E13/'Balance Sheet'!E74</f>
        <v>0.18298564712785448</v>
      </c>
      <c r="F14" s="20">
        <f>F13/'Balance Sheet'!F74</f>
        <v>0.22821870959922103</v>
      </c>
      <c r="G14" s="20">
        <f>G13/'Balance Sheet'!G74</f>
        <v>0.23114113644426862</v>
      </c>
      <c r="H14" s="41">
        <f>H13/'Balance Sheet'!H74</f>
        <v>0.59617742072272684</v>
      </c>
      <c r="I14" s="41">
        <f>I13/'Balance Sheet'!I74</f>
        <v>0.59617744580756993</v>
      </c>
      <c r="J14" s="41">
        <f>J13/'Balance Sheet'!J74</f>
        <v>0.59617743760160924</v>
      </c>
      <c r="K14" s="41">
        <f>K13/'Balance Sheet'!K74</f>
        <v>0.59617744267805339</v>
      </c>
      <c r="L14" s="41">
        <f>L13/'Balance Sheet'!L74</f>
        <v>0.59617743174202298</v>
      </c>
    </row>
    <row r="15" spans="2:12" ht="18.75" x14ac:dyDescent="0.25">
      <c r="B15" s="8" t="s">
        <v>12</v>
      </c>
      <c r="C15" s="4">
        <v>45896.31</v>
      </c>
      <c r="D15" s="5">
        <v>64013.41</v>
      </c>
      <c r="E15" s="5">
        <v>75106.259999999995</v>
      </c>
      <c r="F15" s="5">
        <v>84204.18</v>
      </c>
      <c r="G15" s="5">
        <v>0</v>
      </c>
      <c r="H15" s="42">
        <f>ROUND(H74*H16,2)</f>
        <v>0</v>
      </c>
      <c r="I15" s="42">
        <f t="shared" ref="I15:L15" si="7">ROUND(I74*I16,2)</f>
        <v>0</v>
      </c>
      <c r="J15" s="42">
        <f t="shared" si="7"/>
        <v>0</v>
      </c>
      <c r="K15" s="42">
        <f t="shared" si="7"/>
        <v>0</v>
      </c>
      <c r="L15" s="42">
        <f t="shared" si="7"/>
        <v>0</v>
      </c>
    </row>
    <row r="16" spans="2:12" x14ac:dyDescent="0.25">
      <c r="B16" s="17" t="s">
        <v>208</v>
      </c>
      <c r="C16" s="18">
        <f>C15/'Balance Sheet'!C74</f>
        <v>0.52861110144920187</v>
      </c>
      <c r="D16" s="18">
        <f>D15/'Balance Sheet'!D74</f>
        <v>0.50719655945957998</v>
      </c>
      <c r="E16" s="18">
        <f>E15/'Balance Sheet'!E74</f>
        <v>0.46464687374291236</v>
      </c>
      <c r="F16" s="18">
        <f>F15/'Balance Sheet'!F74</f>
        <v>0.48278697117209018</v>
      </c>
      <c r="G16" s="18">
        <f>G15/'Balance Sheet'!G74</f>
        <v>0</v>
      </c>
      <c r="H16" s="39">
        <f>G16</f>
        <v>0</v>
      </c>
      <c r="I16" s="39">
        <f t="shared" ref="I16:L16" si="8">H16</f>
        <v>0</v>
      </c>
      <c r="J16" s="39">
        <f t="shared" si="8"/>
        <v>0</v>
      </c>
      <c r="K16" s="39">
        <f t="shared" si="8"/>
        <v>0</v>
      </c>
      <c r="L16" s="39">
        <f t="shared" si="8"/>
        <v>0</v>
      </c>
    </row>
    <row r="17" spans="2:12" ht="18.75" x14ac:dyDescent="0.25">
      <c r="B17" s="8" t="s">
        <v>13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38">
        <f>H74*H18</f>
        <v>0</v>
      </c>
      <c r="I17" s="38">
        <f t="shared" ref="I17:L17" si="9">I74*I18</f>
        <v>0</v>
      </c>
      <c r="J17" s="38">
        <f t="shared" si="9"/>
        <v>0</v>
      </c>
      <c r="K17" s="38">
        <f t="shared" si="9"/>
        <v>0</v>
      </c>
      <c r="L17" s="38">
        <f t="shared" si="9"/>
        <v>0</v>
      </c>
    </row>
    <row r="18" spans="2:12" x14ac:dyDescent="0.25">
      <c r="B18" s="17" t="s">
        <v>209</v>
      </c>
      <c r="C18" s="18">
        <f>C17/'Balance Sheet'!C74</f>
        <v>0</v>
      </c>
      <c r="D18" s="18">
        <f>D17/'Balance Sheet'!D74</f>
        <v>0</v>
      </c>
      <c r="E18" s="18">
        <f>E17/'Balance Sheet'!E74</f>
        <v>0</v>
      </c>
      <c r="F18" s="18">
        <f>F17/'Balance Sheet'!F74</f>
        <v>0</v>
      </c>
      <c r="G18" s="18">
        <f>G17/'Balance Sheet'!G74</f>
        <v>0</v>
      </c>
      <c r="H18" s="39">
        <f>MEDIAN(C18:G18)</f>
        <v>0</v>
      </c>
      <c r="I18" s="39">
        <f t="shared" ref="I18:L18" si="10">H18</f>
        <v>0</v>
      </c>
      <c r="J18" s="39">
        <f t="shared" si="10"/>
        <v>0</v>
      </c>
      <c r="K18" s="39">
        <f t="shared" si="10"/>
        <v>0</v>
      </c>
      <c r="L18" s="39">
        <f t="shared" si="10"/>
        <v>0</v>
      </c>
    </row>
    <row r="19" spans="2:12" ht="18.75" x14ac:dyDescent="0.25">
      <c r="B19" s="8" t="s">
        <v>18</v>
      </c>
      <c r="C19" s="5">
        <v>10757.11</v>
      </c>
      <c r="D19" s="5">
        <v>37574.44</v>
      </c>
      <c r="E19" s="5">
        <v>54700.17</v>
      </c>
      <c r="F19" s="5">
        <v>47441.2</v>
      </c>
      <c r="G19" s="5">
        <v>85163.08</v>
      </c>
      <c r="H19" s="42">
        <f>ROUND(H74*H20,2)</f>
        <v>109366.32</v>
      </c>
      <c r="I19" s="42">
        <f t="shared" ref="I19:L19" si="11">ROUND(I74*I20,2)</f>
        <v>127829.67</v>
      </c>
      <c r="J19" s="42">
        <f t="shared" si="11"/>
        <v>154470.71</v>
      </c>
      <c r="K19" s="42">
        <f t="shared" si="11"/>
        <v>193649.03</v>
      </c>
      <c r="L19" s="42">
        <f t="shared" si="11"/>
        <v>234084.56</v>
      </c>
    </row>
    <row r="20" spans="2:12" x14ac:dyDescent="0.25">
      <c r="B20" s="17" t="s">
        <v>210</v>
      </c>
      <c r="C20" s="18">
        <f>C19/'Balance Sheet'!C74</f>
        <v>0.12389509669753897</v>
      </c>
      <c r="D20" s="18">
        <f>D19/'Balance Sheet'!D74</f>
        <v>0.297713036871812</v>
      </c>
      <c r="E20" s="18">
        <f>E19/'Balance Sheet'!E74</f>
        <v>0.33840405558346059</v>
      </c>
      <c r="F20" s="18">
        <f>F19/'Balance Sheet'!F74</f>
        <v>0.2720054189325205</v>
      </c>
      <c r="G20" s="18">
        <f>G19/'Balance Sheet'!G74</f>
        <v>0.38792199273644895</v>
      </c>
      <c r="H20" s="39">
        <f>G20</f>
        <v>0.38792199273644895</v>
      </c>
      <c r="I20" s="39">
        <f t="shared" ref="I20:L20" si="12">H20</f>
        <v>0.38792199273644895</v>
      </c>
      <c r="J20" s="39">
        <f t="shared" si="12"/>
        <v>0.38792199273644895</v>
      </c>
      <c r="K20" s="39">
        <f t="shared" si="12"/>
        <v>0.38792199273644895</v>
      </c>
      <c r="L20" s="39">
        <f t="shared" si="12"/>
        <v>0.38792199273644895</v>
      </c>
    </row>
    <row r="21" spans="2:12" ht="18.75" x14ac:dyDescent="0.25">
      <c r="B21" s="9" t="s">
        <v>123</v>
      </c>
      <c r="C21" s="7">
        <f>C15+C17+C19</f>
        <v>56653.42</v>
      </c>
      <c r="D21" s="7">
        <f t="shared" ref="D21:G21" si="13">D15+D17+D19</f>
        <v>101587.85</v>
      </c>
      <c r="E21" s="7">
        <f t="shared" si="13"/>
        <v>129806.43</v>
      </c>
      <c r="F21" s="7">
        <f t="shared" si="13"/>
        <v>131645.38</v>
      </c>
      <c r="G21" s="7">
        <f t="shared" si="13"/>
        <v>85163.08</v>
      </c>
      <c r="H21" s="43">
        <f>ROUND(H74*H22,2)</f>
        <v>109366.32</v>
      </c>
      <c r="I21" s="43">
        <f t="shared" ref="I21:L21" si="14">ROUND(I74*I22,2)</f>
        <v>127829.67</v>
      </c>
      <c r="J21" s="43">
        <f t="shared" si="14"/>
        <v>154470.71</v>
      </c>
      <c r="K21" s="43">
        <f t="shared" si="14"/>
        <v>193649.03</v>
      </c>
      <c r="L21" s="43">
        <f t="shared" si="14"/>
        <v>234084.56</v>
      </c>
    </row>
    <row r="22" spans="2:12" x14ac:dyDescent="0.25">
      <c r="B22" s="19" t="s">
        <v>211</v>
      </c>
      <c r="C22" s="20">
        <f>C21/'Balance Sheet'!C74</f>
        <v>0.65250619814674093</v>
      </c>
      <c r="D22" s="20">
        <f>D21/'Balance Sheet'!D74</f>
        <v>0.80490959633139203</v>
      </c>
      <c r="E22" s="20">
        <f>E21/'Balance Sheet'!E74</f>
        <v>0.8030509293263729</v>
      </c>
      <c r="F22" s="20">
        <f>F21/'Balance Sheet'!F74</f>
        <v>0.75479239010461074</v>
      </c>
      <c r="G22" s="20">
        <f>G21/'Balance Sheet'!G74</f>
        <v>0.38792199273644895</v>
      </c>
      <c r="H22" s="41">
        <f>G22</f>
        <v>0.38792199273644895</v>
      </c>
      <c r="I22" s="41">
        <f t="shared" ref="I22:L22" si="15">H22</f>
        <v>0.38792199273644895</v>
      </c>
      <c r="J22" s="41">
        <f t="shared" si="15"/>
        <v>0.38792199273644895</v>
      </c>
      <c r="K22" s="41">
        <f t="shared" si="15"/>
        <v>0.38792199273644895</v>
      </c>
      <c r="L22" s="41">
        <f t="shared" si="15"/>
        <v>0.38792199273644895</v>
      </c>
    </row>
    <row r="23" spans="2:12" ht="18.75" x14ac:dyDescent="0.25">
      <c r="B23" s="8" t="s">
        <v>15</v>
      </c>
      <c r="C23" s="4">
        <v>1136.3399999999999</v>
      </c>
      <c r="D23" s="4">
        <v>73.89</v>
      </c>
      <c r="E23" s="4">
        <v>81</v>
      </c>
      <c r="F23" s="4">
        <v>137.69</v>
      </c>
      <c r="G23" s="5">
        <v>166.9</v>
      </c>
      <c r="H23" s="42">
        <f>H74*H24</f>
        <v>214.33276205308391</v>
      </c>
      <c r="I23" s="42">
        <f t="shared" ref="I23:L23" si="16">I74*I24</f>
        <v>250.51668016839855</v>
      </c>
      <c r="J23" s="42">
        <f t="shared" si="16"/>
        <v>302.72697323133184</v>
      </c>
      <c r="K23" s="42">
        <f t="shared" si="16"/>
        <v>379.50744656352077</v>
      </c>
      <c r="L23" s="42">
        <f t="shared" si="16"/>
        <v>458.75175604199961</v>
      </c>
    </row>
    <row r="24" spans="2:12" x14ac:dyDescent="0.25">
      <c r="B24" s="17" t="s">
        <v>212</v>
      </c>
      <c r="C24" s="18">
        <f>C23/'Balance Sheet'!C74</f>
        <v>1.3087804640956671E-2</v>
      </c>
      <c r="D24" s="18">
        <f>D23/'Balance Sheet'!D74</f>
        <v>5.85451607381459E-4</v>
      </c>
      <c r="E24" s="18">
        <f>E23/'Balance Sheet'!E74</f>
        <v>5.0110865290291251E-4</v>
      </c>
      <c r="F24" s="18">
        <f>F23/'Balance Sheet'!F74</f>
        <v>7.8944938434986358E-4</v>
      </c>
      <c r="G24" s="18">
        <f>G23/'Balance Sheet'!G74</f>
        <v>7.6023765917946284E-4</v>
      </c>
      <c r="H24" s="39">
        <f>MEDIAN(C24:G24)</f>
        <v>7.6023765917946284E-4</v>
      </c>
      <c r="I24" s="39">
        <f t="shared" ref="I24:L24" si="17">H24</f>
        <v>7.6023765917946284E-4</v>
      </c>
      <c r="J24" s="39">
        <f t="shared" si="17"/>
        <v>7.6023765917946284E-4</v>
      </c>
      <c r="K24" s="39">
        <f t="shared" si="17"/>
        <v>7.6023765917946284E-4</v>
      </c>
      <c r="L24" s="39">
        <f t="shared" si="17"/>
        <v>7.6023765917946284E-4</v>
      </c>
    </row>
    <row r="25" spans="2:12" ht="18.75" x14ac:dyDescent="0.25">
      <c r="B25" s="8" t="s">
        <v>21</v>
      </c>
      <c r="C25" s="4">
        <v>191</v>
      </c>
      <c r="D25" s="4">
        <v>0</v>
      </c>
      <c r="E25" s="4">
        <v>0</v>
      </c>
      <c r="F25" s="4">
        <v>0</v>
      </c>
      <c r="G25" s="4">
        <v>0</v>
      </c>
      <c r="H25" s="38">
        <f>H74*H26</f>
        <v>0</v>
      </c>
      <c r="I25" s="38">
        <f t="shared" ref="I25:L25" si="18">I74*I26</f>
        <v>0</v>
      </c>
      <c r="J25" s="38">
        <f t="shared" si="18"/>
        <v>0</v>
      </c>
      <c r="K25" s="38">
        <f t="shared" si="18"/>
        <v>0</v>
      </c>
      <c r="L25" s="38">
        <f t="shared" si="18"/>
        <v>0</v>
      </c>
    </row>
    <row r="26" spans="2:12" x14ac:dyDescent="0.25">
      <c r="B26" s="17" t="s">
        <v>213</v>
      </c>
      <c r="C26" s="18">
        <f>C25/'Balance Sheet'!C74</f>
        <v>2.1998439608063823E-3</v>
      </c>
      <c r="D26" s="18">
        <f>D25/'Balance Sheet'!D74</f>
        <v>0</v>
      </c>
      <c r="E26" s="18">
        <f>E25/'Balance Sheet'!E74</f>
        <v>0</v>
      </c>
      <c r="F26" s="18">
        <f>F25/'Balance Sheet'!F74</f>
        <v>0</v>
      </c>
      <c r="G26" s="18">
        <f>G25/'Balance Sheet'!G74</f>
        <v>0</v>
      </c>
      <c r="H26" s="39">
        <f>MEDIAN(C26:G26)</f>
        <v>0</v>
      </c>
      <c r="I26" s="39">
        <f t="shared" ref="I26:L26" si="19">H26</f>
        <v>0</v>
      </c>
      <c r="J26" s="39">
        <f t="shared" si="19"/>
        <v>0</v>
      </c>
      <c r="K26" s="39">
        <f t="shared" si="19"/>
        <v>0</v>
      </c>
      <c r="L26" s="39">
        <f t="shared" si="19"/>
        <v>0</v>
      </c>
    </row>
    <row r="27" spans="2:12" ht="18.75" x14ac:dyDescent="0.25">
      <c r="B27" s="8" t="s">
        <v>14</v>
      </c>
      <c r="C27" s="4">
        <v>500.21</v>
      </c>
      <c r="D27" s="4">
        <v>358.06</v>
      </c>
      <c r="E27" s="4">
        <v>471.26</v>
      </c>
      <c r="F27" s="4">
        <v>687.06</v>
      </c>
      <c r="G27" s="4">
        <v>632.29999999999995</v>
      </c>
      <c r="H27" s="38">
        <f>ROUND(H74*H28,2)</f>
        <v>812</v>
      </c>
      <c r="I27" s="38">
        <f t="shared" ref="I27:L27" si="20">ROUND(I74*I28,2)</f>
        <v>949.08</v>
      </c>
      <c r="J27" s="38">
        <f t="shared" si="20"/>
        <v>1146.8800000000001</v>
      </c>
      <c r="K27" s="38">
        <f t="shared" si="20"/>
        <v>1437.76</v>
      </c>
      <c r="L27" s="38">
        <f t="shared" si="20"/>
        <v>1737.98</v>
      </c>
    </row>
    <row r="28" spans="2:12" x14ac:dyDescent="0.25">
      <c r="B28" s="17" t="s">
        <v>214</v>
      </c>
      <c r="C28" s="18">
        <f>C27/'Balance Sheet'!C74</f>
        <v>5.7611725007065987E-3</v>
      </c>
      <c r="D28" s="18">
        <f>D27/'Balance Sheet'!D74</f>
        <v>2.8370118086209935E-3</v>
      </c>
      <c r="E28" s="18">
        <f>E27/'Balance Sheet'!E74</f>
        <v>2.9154625156423029E-3</v>
      </c>
      <c r="F28" s="18">
        <f>F27/'Balance Sheet'!F74</f>
        <v>3.9392773186971985E-3</v>
      </c>
      <c r="G28" s="18">
        <f>G27/'Balance Sheet'!G74</f>
        <v>2.8801574110196185E-3</v>
      </c>
      <c r="H28" s="39">
        <f>G28</f>
        <v>2.8801574110196185E-3</v>
      </c>
      <c r="I28" s="39">
        <f t="shared" ref="I28:L28" si="21">H28</f>
        <v>2.8801574110196185E-3</v>
      </c>
      <c r="J28" s="39">
        <f t="shared" si="21"/>
        <v>2.8801574110196185E-3</v>
      </c>
      <c r="K28" s="39">
        <f t="shared" si="21"/>
        <v>2.8801574110196185E-3</v>
      </c>
      <c r="L28" s="39">
        <f t="shared" si="21"/>
        <v>2.8801574110196185E-3</v>
      </c>
    </row>
    <row r="29" spans="2:12" ht="18.75" x14ac:dyDescent="0.25">
      <c r="B29" s="8" t="s">
        <v>19</v>
      </c>
      <c r="C29" s="5">
        <v>460.79</v>
      </c>
      <c r="D29" s="5">
        <v>811.54</v>
      </c>
      <c r="E29" s="4">
        <v>959.81</v>
      </c>
      <c r="F29" s="4">
        <v>1108.68</v>
      </c>
      <c r="G29" s="4">
        <v>81579.94</v>
      </c>
      <c r="H29" s="38">
        <f>H74*H30</f>
        <v>1792.1208197098188</v>
      </c>
      <c r="I29" s="38">
        <f t="shared" ref="I29:L29" si="22">I74*I30</f>
        <v>2094.6688407028491</v>
      </c>
      <c r="J29" s="38">
        <f t="shared" si="22"/>
        <v>2531.2197081715381</v>
      </c>
      <c r="K29" s="38">
        <f t="shared" si="22"/>
        <v>3173.2115506118962</v>
      </c>
      <c r="L29" s="38">
        <f t="shared" si="22"/>
        <v>3835.8044995365085</v>
      </c>
    </row>
    <row r="30" spans="2:12" x14ac:dyDescent="0.25">
      <c r="B30" s="17" t="s">
        <v>215</v>
      </c>
      <c r="C30" s="18">
        <f>C29/'Balance Sheet'!C74</f>
        <v>5.3071523492145183E-3</v>
      </c>
      <c r="D30" s="18">
        <f>D29/'Balance Sheet'!D74</f>
        <v>6.4300635736141455E-3</v>
      </c>
      <c r="E30" s="18">
        <f>E29/'Balance Sheet'!E74</f>
        <v>5.9378900758363506E-3</v>
      </c>
      <c r="F30" s="18">
        <f>F29/'Balance Sheet'!F74</f>
        <v>6.3566471308083876E-3</v>
      </c>
      <c r="G30" s="18">
        <f>G29/'Balance Sheet'!G74</f>
        <v>0.37160061486878987</v>
      </c>
      <c r="H30" s="39">
        <f>MEDIAN(C30:G30)</f>
        <v>6.3566471308083876E-3</v>
      </c>
      <c r="I30" s="39">
        <f t="shared" ref="I30:L30" si="23">H30</f>
        <v>6.3566471308083876E-3</v>
      </c>
      <c r="J30" s="39">
        <f t="shared" si="23"/>
        <v>6.3566471308083876E-3</v>
      </c>
      <c r="K30" s="39">
        <f t="shared" si="23"/>
        <v>6.3566471308083876E-3</v>
      </c>
      <c r="L30" s="39">
        <f t="shared" si="23"/>
        <v>6.3566471308083876E-3</v>
      </c>
    </row>
    <row r="31" spans="2:12" ht="18.75" x14ac:dyDescent="0.25">
      <c r="B31" s="8" t="s">
        <v>20</v>
      </c>
      <c r="C31" s="5">
        <v>11336.93</v>
      </c>
      <c r="D31" s="5">
        <v>1704.15</v>
      </c>
      <c r="E31" s="4">
        <v>745</v>
      </c>
      <c r="F31" s="5">
        <v>1029.6500000000001</v>
      </c>
      <c r="G31" s="5">
        <v>1250.45</v>
      </c>
      <c r="H31" s="42">
        <f>H74*H32</f>
        <v>1664.3731302217186</v>
      </c>
      <c r="I31" s="42">
        <f t="shared" ref="I31:L31" si="24">I74*I32</f>
        <v>1945.3546305784253</v>
      </c>
      <c r="J31" s="42">
        <f t="shared" si="24"/>
        <v>2350.7868569098605</v>
      </c>
      <c r="K31" s="42">
        <f t="shared" si="24"/>
        <v>2947.0156159464759</v>
      </c>
      <c r="L31" s="42">
        <f t="shared" si="24"/>
        <v>3562.3769734709435</v>
      </c>
    </row>
    <row r="32" spans="2:12" x14ac:dyDescent="0.25">
      <c r="B32" s="17" t="s">
        <v>216</v>
      </c>
      <c r="C32" s="18">
        <f>C31/'Balance Sheet'!C74</f>
        <v>0.13057317798211884</v>
      </c>
      <c r="D32" s="18">
        <f>D31/'Balance Sheet'!D74</f>
        <v>1.3502467948560203E-2</v>
      </c>
      <c r="E32" s="18">
        <f>E31/'Balance Sheet'!E74</f>
        <v>4.6089623013909854E-3</v>
      </c>
      <c r="F32" s="18">
        <f>F31/'Balance Sheet'!F74</f>
        <v>5.9035264623127108E-3</v>
      </c>
      <c r="G32" s="18">
        <f>G31/'Balance Sheet'!G74</f>
        <v>5.6958608802933457E-3</v>
      </c>
      <c r="H32" s="39">
        <f>MEDIAN(C32:G32)</f>
        <v>5.9035264623127108E-3</v>
      </c>
      <c r="I32" s="39">
        <f t="shared" ref="I32:L32" si="25">H32</f>
        <v>5.9035264623127108E-3</v>
      </c>
      <c r="J32" s="39">
        <f t="shared" si="25"/>
        <v>5.9035264623127108E-3</v>
      </c>
      <c r="K32" s="39">
        <f t="shared" si="25"/>
        <v>5.9035264623127108E-3</v>
      </c>
      <c r="L32" s="39">
        <f t="shared" si="25"/>
        <v>5.9035264623127108E-3</v>
      </c>
    </row>
    <row r="33" spans="2:12" ht="18.75" x14ac:dyDescent="0.25">
      <c r="B33" s="9" t="s">
        <v>22</v>
      </c>
      <c r="C33" s="7">
        <f>C23+C25+C27+C29+C31</f>
        <v>13625.27</v>
      </c>
      <c r="D33" s="7">
        <f t="shared" ref="D33:L33" si="26">D23+D25+D27+D29+D31</f>
        <v>2947.6400000000003</v>
      </c>
      <c r="E33" s="7">
        <f t="shared" si="26"/>
        <v>2257.0699999999997</v>
      </c>
      <c r="F33" s="7">
        <f t="shared" si="26"/>
        <v>2963.08</v>
      </c>
      <c r="G33" s="7">
        <f t="shared" si="26"/>
        <v>83629.59</v>
      </c>
      <c r="H33" s="43">
        <f t="shared" si="26"/>
        <v>4482.8267119846214</v>
      </c>
      <c r="I33" s="43">
        <f t="shared" si="26"/>
        <v>5239.6201514496734</v>
      </c>
      <c r="J33" s="43">
        <f t="shared" si="26"/>
        <v>6331.6135383127312</v>
      </c>
      <c r="K33" s="43">
        <f t="shared" si="26"/>
        <v>7937.4946131218931</v>
      </c>
      <c r="L33" s="43">
        <f t="shared" si="26"/>
        <v>9594.9132290494526</v>
      </c>
    </row>
    <row r="34" spans="2:12" x14ac:dyDescent="0.25">
      <c r="B34" s="19" t="s">
        <v>217</v>
      </c>
      <c r="C34" s="20">
        <f>C33/'Balance Sheet'!C74</f>
        <v>0.15692915143380301</v>
      </c>
      <c r="D34" s="20">
        <f>D33/'Balance Sheet'!D74</f>
        <v>2.3354994938176804E-2</v>
      </c>
      <c r="E34" s="20">
        <f>E33/'Balance Sheet'!E74</f>
        <v>1.3963423545772551E-2</v>
      </c>
      <c r="F34" s="20">
        <f>F33/'Balance Sheet'!F74</f>
        <v>1.6988900296168161E-2</v>
      </c>
      <c r="G34" s="20">
        <f>G33/'Balance Sheet'!G74</f>
        <v>0.38093687081928229</v>
      </c>
      <c r="H34" s="41">
        <f>H33/'Balance Sheet'!H74</f>
        <v>1.5900572798022785E-2</v>
      </c>
      <c r="I34" s="41">
        <f>I33/'Balance Sheet'!I74</f>
        <v>1.5900564210934019E-2</v>
      </c>
      <c r="J34" s="41">
        <f>J33/'Balance Sheet'!J74</f>
        <v>1.5900568766026538E-2</v>
      </c>
      <c r="K34" s="41">
        <f>K33/'Balance Sheet'!K74</f>
        <v>1.5900563688726905E-2</v>
      </c>
      <c r="L34" s="41">
        <f>L33/'Balance Sheet'!L74</f>
        <v>1.5900569920902493E-2</v>
      </c>
    </row>
    <row r="35" spans="2:12" ht="18.75" x14ac:dyDescent="0.25">
      <c r="B35" s="8" t="s">
        <v>10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38">
        <f>H74*H36</f>
        <v>0</v>
      </c>
      <c r="I35" s="38">
        <f t="shared" ref="I35:L35" si="27">I74*I36</f>
        <v>0</v>
      </c>
      <c r="J35" s="38">
        <f t="shared" si="27"/>
        <v>0</v>
      </c>
      <c r="K35" s="38">
        <f t="shared" si="27"/>
        <v>0</v>
      </c>
      <c r="L35" s="38">
        <f t="shared" si="27"/>
        <v>0</v>
      </c>
    </row>
    <row r="36" spans="2:12" x14ac:dyDescent="0.25">
      <c r="B36" s="17" t="s">
        <v>218</v>
      </c>
      <c r="C36" s="18">
        <f>C35/'Balance Sheet'!C74</f>
        <v>0</v>
      </c>
      <c r="D36" s="18">
        <f>D35/'Balance Sheet'!D74</f>
        <v>0</v>
      </c>
      <c r="E36" s="18">
        <f>E35/'Balance Sheet'!E74</f>
        <v>0</v>
      </c>
      <c r="F36" s="18">
        <f>F35/'Balance Sheet'!F74</f>
        <v>0</v>
      </c>
      <c r="G36" s="18">
        <f>G35/'Balance Sheet'!G74</f>
        <v>0</v>
      </c>
      <c r="H36" s="39">
        <f>MEDIAN(C36:G36)</f>
        <v>0</v>
      </c>
      <c r="I36" s="39">
        <f t="shared" ref="I36:L36" si="28">H36</f>
        <v>0</v>
      </c>
      <c r="J36" s="39">
        <f t="shared" si="28"/>
        <v>0</v>
      </c>
      <c r="K36" s="39">
        <f t="shared" si="28"/>
        <v>0</v>
      </c>
      <c r="L36" s="39">
        <f t="shared" si="28"/>
        <v>0</v>
      </c>
    </row>
    <row r="37" spans="2:12" ht="18.75" x14ac:dyDescent="0.25">
      <c r="B37" s="9" t="s">
        <v>124</v>
      </c>
      <c r="C37" s="7">
        <f>C13+C21+C33+C35</f>
        <v>86824.34</v>
      </c>
      <c r="D37" s="7">
        <f t="shared" ref="D37:L37" si="29">D13+D21+D33+D35</f>
        <v>126210.26070880005</v>
      </c>
      <c r="E37" s="7">
        <f t="shared" si="29"/>
        <v>161641.59116145491</v>
      </c>
      <c r="F37" s="7">
        <f t="shared" si="29"/>
        <v>174412.70172550963</v>
      </c>
      <c r="G37" s="7">
        <f t="shared" si="29"/>
        <v>219536.61198543877</v>
      </c>
      <c r="H37" s="43">
        <f t="shared" si="29"/>
        <v>281928.63042909093</v>
      </c>
      <c r="I37" s="43">
        <f t="shared" si="29"/>
        <v>329524.16542846011</v>
      </c>
      <c r="J37" s="43">
        <f t="shared" si="29"/>
        <v>398200.44373764668</v>
      </c>
      <c r="K37" s="43">
        <f t="shared" si="29"/>
        <v>499195.80013061903</v>
      </c>
      <c r="L37" s="43">
        <f t="shared" si="29"/>
        <v>603432.03273715475</v>
      </c>
    </row>
    <row r="38" spans="2:12" x14ac:dyDescent="0.25">
      <c r="B38" s="19" t="s">
        <v>219</v>
      </c>
      <c r="C38" s="20">
        <f>C37/'Balance Sheet'!C74</f>
        <v>1</v>
      </c>
      <c r="D38" s="20">
        <f>D37/'Balance Sheet'!D74</f>
        <v>0.99999999999999989</v>
      </c>
      <c r="E38" s="20">
        <f>E37/'Balance Sheet'!E74</f>
        <v>1</v>
      </c>
      <c r="F38" s="20">
        <f>F37/'Balance Sheet'!F74</f>
        <v>0.99999999999999978</v>
      </c>
      <c r="G38" s="20">
        <f>G37/'Balance Sheet'!G74</f>
        <v>0.99999999999999989</v>
      </c>
      <c r="H38" s="41">
        <f>H37/'Balance Sheet'!H74</f>
        <v>1.0000000000000002</v>
      </c>
      <c r="I38" s="41">
        <f>I37/'Balance Sheet'!I74</f>
        <v>1.0000000000000002</v>
      </c>
      <c r="J38" s="41">
        <f>J37/'Balance Sheet'!J74</f>
        <v>1.0000000000000002</v>
      </c>
      <c r="K38" s="41">
        <f>K37/'Balance Sheet'!K74</f>
        <v>1.0000000000000002</v>
      </c>
      <c r="L38" s="41">
        <f>L37/'Balance Sheet'!L74</f>
        <v>0.99999999999999978</v>
      </c>
    </row>
    <row r="39" spans="2:12" ht="18.75" x14ac:dyDescent="0.25">
      <c r="B39" s="8"/>
      <c r="C39" s="5"/>
      <c r="D39" s="4"/>
      <c r="E39" s="4"/>
      <c r="F39" s="4"/>
      <c r="G39" s="4"/>
      <c r="H39" s="38"/>
      <c r="I39" s="38"/>
      <c r="J39" s="38"/>
      <c r="K39" s="38"/>
      <c r="L39" s="38"/>
    </row>
    <row r="40" spans="2:12" ht="18.75" x14ac:dyDescent="0.25">
      <c r="B40" s="8" t="s">
        <v>26</v>
      </c>
      <c r="C40" s="5">
        <v>346.15</v>
      </c>
      <c r="D40" s="5">
        <v>526.51</v>
      </c>
      <c r="E40" s="5">
        <v>1097.26</v>
      </c>
      <c r="F40" s="4">
        <v>1041.69</v>
      </c>
      <c r="G40" s="4">
        <v>1747.17</v>
      </c>
      <c r="H40" s="38">
        <f>ROUND(H74*H41,2)</f>
        <v>2243.71</v>
      </c>
      <c r="I40" s="38">
        <f t="shared" ref="I40:L40" si="30">ROUND(I74*I41,2)</f>
        <v>2622.5</v>
      </c>
      <c r="J40" s="38">
        <f t="shared" si="30"/>
        <v>3169.06</v>
      </c>
      <c r="K40" s="38">
        <f t="shared" si="30"/>
        <v>3972.82</v>
      </c>
      <c r="L40" s="38">
        <f t="shared" si="30"/>
        <v>4802.38</v>
      </c>
    </row>
    <row r="41" spans="2:12" x14ac:dyDescent="0.25">
      <c r="B41" s="17" t="s">
        <v>220</v>
      </c>
      <c r="C41" s="18">
        <f>C40/'Balance Sheet'!C74</f>
        <v>3.9867852724247603E-3</v>
      </c>
      <c r="D41" s="18">
        <f>D40/'Balance Sheet'!D74</f>
        <v>4.1716893463582616E-3</v>
      </c>
      <c r="E41" s="18">
        <f>E40/'Balance Sheet'!E74</f>
        <v>6.7882281541265408E-3</v>
      </c>
      <c r="F41" s="18">
        <f>F40/'Balance Sheet'!F74</f>
        <v>5.9725581319152411E-3</v>
      </c>
      <c r="G41" s="18">
        <f>G40/'Balance Sheet'!G74</f>
        <v>7.9584447632629254E-3</v>
      </c>
      <c r="H41" s="39">
        <f>G41</f>
        <v>7.9584447632629254E-3</v>
      </c>
      <c r="I41" s="39">
        <f t="shared" ref="I41:L41" si="31">H41</f>
        <v>7.9584447632629254E-3</v>
      </c>
      <c r="J41" s="39">
        <f t="shared" si="31"/>
        <v>7.9584447632629254E-3</v>
      </c>
      <c r="K41" s="39">
        <f t="shared" si="31"/>
        <v>7.9584447632629254E-3</v>
      </c>
      <c r="L41" s="39">
        <f t="shared" si="31"/>
        <v>7.9584447632629254E-3</v>
      </c>
    </row>
    <row r="42" spans="2:12" ht="18.75" x14ac:dyDescent="0.25">
      <c r="B42" s="8" t="s">
        <v>27</v>
      </c>
      <c r="C42" s="4">
        <v>120.84</v>
      </c>
      <c r="D42" s="4">
        <v>165.06</v>
      </c>
      <c r="E42" s="4">
        <v>220.46</v>
      </c>
      <c r="F42" s="4">
        <v>270.74</v>
      </c>
      <c r="G42" s="4">
        <v>0</v>
      </c>
      <c r="H42" s="38">
        <f>ROUND(H74*H43,2)</f>
        <v>0</v>
      </c>
      <c r="I42" s="38">
        <f t="shared" ref="I42:L42" si="32">ROUND(I74*I43,2)</f>
        <v>0</v>
      </c>
      <c r="J42" s="38">
        <f t="shared" si="32"/>
        <v>0</v>
      </c>
      <c r="K42" s="38">
        <f t="shared" si="32"/>
        <v>0</v>
      </c>
      <c r="L42" s="38">
        <f t="shared" si="32"/>
        <v>0</v>
      </c>
    </row>
    <row r="43" spans="2:12" x14ac:dyDescent="0.25">
      <c r="B43" s="17" t="s">
        <v>221</v>
      </c>
      <c r="C43" s="18">
        <f>C42/'Balance Sheet'!C74</f>
        <v>1.3917756242086033E-3</v>
      </c>
      <c r="D43" s="18">
        <f>D42/'Balance Sheet'!D74</f>
        <v>1.3078175979751472E-3</v>
      </c>
      <c r="E43" s="18">
        <f>E42/'Balance Sheet'!E74</f>
        <v>1.3638816496169888E-3</v>
      </c>
      <c r="F43" s="18">
        <f>F42/'Balance Sheet'!F74</f>
        <v>1.5522952016768254E-3</v>
      </c>
      <c r="G43" s="18">
        <f>G42/'Balance Sheet'!G74</f>
        <v>0</v>
      </c>
      <c r="H43" s="39">
        <f>G43</f>
        <v>0</v>
      </c>
      <c r="I43" s="39">
        <f t="shared" ref="I43:L43" si="33">H43</f>
        <v>0</v>
      </c>
      <c r="J43" s="39">
        <f t="shared" si="33"/>
        <v>0</v>
      </c>
      <c r="K43" s="39">
        <f t="shared" si="33"/>
        <v>0</v>
      </c>
      <c r="L43" s="39">
        <f t="shared" si="33"/>
        <v>0</v>
      </c>
    </row>
    <row r="44" spans="2:12" ht="18.75" x14ac:dyDescent="0.25">
      <c r="B44" s="8" t="s">
        <v>125</v>
      </c>
      <c r="C44" s="4"/>
      <c r="D44" s="4">
        <f>'Income Statement'!D31</f>
        <v>144.15</v>
      </c>
      <c r="E44" s="4">
        <f>'Income Statement'!E31+D44</f>
        <v>438.78</v>
      </c>
      <c r="F44" s="4">
        <f>'Income Statement'!F31+E44</f>
        <v>764.05</v>
      </c>
      <c r="G44" s="4">
        <f>'Income Statement'!G31+F44</f>
        <v>1148.6199999999999</v>
      </c>
      <c r="H44" s="38">
        <f>'Income Statement'!H31+G44</f>
        <v>1762.911839661165</v>
      </c>
      <c r="I44" s="38">
        <f>'Income Statement'!I31+H44</f>
        <v>2480.9103107253422</v>
      </c>
      <c r="J44" s="38">
        <f>'Income Statement'!J31+I44</f>
        <v>3348.5481504624795</v>
      </c>
      <c r="K44" s="38">
        <f>'Income Statement'!K31+J44</f>
        <v>4436.2425969117394</v>
      </c>
      <c r="L44" s="38">
        <f>'Income Statement'!L31+K44</f>
        <v>5751.0572765949364</v>
      </c>
    </row>
    <row r="45" spans="2:12" x14ac:dyDescent="0.25">
      <c r="B45" s="17" t="s">
        <v>222</v>
      </c>
      <c r="C45" s="18">
        <f>C44/'Balance Sheet'!C74</f>
        <v>0</v>
      </c>
      <c r="D45" s="18">
        <f>D44/'Balance Sheet'!D74</f>
        <v>1.1421416863450714E-3</v>
      </c>
      <c r="E45" s="18">
        <f>E44/'Balance Sheet'!E74</f>
        <v>2.714524132354814E-3</v>
      </c>
      <c r="F45" s="18">
        <f>F44/'Balance Sheet'!F74</f>
        <v>4.3807015913465992E-3</v>
      </c>
      <c r="G45" s="18">
        <f>G44/'Balance Sheet'!G74</f>
        <v>5.2320202521672528E-3</v>
      </c>
      <c r="H45" s="39">
        <f>H44/'Balance Sheet'!H74</f>
        <v>6.2530429668602346E-3</v>
      </c>
      <c r="I45" s="39">
        <f>I44/'Balance Sheet'!I74</f>
        <v>7.5287659328400602E-3</v>
      </c>
      <c r="J45" s="39">
        <f>J44/'Balance Sheet'!J74</f>
        <v>8.4092024585202679E-3</v>
      </c>
      <c r="K45" s="39">
        <f>K44/'Balance Sheet'!K74</f>
        <v>8.8867786863410254E-3</v>
      </c>
      <c r="L45" s="39">
        <f>L44/'Balance Sheet'!L74</f>
        <v>9.5305800232517706E-3</v>
      </c>
    </row>
    <row r="46" spans="2:12" ht="18.75" x14ac:dyDescent="0.25">
      <c r="B46" s="9" t="s">
        <v>126</v>
      </c>
      <c r="C46" s="7">
        <f>C40+C42-C44</f>
        <v>466.99</v>
      </c>
      <c r="D46" s="7">
        <f t="shared" ref="D46:L46" si="34">D40+D42-D44</f>
        <v>547.41999999999996</v>
      </c>
      <c r="E46" s="7">
        <f t="shared" si="34"/>
        <v>878.94</v>
      </c>
      <c r="F46" s="7">
        <f t="shared" si="34"/>
        <v>548.38000000000011</v>
      </c>
      <c r="G46" s="7">
        <f t="shared" si="34"/>
        <v>598.55000000000018</v>
      </c>
      <c r="H46" s="43">
        <f t="shared" si="34"/>
        <v>480.79816033883503</v>
      </c>
      <c r="I46" s="43">
        <f t="shared" si="34"/>
        <v>141.58968927465776</v>
      </c>
      <c r="J46" s="43">
        <f t="shared" si="34"/>
        <v>-179.48815046247955</v>
      </c>
      <c r="K46" s="43">
        <f t="shared" si="34"/>
        <v>-463.42259691173922</v>
      </c>
      <c r="L46" s="43">
        <f t="shared" si="34"/>
        <v>-948.6772765949363</v>
      </c>
    </row>
    <row r="47" spans="2:12" x14ac:dyDescent="0.25">
      <c r="B47" s="19" t="s">
        <v>223</v>
      </c>
      <c r="C47" s="20">
        <f>C46/'Balance Sheet'!C74</f>
        <v>5.378560896633364E-3</v>
      </c>
      <c r="D47" s="20">
        <f>D46/'Balance Sheet'!D74</f>
        <v>4.3373652579883374E-3</v>
      </c>
      <c r="E47" s="20">
        <f>E46/'Balance Sheet'!E74</f>
        <v>5.4375856713887154E-3</v>
      </c>
      <c r="F47" s="20">
        <f>F46/'Balance Sheet'!F74</f>
        <v>3.1441517422454669E-3</v>
      </c>
      <c r="G47" s="20">
        <f>G46/'Balance Sheet'!G74</f>
        <v>2.7264245110956717E-3</v>
      </c>
      <c r="H47" s="41">
        <f>H46/'Balance Sheet'!H74</f>
        <v>1.7053896215048039E-3</v>
      </c>
      <c r="I47" s="41">
        <f>I46/'Balance Sheet'!I74</f>
        <v>4.2967922880726326E-4</v>
      </c>
      <c r="J47" s="41">
        <f>J46/'Balance Sheet'!J74</f>
        <v>-4.5074824321575814E-4</v>
      </c>
      <c r="K47" s="41">
        <f>K46/'Balance Sheet'!K74</f>
        <v>-9.2833833295568712E-4</v>
      </c>
      <c r="L47" s="41">
        <f>L46/'Balance Sheet'!L74</f>
        <v>-1.5721360901106895E-3</v>
      </c>
    </row>
    <row r="48" spans="2:12" ht="18.75" x14ac:dyDescent="0.25">
      <c r="B48" s="8" t="s">
        <v>30</v>
      </c>
      <c r="C48" s="4">
        <v>837.58</v>
      </c>
      <c r="D48" s="4">
        <v>0</v>
      </c>
      <c r="E48" s="4">
        <v>0</v>
      </c>
      <c r="F48" s="4">
        <v>0</v>
      </c>
      <c r="G48" s="4">
        <v>0</v>
      </c>
      <c r="H48" s="38">
        <f>H74*H49</f>
        <v>0</v>
      </c>
      <c r="I48" s="38">
        <f t="shared" ref="I48:L48" si="35">I74*I49</f>
        <v>0</v>
      </c>
      <c r="J48" s="38">
        <f t="shared" si="35"/>
        <v>0</v>
      </c>
      <c r="K48" s="38">
        <f t="shared" si="35"/>
        <v>0</v>
      </c>
      <c r="L48" s="38">
        <f t="shared" si="35"/>
        <v>0</v>
      </c>
    </row>
    <row r="49" spans="2:12" x14ac:dyDescent="0.25">
      <c r="B49" s="17" t="s">
        <v>224</v>
      </c>
      <c r="C49" s="18">
        <f>C48/'Balance Sheet'!C74</f>
        <v>9.6468340559801562E-3</v>
      </c>
      <c r="D49" s="18">
        <f>D48/'Balance Sheet'!D74</f>
        <v>0</v>
      </c>
      <c r="E49" s="18">
        <f>E48/'Balance Sheet'!E74</f>
        <v>0</v>
      </c>
      <c r="F49" s="18">
        <f>F48/'Balance Sheet'!F74</f>
        <v>0</v>
      </c>
      <c r="G49" s="18">
        <f>G48/'Balance Sheet'!G74</f>
        <v>0</v>
      </c>
      <c r="H49" s="39">
        <f>MEDIAN(C49:G49)</f>
        <v>0</v>
      </c>
      <c r="I49" s="39">
        <f t="shared" ref="I49:L49" si="36">H49</f>
        <v>0</v>
      </c>
      <c r="J49" s="39">
        <f t="shared" si="36"/>
        <v>0</v>
      </c>
      <c r="K49" s="39">
        <f t="shared" si="36"/>
        <v>0</v>
      </c>
      <c r="L49" s="39">
        <f t="shared" si="36"/>
        <v>0</v>
      </c>
    </row>
    <row r="50" spans="2:12" ht="18.75" x14ac:dyDescent="0.25">
      <c r="B50" s="8" t="s">
        <v>36</v>
      </c>
      <c r="C50" s="5">
        <v>2308.39</v>
      </c>
      <c r="D50" s="5">
        <v>8599.0300000000007</v>
      </c>
      <c r="E50" s="5">
        <v>17543.900000000001</v>
      </c>
      <c r="F50" s="5">
        <v>18396.91</v>
      </c>
      <c r="G50" s="5">
        <v>12245.54</v>
      </c>
      <c r="H50" s="42">
        <f>H74*H51</f>
        <v>19208.52343782243</v>
      </c>
      <c r="I50" s="42">
        <f t="shared" ref="I50:L50" si="37">I74*I51</f>
        <v>22451.329775652048</v>
      </c>
      <c r="J50" s="42">
        <f t="shared" si="37"/>
        <v>27130.421429155529</v>
      </c>
      <c r="K50" s="42">
        <f t="shared" si="37"/>
        <v>34011.495080430439</v>
      </c>
      <c r="L50" s="42">
        <f t="shared" si="37"/>
        <v>41113.377972017581</v>
      </c>
    </row>
    <row r="51" spans="2:12" x14ac:dyDescent="0.25">
      <c r="B51" s="17" t="s">
        <v>225</v>
      </c>
      <c r="C51" s="18">
        <f>C50/'Balance Sheet'!C74</f>
        <v>2.6586899480030599E-2</v>
      </c>
      <c r="D51" s="18">
        <f>D50/'Balance Sheet'!D74</f>
        <v>6.8132574576010116E-2</v>
      </c>
      <c r="E51" s="18">
        <f>E50/'Balance Sheet'!E74</f>
        <v>0.10853580365016552</v>
      </c>
      <c r="F51" s="18">
        <f>F50/'Balance Sheet'!F74</f>
        <v>0.10547918711191699</v>
      </c>
      <c r="G51" s="18">
        <f>G50/'Balance Sheet'!G74</f>
        <v>5.577903334325033E-2</v>
      </c>
      <c r="H51" s="39">
        <f>MEDIAN(C51:G51)</f>
        <v>6.8132574576010116E-2</v>
      </c>
      <c r="I51" s="39">
        <f t="shared" ref="I51:L51" si="38">H51</f>
        <v>6.8132574576010116E-2</v>
      </c>
      <c r="J51" s="39">
        <f t="shared" si="38"/>
        <v>6.8132574576010116E-2</v>
      </c>
      <c r="K51" s="39">
        <f t="shared" si="38"/>
        <v>6.8132574576010116E-2</v>
      </c>
      <c r="L51" s="39">
        <f t="shared" si="38"/>
        <v>6.8132574576010116E-2</v>
      </c>
    </row>
    <row r="52" spans="2:12" ht="18.75" x14ac:dyDescent="0.25">
      <c r="B52" s="8" t="s">
        <v>28</v>
      </c>
      <c r="C52" s="4">
        <v>3.27</v>
      </c>
      <c r="D52" s="4">
        <v>0</v>
      </c>
      <c r="E52" s="4">
        <v>0</v>
      </c>
      <c r="F52" s="4">
        <v>7.07</v>
      </c>
      <c r="G52" s="4">
        <v>0</v>
      </c>
      <c r="H52" s="38">
        <f>H74*H53</f>
        <v>0</v>
      </c>
      <c r="I52" s="38">
        <f t="shared" ref="I52:L52" si="39">I74*I53</f>
        <v>0</v>
      </c>
      <c r="J52" s="38">
        <f t="shared" si="39"/>
        <v>0</v>
      </c>
      <c r="K52" s="38">
        <f t="shared" si="39"/>
        <v>0</v>
      </c>
      <c r="L52" s="38">
        <f t="shared" si="39"/>
        <v>0</v>
      </c>
    </row>
    <row r="53" spans="2:12" x14ac:dyDescent="0.25">
      <c r="B53" s="17" t="s">
        <v>226</v>
      </c>
      <c r="C53" s="18">
        <f>C52/'Balance Sheet'!C74</f>
        <v>3.7662250009617121E-5</v>
      </c>
      <c r="D53" s="18">
        <f>D52/'Balance Sheet'!D74</f>
        <v>0</v>
      </c>
      <c r="E53" s="18">
        <f>E52/'Balance Sheet'!E74</f>
        <v>0</v>
      </c>
      <c r="F53" s="18">
        <f>F52/'Balance Sheet'!F74</f>
        <v>4.05360385456717E-5</v>
      </c>
      <c r="G53" s="18">
        <f>G52/'Balance Sheet'!G74</f>
        <v>0</v>
      </c>
      <c r="H53" s="39">
        <f>MEDIAN(C53:G53)</f>
        <v>0</v>
      </c>
      <c r="I53" s="39">
        <f t="shared" ref="I53:L53" si="40">H53</f>
        <v>0</v>
      </c>
      <c r="J53" s="39">
        <f t="shared" si="40"/>
        <v>0</v>
      </c>
      <c r="K53" s="39">
        <f t="shared" si="40"/>
        <v>0</v>
      </c>
      <c r="L53" s="39">
        <f t="shared" si="40"/>
        <v>0</v>
      </c>
    </row>
    <row r="54" spans="2:12" ht="18.75" x14ac:dyDescent="0.25">
      <c r="B54" s="9" t="s">
        <v>127</v>
      </c>
      <c r="C54" s="7">
        <f>C46+C48+C50+C52</f>
        <v>3616.23</v>
      </c>
      <c r="D54" s="7">
        <f t="shared" ref="D54:L54" si="41">D46+D48+D50+D52</f>
        <v>9146.4500000000007</v>
      </c>
      <c r="E54" s="7">
        <f t="shared" si="41"/>
        <v>18422.84</v>
      </c>
      <c r="F54" s="7">
        <f t="shared" si="41"/>
        <v>18952.36</v>
      </c>
      <c r="G54" s="7">
        <f t="shared" si="41"/>
        <v>12844.09</v>
      </c>
      <c r="H54" s="43">
        <f t="shared" si="41"/>
        <v>19689.321598161267</v>
      </c>
      <c r="I54" s="43">
        <f t="shared" si="41"/>
        <v>22592.919464926705</v>
      </c>
      <c r="J54" s="43">
        <f t="shared" si="41"/>
        <v>26950.93327869305</v>
      </c>
      <c r="K54" s="43">
        <f t="shared" si="41"/>
        <v>33548.072483518699</v>
      </c>
      <c r="L54" s="43">
        <f t="shared" si="41"/>
        <v>40164.700695422645</v>
      </c>
    </row>
    <row r="55" spans="2:12" x14ac:dyDescent="0.25">
      <c r="B55" s="19" t="s">
        <v>227</v>
      </c>
      <c r="C55" s="20">
        <f>C54/'Balance Sheet'!C74</f>
        <v>4.1649956682653734E-2</v>
      </c>
      <c r="D55" s="20">
        <f>D54/'Balance Sheet'!D74</f>
        <v>7.2469939833998465E-2</v>
      </c>
      <c r="E55" s="20">
        <f>E54/'Balance Sheet'!E74</f>
        <v>0.11397338932155424</v>
      </c>
      <c r="F55" s="20">
        <f>F54/'Balance Sheet'!F74</f>
        <v>0.10866387489270812</v>
      </c>
      <c r="G55" s="20">
        <f>G54/'Balance Sheet'!G74</f>
        <v>5.8505457854346E-2</v>
      </c>
      <c r="H55" s="41">
        <f>H54/'Balance Sheet'!H74</f>
        <v>6.9837964197514923E-2</v>
      </c>
      <c r="I55" s="41">
        <f>I54/'Balance Sheet'!I74</f>
        <v>6.8562253804817369E-2</v>
      </c>
      <c r="J55" s="41">
        <f>J54/'Balance Sheet'!J74</f>
        <v>6.7681826332794362E-2</v>
      </c>
      <c r="K55" s="41">
        <f>K54/'Balance Sheet'!K74</f>
        <v>6.7204236243054424E-2</v>
      </c>
      <c r="L55" s="41">
        <f>L54/'Balance Sheet'!L74</f>
        <v>6.6560438485899431E-2</v>
      </c>
    </row>
    <row r="56" spans="2:12" ht="18.75" x14ac:dyDescent="0.25">
      <c r="B56" s="8" t="s">
        <v>31</v>
      </c>
      <c r="C56" s="4">
        <v>386.41</v>
      </c>
      <c r="D56" s="4">
        <v>669.03</v>
      </c>
      <c r="E56" s="4">
        <v>850.13</v>
      </c>
      <c r="F56" s="4">
        <v>945.9</v>
      </c>
      <c r="G56" s="4">
        <v>951.11</v>
      </c>
      <c r="H56" s="38">
        <f>H74*H57</f>
        <v>1482.761861378139</v>
      </c>
      <c r="I56" s="38">
        <f t="shared" ref="I56:L56" si="42">I74*I57</f>
        <v>1733.0835259836183</v>
      </c>
      <c r="J56" s="38">
        <f t="shared" si="42"/>
        <v>2094.2762367177784</v>
      </c>
      <c r="K56" s="38">
        <f t="shared" si="42"/>
        <v>2625.4463502598901</v>
      </c>
      <c r="L56" s="38">
        <f t="shared" si="42"/>
        <v>3173.6613720811142</v>
      </c>
    </row>
    <row r="57" spans="2:12" x14ac:dyDescent="0.25">
      <c r="B57" s="17" t="s">
        <v>228</v>
      </c>
      <c r="C57" s="18">
        <f>C56/'Balance Sheet'!C74</f>
        <v>4.4504801303413312E-3</v>
      </c>
      <c r="D57" s="18">
        <f>D56/'Balance Sheet'!D74</f>
        <v>5.3009160764165312E-3</v>
      </c>
      <c r="E57" s="18">
        <f>E56/'Balance Sheet'!E74</f>
        <v>5.2593518406463336E-3</v>
      </c>
      <c r="F57" s="18">
        <f>F56/'Balance Sheet'!F74</f>
        <v>5.4233435446040821E-3</v>
      </c>
      <c r="G57" s="18">
        <f>G56/'Balance Sheet'!G74</f>
        <v>4.3323525465678789E-3</v>
      </c>
      <c r="H57" s="39">
        <f>MEDIAN(C57:G57)</f>
        <v>5.2593518406463336E-3</v>
      </c>
      <c r="I57" s="39">
        <f t="shared" ref="I57:L57" si="43">H57</f>
        <v>5.2593518406463336E-3</v>
      </c>
      <c r="J57" s="39">
        <f t="shared" si="43"/>
        <v>5.2593518406463336E-3</v>
      </c>
      <c r="K57" s="39">
        <f t="shared" si="43"/>
        <v>5.2593518406463336E-3</v>
      </c>
      <c r="L57" s="39">
        <f t="shared" si="43"/>
        <v>5.2593518406463336E-3</v>
      </c>
    </row>
    <row r="58" spans="2:12" ht="18.75" x14ac:dyDescent="0.25">
      <c r="B58" s="8" t="s">
        <v>32</v>
      </c>
      <c r="C58" s="4">
        <v>81.55</v>
      </c>
      <c r="D58" s="4">
        <v>0</v>
      </c>
      <c r="E58" s="4">
        <v>0</v>
      </c>
      <c r="F58" s="4">
        <v>0</v>
      </c>
      <c r="G58" s="4">
        <v>0</v>
      </c>
      <c r="H58" s="38">
        <f>ROUND(H74*H59,2)</f>
        <v>0</v>
      </c>
      <c r="I58" s="38">
        <f t="shared" ref="I58:L58" si="44">ROUND(I74*I59,2)</f>
        <v>0</v>
      </c>
      <c r="J58" s="38">
        <f t="shared" si="44"/>
        <v>0</v>
      </c>
      <c r="K58" s="38">
        <f t="shared" si="44"/>
        <v>0</v>
      </c>
      <c r="L58" s="38">
        <f t="shared" si="44"/>
        <v>0</v>
      </c>
    </row>
    <row r="59" spans="2:12" x14ac:dyDescent="0.25">
      <c r="B59" s="17" t="s">
        <v>229</v>
      </c>
      <c r="C59" s="18">
        <f>C58/'Balance Sheet'!C74</f>
        <v>9.3925274871078782E-4</v>
      </c>
      <c r="D59" s="18">
        <f>D58/'Balance Sheet'!D74</f>
        <v>0</v>
      </c>
      <c r="E59" s="18">
        <f>E58/'Balance Sheet'!E74</f>
        <v>0</v>
      </c>
      <c r="F59" s="18">
        <f>F58/'Balance Sheet'!F74</f>
        <v>0</v>
      </c>
      <c r="G59" s="18">
        <f>G58/'Balance Sheet'!G74</f>
        <v>0</v>
      </c>
      <c r="H59" s="39">
        <f>G59</f>
        <v>0</v>
      </c>
      <c r="I59" s="39">
        <f t="shared" ref="I59:L59" si="45">H59</f>
        <v>0</v>
      </c>
      <c r="J59" s="39">
        <f t="shared" si="45"/>
        <v>0</v>
      </c>
      <c r="K59" s="39">
        <f t="shared" si="45"/>
        <v>0</v>
      </c>
      <c r="L59" s="39">
        <f t="shared" si="45"/>
        <v>0</v>
      </c>
    </row>
    <row r="60" spans="2:12" ht="18.75" x14ac:dyDescent="0.25">
      <c r="B60" s="8" t="s">
        <v>33</v>
      </c>
      <c r="C60" s="4">
        <v>47267.92</v>
      </c>
      <c r="D60" s="4">
        <v>209.43</v>
      </c>
      <c r="E60" s="4">
        <v>322.94</v>
      </c>
      <c r="F60" s="4">
        <v>309.83</v>
      </c>
      <c r="G60" s="5">
        <v>345.44</v>
      </c>
      <c r="H60" s="42"/>
      <c r="I60" s="42"/>
      <c r="J60" s="42"/>
      <c r="K60" s="42"/>
      <c r="L60" s="42"/>
    </row>
    <row r="61" spans="2:12" x14ac:dyDescent="0.25">
      <c r="B61" s="17" t="s">
        <v>230</v>
      </c>
      <c r="C61" s="18">
        <f>C60/'Balance Sheet'!C74</f>
        <v>0.54440863011455087</v>
      </c>
      <c r="D61" s="18">
        <f>D60/'Balance Sheet'!D74</f>
        <v>1.6593738007023814E-3</v>
      </c>
      <c r="E61" s="18">
        <f>E60/'Balance Sheet'!E74</f>
        <v>1.9978768934378588E-3</v>
      </c>
      <c r="F61" s="18">
        <f>F60/'Balance Sheet'!F74</f>
        <v>1.7764187867900228E-3</v>
      </c>
      <c r="G61" s="18">
        <f>G60/'Balance Sheet'!G74</f>
        <v>1.5734960873993629E-3</v>
      </c>
      <c r="H61" s="39"/>
      <c r="I61" s="39"/>
      <c r="J61" s="39"/>
      <c r="K61" s="39"/>
      <c r="L61" s="39"/>
    </row>
    <row r="62" spans="2:12" ht="18.75" x14ac:dyDescent="0.25">
      <c r="B62" s="8" t="s">
        <v>40</v>
      </c>
      <c r="C62" s="5">
        <v>261.66000000000003</v>
      </c>
      <c r="D62" s="5">
        <v>112512.82</v>
      </c>
      <c r="E62" s="5">
        <v>141376.04999999999</v>
      </c>
      <c r="F62" s="5">
        <v>146686.87</v>
      </c>
      <c r="G62" s="4">
        <v>191423.25</v>
      </c>
      <c r="H62" s="38">
        <f>ROUND(H74*H63,2)</f>
        <v>245825.49</v>
      </c>
      <c r="I62" s="38">
        <f t="shared" ref="I62:L62" si="46">ROUND(I74*I63,2)</f>
        <v>287326.05</v>
      </c>
      <c r="J62" s="38">
        <f t="shared" si="46"/>
        <v>347207.8</v>
      </c>
      <c r="K62" s="38">
        <f t="shared" si="46"/>
        <v>435269.92</v>
      </c>
      <c r="L62" s="38">
        <f t="shared" si="46"/>
        <v>526157.89</v>
      </c>
    </row>
    <row r="63" spans="2:12" x14ac:dyDescent="0.25">
      <c r="B63" s="17" t="s">
        <v>231</v>
      </c>
      <c r="C63" s="18">
        <f>C62/'Balance Sheet'!C74</f>
        <v>3.013671051228262E-3</v>
      </c>
      <c r="D63" s="18">
        <f>D62/'Balance Sheet'!D74</f>
        <v>0.89147125889864354</v>
      </c>
      <c r="E63" s="18">
        <f>E62/'Balance Sheet'!E74</f>
        <v>0.87462669096586176</v>
      </c>
      <c r="F63" s="18">
        <f>F62/'Balance Sheet'!F74</f>
        <v>0.84103318478980671</v>
      </c>
      <c r="G63" s="18">
        <f>G62/'Balance Sheet'!G74</f>
        <v>0.87194226178864653</v>
      </c>
      <c r="H63" s="39">
        <f>G63</f>
        <v>0.87194226178864653</v>
      </c>
      <c r="I63" s="39">
        <f t="shared" ref="I63:L63" si="47">H63</f>
        <v>0.87194226178864653</v>
      </c>
      <c r="J63" s="39">
        <f t="shared" si="47"/>
        <v>0.87194226178864653</v>
      </c>
      <c r="K63" s="39">
        <f t="shared" si="47"/>
        <v>0.87194226178864653</v>
      </c>
      <c r="L63" s="39">
        <f t="shared" si="47"/>
        <v>0.87194226178864653</v>
      </c>
    </row>
    <row r="64" spans="2:12" ht="18.75" x14ac:dyDescent="0.25">
      <c r="B64" s="8" t="s">
        <v>41</v>
      </c>
      <c r="C64" s="4">
        <v>538.92999999999995</v>
      </c>
      <c r="D64" s="4">
        <v>389.95</v>
      </c>
      <c r="E64" s="4">
        <v>641.84</v>
      </c>
      <c r="F64" s="4">
        <v>537.17999999999995</v>
      </c>
      <c r="G64" s="4">
        <v>843.39</v>
      </c>
      <c r="H64" s="38">
        <f>H74*H65</f>
        <v>1083.0803366563839</v>
      </c>
      <c r="I64" s="38">
        <f t="shared" ref="I64:L64" si="48">I74*I65</f>
        <v>1265.9272791325684</v>
      </c>
      <c r="J64" s="38">
        <f t="shared" si="48"/>
        <v>1529.7597480741342</v>
      </c>
      <c r="K64" s="38">
        <f t="shared" si="48"/>
        <v>1917.7518595398908</v>
      </c>
      <c r="L64" s="38">
        <f t="shared" si="48"/>
        <v>2318.1943890249377</v>
      </c>
    </row>
    <row r="65" spans="2:12" x14ac:dyDescent="0.25">
      <c r="B65" s="17" t="s">
        <v>232</v>
      </c>
      <c r="C65" s="18">
        <f>C64/'Balance Sheet'!C74</f>
        <v>6.2071303968449397E-3</v>
      </c>
      <c r="D65" s="18">
        <f>D64/'Balance Sheet'!D74</f>
        <v>3.0896854012505068E-3</v>
      </c>
      <c r="E65" s="18">
        <f>E64/'Balance Sheet'!E74</f>
        <v>3.9707602194963623E-3</v>
      </c>
      <c r="F65" s="18">
        <f>F64/'Balance Sheet'!F74</f>
        <v>3.0799362356384611E-3</v>
      </c>
      <c r="G65" s="18">
        <f>G64/'Balance Sheet'!G74</f>
        <v>3.8416826804995039E-3</v>
      </c>
      <c r="H65" s="39">
        <f>MEDIAN(C65:G65)</f>
        <v>3.8416826804995039E-3</v>
      </c>
      <c r="I65" s="39">
        <f t="shared" ref="I65:L65" si="49">H65</f>
        <v>3.8416826804995039E-3</v>
      </c>
      <c r="J65" s="39">
        <f t="shared" si="49"/>
        <v>3.8416826804995039E-3</v>
      </c>
      <c r="K65" s="39">
        <f t="shared" si="49"/>
        <v>3.8416826804995039E-3</v>
      </c>
      <c r="L65" s="39">
        <f t="shared" si="49"/>
        <v>3.8416826804995039E-3</v>
      </c>
    </row>
    <row r="66" spans="2:12" ht="18.75" x14ac:dyDescent="0.25">
      <c r="B66" s="8" t="s">
        <v>37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38">
        <f>H74*H67</f>
        <v>0</v>
      </c>
      <c r="I66" s="38">
        <f t="shared" ref="I66:L66" si="50">I74*I67</f>
        <v>0</v>
      </c>
      <c r="J66" s="38">
        <f t="shared" si="50"/>
        <v>0</v>
      </c>
      <c r="K66" s="38">
        <f t="shared" si="50"/>
        <v>0</v>
      </c>
      <c r="L66" s="38">
        <f t="shared" si="50"/>
        <v>0</v>
      </c>
    </row>
    <row r="67" spans="2:12" x14ac:dyDescent="0.25">
      <c r="B67" s="17" t="s">
        <v>233</v>
      </c>
      <c r="C67" s="18">
        <f>C66/'Balance Sheet'!C74</f>
        <v>0</v>
      </c>
      <c r="D67" s="18">
        <f>D66/'Balance Sheet'!D74</f>
        <v>0</v>
      </c>
      <c r="E67" s="18">
        <f>E66/'Balance Sheet'!E74</f>
        <v>0</v>
      </c>
      <c r="F67" s="18">
        <f>F66/'Balance Sheet'!F74</f>
        <v>0</v>
      </c>
      <c r="G67" s="18">
        <f>G66/'Balance Sheet'!G74</f>
        <v>0</v>
      </c>
      <c r="H67" s="39">
        <f>MEDIAN(C67:G67)</f>
        <v>0</v>
      </c>
      <c r="I67" s="39">
        <f t="shared" ref="I67:L67" si="51">H67</f>
        <v>0</v>
      </c>
      <c r="J67" s="39">
        <f t="shared" si="51"/>
        <v>0</v>
      </c>
      <c r="K67" s="39">
        <f t="shared" si="51"/>
        <v>0</v>
      </c>
      <c r="L67" s="39">
        <f t="shared" si="51"/>
        <v>0</v>
      </c>
    </row>
    <row r="68" spans="2:12" ht="18.75" x14ac:dyDescent="0.25">
      <c r="B68" s="8" t="s">
        <v>38</v>
      </c>
      <c r="C68" s="5">
        <v>34332.18</v>
      </c>
      <c r="D68" s="5">
        <v>808.7</v>
      </c>
      <c r="E68" s="4">
        <v>952.56</v>
      </c>
      <c r="F68" s="4">
        <v>1107.24</v>
      </c>
      <c r="G68" s="5">
        <v>1265.8900000000001</v>
      </c>
      <c r="H68" s="42">
        <f>H69*H74</f>
        <v>1789.7931381602441</v>
      </c>
      <c r="I68" s="42">
        <f t="shared" ref="I68:L68" si="52">I69*I74</f>
        <v>2091.9481971171322</v>
      </c>
      <c r="J68" s="42">
        <f t="shared" si="52"/>
        <v>2527.9320540425133</v>
      </c>
      <c r="K68" s="42">
        <f t="shared" si="52"/>
        <v>3169.0900506002777</v>
      </c>
      <c r="L68" s="42">
        <f t="shared" si="52"/>
        <v>3830.8223960627079</v>
      </c>
    </row>
    <row r="69" spans="2:12" x14ac:dyDescent="0.25">
      <c r="B69" s="17" t="s">
        <v>234</v>
      </c>
      <c r="C69" s="18">
        <f>C68/'Balance Sheet'!C74</f>
        <v>0.39542114572941184</v>
      </c>
      <c r="D69" s="18">
        <f>D68/'Balance Sheet'!D74</f>
        <v>6.4075614411880626E-3</v>
      </c>
      <c r="E69" s="18">
        <f>E68/'Balance Sheet'!E74</f>
        <v>5.8930377581382504E-3</v>
      </c>
      <c r="F69" s="18">
        <f>F68/'Balance Sheet'!F74</f>
        <v>6.3483908513874863E-3</v>
      </c>
      <c r="G69" s="18">
        <f>G68/'Balance Sheet'!G74</f>
        <v>5.7661908351029981E-3</v>
      </c>
      <c r="H69" s="39">
        <f>MEDIAN(C69:G69)</f>
        <v>6.3483908513874863E-3</v>
      </c>
      <c r="I69" s="39">
        <f t="shared" ref="I69:L69" si="53">H69</f>
        <v>6.3483908513874863E-3</v>
      </c>
      <c r="J69" s="39">
        <f t="shared" si="53"/>
        <v>6.3483908513874863E-3</v>
      </c>
      <c r="K69" s="39">
        <f t="shared" si="53"/>
        <v>6.3483908513874863E-3</v>
      </c>
      <c r="L69" s="39">
        <f t="shared" si="53"/>
        <v>6.3483908513874863E-3</v>
      </c>
    </row>
    <row r="70" spans="2:12" ht="18.75" x14ac:dyDescent="0.25">
      <c r="B70" s="8" t="s">
        <v>39</v>
      </c>
      <c r="C70" s="5">
        <v>339.46</v>
      </c>
      <c r="D70" s="5">
        <f>'CashFlow Statement'!D48+C70</f>
        <v>2473.8807088000622</v>
      </c>
      <c r="E70" s="5">
        <f>'CashFlow Statement'!E48+D70</f>
        <v>-924.76883854507378</v>
      </c>
      <c r="F70" s="5">
        <f>'CashFlow Statement'!F48+E70</f>
        <v>5873.3217255096542</v>
      </c>
      <c r="G70" s="5">
        <f>'CashFlow Statement'!G48+F70</f>
        <v>11863.441985438789</v>
      </c>
      <c r="H70" s="42">
        <f>'CashFlow Statement'!H48+G70</f>
        <v>-89067.562457382533</v>
      </c>
      <c r="I70" s="42">
        <f>'CashFlow Statement'!I48+H70</f>
        <v>-96864.818711695436</v>
      </c>
      <c r="J70" s="42">
        <f>'CashFlow Statement'!J48+I70</f>
        <v>-114114.30062901328</v>
      </c>
      <c r="K70" s="42">
        <f>'CashFlow Statement'!K48+J70</f>
        <v>-144155.51607143087</v>
      </c>
      <c r="L70" s="42">
        <f>'CashFlow Statement'!L48+K70</f>
        <v>-170578.17889581161</v>
      </c>
    </row>
    <row r="71" spans="2:12" x14ac:dyDescent="0.25">
      <c r="B71" s="17" t="s">
        <v>235</v>
      </c>
      <c r="C71" s="18">
        <f>C70/'Balance Sheet'!C74</f>
        <v>3.9097331462582957E-3</v>
      </c>
      <c r="D71" s="18">
        <f>D70/'Balance Sheet'!D74</f>
        <v>1.9601264547800507E-2</v>
      </c>
      <c r="E71" s="18">
        <f>E70/'Balance Sheet'!E74</f>
        <v>-5.7211069991347273E-3</v>
      </c>
      <c r="F71" s="18">
        <f>F70/'Balance Sheet'!F74</f>
        <v>3.3674850899065113E-2</v>
      </c>
      <c r="G71" s="18">
        <f>G70/'Balance Sheet'!G74</f>
        <v>5.4038558207437651E-2</v>
      </c>
      <c r="H71" s="39">
        <f>H70/'Balance Sheet'!H74</f>
        <v>-0.31592237482877539</v>
      </c>
      <c r="I71" s="39">
        <f>I70/'Balance Sheet'!I74</f>
        <v>-0.29395361212962351</v>
      </c>
      <c r="J71" s="39">
        <f>J70/'Balance Sheet'!J74</f>
        <v>-0.28657502125787987</v>
      </c>
      <c r="K71" s="39">
        <f>K70/'Balance Sheet'!K74</f>
        <v>-0.28877549857933765</v>
      </c>
      <c r="L71" s="39">
        <f>L70/'Balance Sheet'!L74</f>
        <v>-0.28268001969015899</v>
      </c>
    </row>
    <row r="72" spans="2:12" ht="18.75" x14ac:dyDescent="0.25">
      <c r="B72" s="9" t="s">
        <v>42</v>
      </c>
      <c r="C72" s="7">
        <f>C56+C58+C60+C62+C64+C66+C68+C70</f>
        <v>83208.11</v>
      </c>
      <c r="D72" s="7">
        <f t="shared" ref="D72:L72" si="54">D56+D58+D60+D62+D64+D66+D68+D70</f>
        <v>117063.81070880007</v>
      </c>
      <c r="E72" s="7">
        <f t="shared" si="54"/>
        <v>143218.75116145491</v>
      </c>
      <c r="F72" s="7">
        <f t="shared" si="54"/>
        <v>155460.34172550964</v>
      </c>
      <c r="G72" s="7">
        <f t="shared" si="54"/>
        <v>206692.5219854388</v>
      </c>
      <c r="H72" s="43">
        <f t="shared" si="54"/>
        <v>161113.56287881226</v>
      </c>
      <c r="I72" s="43">
        <f t="shared" si="54"/>
        <v>195552.1902905379</v>
      </c>
      <c r="J72" s="43">
        <f t="shared" si="54"/>
        <v>239245.46740982111</v>
      </c>
      <c r="K72" s="43">
        <f t="shared" si="54"/>
        <v>298826.69218896917</v>
      </c>
      <c r="L72" s="43">
        <f t="shared" si="54"/>
        <v>364902.3892613572</v>
      </c>
    </row>
    <row r="73" spans="2:12" x14ac:dyDescent="0.25">
      <c r="B73" s="19" t="s">
        <v>236</v>
      </c>
      <c r="C73" s="20">
        <f>C72/'Balance Sheet'!C74</f>
        <v>0.9583500433173463</v>
      </c>
      <c r="D73" s="20">
        <f>D72/'Balance Sheet'!D74</f>
        <v>0.92753006016600159</v>
      </c>
      <c r="E73" s="20">
        <f>E72/'Balance Sheet'!E74</f>
        <v>0.88602661067844579</v>
      </c>
      <c r="F73" s="20">
        <f>F72/'Balance Sheet'!F74</f>
        <v>0.89133612510729177</v>
      </c>
      <c r="G73" s="20">
        <f>G72/'Balance Sheet'!G74</f>
        <v>0.94149454214565398</v>
      </c>
      <c r="H73" s="41">
        <f>H72/'Balance Sheet'!H74</f>
        <v>0.57146932056386035</v>
      </c>
      <c r="I73" s="41">
        <f>I72/'Balance Sheet'!I74</f>
        <v>0.59343808681306687</v>
      </c>
      <c r="J73" s="41">
        <f>J72/'Balance Sheet'!J74</f>
        <v>0.60081667705887187</v>
      </c>
      <c r="K73" s="41">
        <f>K72/'Balance Sheet'!K74</f>
        <v>0.59861619851524905</v>
      </c>
      <c r="L73" s="41">
        <f>L72/'Balance Sheet'!L74</f>
        <v>0.60471166505060681</v>
      </c>
    </row>
    <row r="74" spans="2:12" ht="18.75" x14ac:dyDescent="0.25">
      <c r="B74" s="9" t="s">
        <v>43</v>
      </c>
      <c r="C74" s="7">
        <f>C54+C72</f>
        <v>86824.34</v>
      </c>
      <c r="D74" s="7">
        <f t="shared" ref="D74:G74" si="55">D54+D72</f>
        <v>126210.26070880007</v>
      </c>
      <c r="E74" s="7">
        <f t="shared" si="55"/>
        <v>161641.59116145491</v>
      </c>
      <c r="F74" s="7">
        <f t="shared" si="55"/>
        <v>174412.70172550966</v>
      </c>
      <c r="G74" s="7">
        <f t="shared" si="55"/>
        <v>219536.61198543879</v>
      </c>
      <c r="H74" s="43">
        <f>'Income Statement'!H5/H80</f>
        <v>281928.63042909087</v>
      </c>
      <c r="I74" s="43">
        <f>'Income Statement'!I5/I80</f>
        <v>329524.16542846005</v>
      </c>
      <c r="J74" s="43">
        <f>'Income Statement'!J5/J80</f>
        <v>398200.44373764662</v>
      </c>
      <c r="K74" s="43">
        <f>'Income Statement'!K5/K80</f>
        <v>499195.80013061897</v>
      </c>
      <c r="L74" s="43">
        <f>'Income Statement'!L5/L80</f>
        <v>603432.03273715486</v>
      </c>
    </row>
    <row r="75" spans="2:12" x14ac:dyDescent="0.25">
      <c r="B75" s="19" t="s">
        <v>237</v>
      </c>
      <c r="C75" s="20">
        <f>C74/'Balance Sheet'!C74</f>
        <v>1</v>
      </c>
      <c r="D75" s="20">
        <f>D74/'Balance Sheet'!D74</f>
        <v>1</v>
      </c>
      <c r="E75" s="20">
        <f>E74/'Balance Sheet'!E74</f>
        <v>1</v>
      </c>
      <c r="F75" s="20">
        <f>F74/'Balance Sheet'!F74</f>
        <v>1</v>
      </c>
      <c r="G75" s="20">
        <f>G74/'Balance Sheet'!G74</f>
        <v>1</v>
      </c>
      <c r="H75" s="41">
        <f>H74/'Balance Sheet'!H74</f>
        <v>1</v>
      </c>
      <c r="I75" s="41">
        <f>I74/'Balance Sheet'!I74</f>
        <v>1</v>
      </c>
      <c r="J75" s="41">
        <f>J74/'Balance Sheet'!J74</f>
        <v>1</v>
      </c>
      <c r="K75" s="41">
        <f>K74/'Balance Sheet'!K74</f>
        <v>1</v>
      </c>
      <c r="L75" s="41">
        <f>L74/'Balance Sheet'!L74</f>
        <v>1</v>
      </c>
    </row>
    <row r="80" spans="2:12" x14ac:dyDescent="0.25">
      <c r="B80" t="s">
        <v>265</v>
      </c>
      <c r="C80">
        <f>'Income Statement'!C5/C74</f>
        <v>0.14208642415248995</v>
      </c>
      <c r="D80">
        <f>'Income Statement'!D5/D74</f>
        <v>0.14576699150037681</v>
      </c>
      <c r="E80">
        <f>'Income Statement'!E5/E74</f>
        <v>0.16222971953924417</v>
      </c>
      <c r="F80">
        <f>'Income Statement'!F5/F74</f>
        <v>0.15196439099781137</v>
      </c>
      <c r="G80">
        <f>'Income Statement'!G5/G74</f>
        <v>0.14001833098362126</v>
      </c>
      <c r="H80">
        <f>GROWTH(C80:G80,C4:G4,H4)</f>
        <v>0.14875033922641331</v>
      </c>
      <c r="I80">
        <f t="shared" ref="I80:L80" si="56">GROWTH(D80:H80,D4:H4,I4)</f>
        <v>0.14485399222803041</v>
      </c>
      <c r="J80">
        <f t="shared" si="56"/>
        <v>0.13867046970016886</v>
      </c>
      <c r="K80">
        <f t="shared" si="56"/>
        <v>0.13842954565867396</v>
      </c>
      <c r="L80">
        <f t="shared" si="56"/>
        <v>0.13817878409406367</v>
      </c>
    </row>
  </sheetData>
  <mergeCells count="2">
    <mergeCell ref="B3:G3"/>
    <mergeCell ref="H3:L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E407B-313F-4954-BD60-74A1B47BD51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Sheet'!B37</f>
        <v>Total Liabilities</v>
      </c>
      <c r="C5" s="13">
        <f>'Balance Sheet'!C37</f>
        <v>86824.34</v>
      </c>
      <c r="D5" s="13">
        <f>'Balance Sheet'!D37</f>
        <v>126210.26070880005</v>
      </c>
      <c r="E5" s="13">
        <f>'Balance Sheet'!E37</f>
        <v>161641.59116145491</v>
      </c>
      <c r="F5" s="13">
        <f>'Balance Sheet'!F37</f>
        <v>174412.70172550963</v>
      </c>
      <c r="G5" s="13">
        <f>'Balance Sheet'!G37</f>
        <v>219536.61198543877</v>
      </c>
    </row>
    <row r="6" spans="2:7" ht="18.75" x14ac:dyDescent="0.25">
      <c r="B6" s="12" t="str">
        <f>'Balance Sheet'!B21</f>
        <v>Total Debt</v>
      </c>
      <c r="C6" s="13">
        <f>'Balance Sheet'!C21</f>
        <v>56653.42</v>
      </c>
      <c r="D6" s="13">
        <f>'Balance Sheet'!D21</f>
        <v>101587.85</v>
      </c>
      <c r="E6" s="13">
        <f>'Balance Sheet'!E21</f>
        <v>129806.43</v>
      </c>
      <c r="F6" s="13">
        <f>'Balance Sheet'!F21</f>
        <v>131645.38</v>
      </c>
      <c r="G6" s="13">
        <f>'Balance Sheet'!G21</f>
        <v>85163.08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3FEA-99D1-4EF6-95BE-16D782F51EA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Sheet'!B37</f>
        <v>Total Liabilities</v>
      </c>
      <c r="C5" s="13">
        <f>'Balance Sheet'!C37</f>
        <v>86824.34</v>
      </c>
      <c r="D5" s="13">
        <f>'Balance Sheet'!D37</f>
        <v>126210.26070880005</v>
      </c>
      <c r="E5" s="13">
        <f>'Balance Sheet'!E37</f>
        <v>161641.59116145491</v>
      </c>
      <c r="F5" s="13">
        <f>'Balance Sheet'!F37</f>
        <v>174412.70172550963</v>
      </c>
      <c r="G5" s="13">
        <f>'Balance Sheet'!G37</f>
        <v>219536.61198543877</v>
      </c>
    </row>
    <row r="6" spans="2:7" ht="18.75" x14ac:dyDescent="0.25">
      <c r="B6" s="12" t="str">
        <f>'Balance Sheet'!B33</f>
        <v>Total Current Liabilities</v>
      </c>
      <c r="C6" s="13">
        <f>'Balance Sheet'!C33</f>
        <v>13625.27</v>
      </c>
      <c r="D6" s="13">
        <f>'Balance Sheet'!D33</f>
        <v>2947.6400000000003</v>
      </c>
      <c r="E6" s="13">
        <f>'Balance Sheet'!E33</f>
        <v>2257.0699999999997</v>
      </c>
      <c r="F6" s="13">
        <f>'Balance Sheet'!F33</f>
        <v>2963.08</v>
      </c>
      <c r="G6" s="13">
        <f>'Balance Sheet'!G33</f>
        <v>83629.59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AB8B5-A72A-4D22-ADD2-8FDC2508E2D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Sheet'!B74</f>
        <v>Total Assets</v>
      </c>
      <c r="C5" s="13">
        <f>'Balance Sheet'!C74</f>
        <v>86824.34</v>
      </c>
      <c r="D5" s="13">
        <f>'Balance Sheet'!D74</f>
        <v>126210.26070880007</v>
      </c>
      <c r="E5" s="13">
        <f>'Balance Sheet'!E74</f>
        <v>161641.59116145491</v>
      </c>
      <c r="F5" s="13">
        <f>'Balance Sheet'!F74</f>
        <v>174412.70172550966</v>
      </c>
      <c r="G5" s="13">
        <f>'Balance Sheet'!G74</f>
        <v>219536.61198543879</v>
      </c>
    </row>
    <row r="6" spans="2:7" ht="18.75" x14ac:dyDescent="0.25">
      <c r="B6" s="12" t="str">
        <f>'Balance Sheet'!B54</f>
        <v>Total Non Current Assets</v>
      </c>
      <c r="C6" s="13">
        <f>'Balance Sheet'!C54</f>
        <v>3616.23</v>
      </c>
      <c r="D6" s="13">
        <f>'Balance Sheet'!D54</f>
        <v>9146.4500000000007</v>
      </c>
      <c r="E6" s="13">
        <f>'Balance Sheet'!E54</f>
        <v>18422.84</v>
      </c>
      <c r="F6" s="13">
        <f>'Balance Sheet'!F54</f>
        <v>18952.36</v>
      </c>
      <c r="G6" s="13">
        <f>'Balance Sheet'!G54</f>
        <v>12844.09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06D82-7AF7-488E-B564-231479CC83B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'Balance Sheet'!B74</f>
        <v>Total Assets</v>
      </c>
      <c r="C5" s="13">
        <f>'Balance Sheet'!C74</f>
        <v>86824.34</v>
      </c>
      <c r="D5" s="13">
        <f>'Balance Sheet'!D74</f>
        <v>126210.26070880007</v>
      </c>
      <c r="E5" s="13">
        <f>'Balance Sheet'!E74</f>
        <v>161641.59116145491</v>
      </c>
      <c r="F5" s="13">
        <f>'Balance Sheet'!F74</f>
        <v>174412.70172550966</v>
      </c>
      <c r="G5" s="13">
        <f>'Balance Sheet'!G74</f>
        <v>219536.61198543879</v>
      </c>
    </row>
    <row r="6" spans="2:7" ht="18.75" x14ac:dyDescent="0.25">
      <c r="B6" s="12" t="str">
        <f>'Balance Sheet'!B72</f>
        <v>Total Current Assets</v>
      </c>
      <c r="C6" s="13">
        <f>'Balance Sheet'!C72</f>
        <v>83208.11</v>
      </c>
      <c r="D6" s="13">
        <f>'Balance Sheet'!D72</f>
        <v>117063.81070880007</v>
      </c>
      <c r="E6" s="13">
        <f>'Balance Sheet'!E72</f>
        <v>143218.75116145491</v>
      </c>
      <c r="F6" s="13">
        <f>'Balance Sheet'!F72</f>
        <v>155460.34172550964</v>
      </c>
      <c r="G6" s="13">
        <f>'Balance Sheet'!G72</f>
        <v>206692.5219854388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AB74B-4662-4215-B390-CB83C16FE33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'Income Statement'!B25</f>
        <v>Total Expenditure</v>
      </c>
      <c r="C5" s="13">
        <f>'Income Statement'!C25</f>
        <v>3588.12</v>
      </c>
      <c r="D5" s="13">
        <f>'Income Statement'!D25</f>
        <v>4051.96</v>
      </c>
      <c r="E5" s="13">
        <f>'Income Statement'!E25</f>
        <v>5366.2</v>
      </c>
      <c r="F5" s="13">
        <f>'Income Statement'!F25</f>
        <v>4982.9400000000005</v>
      </c>
      <c r="G5" s="13">
        <f>'Income Statement'!G25</f>
        <v>7200.42</v>
      </c>
    </row>
    <row r="6" spans="2:7" ht="18.75" x14ac:dyDescent="0.25">
      <c r="B6" s="12" t="str">
        <f>'Income Statement'!B15</f>
        <v>Total Income</v>
      </c>
      <c r="C6" s="13">
        <f>'Income Statement'!C15</f>
        <v>12361.431934899194</v>
      </c>
      <c r="D6" s="13">
        <f>'Income Statement'!D15</f>
        <v>18411.330708800047</v>
      </c>
      <c r="E6" s="13">
        <f>'Income Statement'!E15</f>
        <v>26235.940452654857</v>
      </c>
      <c r="F6" s="13">
        <f>'Income Statement'!F15</f>
        <v>26520.470564054736</v>
      </c>
      <c r="G6" s="13">
        <f>'Income Statement'!G15</f>
        <v>30748.140259929118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BDD80-49E7-494C-B745-421F8905B12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1" t="s">
        <v>202</v>
      </c>
      <c r="C4" s="11">
        <f>'Balance Sheet'!C4</f>
        <v>2018</v>
      </c>
      <c r="D4" s="11">
        <f>'Balance Sheet'!D4</f>
        <v>2019</v>
      </c>
      <c r="E4" s="11">
        <f>'Balance Sheet'!E4</f>
        <v>2020</v>
      </c>
      <c r="F4" s="11">
        <f>'Balance Sheet'!F4</f>
        <v>2021</v>
      </c>
      <c r="G4" s="11">
        <f>'Balance Sheet'!G4</f>
        <v>2022</v>
      </c>
    </row>
    <row r="5" spans="2:7" ht="18.75" x14ac:dyDescent="0.25">
      <c r="B5" s="12" t="str">
        <f>'Income Statement'!B55</f>
        <v>Amount C\F to Balance Sheet</v>
      </c>
      <c r="C5" s="13">
        <f>'Income Statement'!C55</f>
        <v>2376.5619348991931</v>
      </c>
      <c r="D5" s="13">
        <f>'Income Statement'!D55</f>
        <v>5128.7807088000482</v>
      </c>
      <c r="E5" s="13">
        <f>'Income Statement'!E55</f>
        <v>7898.7004526548571</v>
      </c>
      <c r="F5" s="13">
        <f>'Income Statement'!F55</f>
        <v>10225.820564054737</v>
      </c>
      <c r="G5" s="13">
        <f>'Income Statement'!G55</f>
        <v>10939.360259929119</v>
      </c>
    </row>
    <row r="6" spans="2:7" ht="18.75" x14ac:dyDescent="0.25">
      <c r="B6" s="12" t="str">
        <f>'Income Statement'!B49</f>
        <v>Reported Net Profit(PAT)</v>
      </c>
      <c r="C6" s="13">
        <f>'Income Statement'!C49</f>
        <v>2614.8219348991934</v>
      </c>
      <c r="D6" s="13">
        <f>'Income Statement'!D49</f>
        <v>5407.4907088000482</v>
      </c>
      <c r="E6" s="13">
        <f>'Income Statement'!E49</f>
        <v>9043.5304526548571</v>
      </c>
      <c r="F6" s="13">
        <f>'Income Statement'!F49</f>
        <v>10225.820564054737</v>
      </c>
      <c r="G6" s="13">
        <f>'Income Statement'!G49</f>
        <v>10939.360259929119</v>
      </c>
    </row>
  </sheetData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7CBD8-124C-4DEA-A4F2-6663CC002C10}">
  <dimension ref="B3:G40"/>
  <sheetViews>
    <sheetView showGridLines="0" workbookViewId="0"/>
  </sheetViews>
  <sheetFormatPr defaultRowHeight="15" x14ac:dyDescent="0.25"/>
  <cols>
    <col min="2" max="2" width="46" bestFit="1" customWidth="1"/>
    <col min="3" max="3" width="15.42578125" bestFit="1" customWidth="1"/>
    <col min="4" max="7" width="17.140625" bestFit="1" customWidth="1"/>
  </cols>
  <sheetData>
    <row r="3" spans="2:7" ht="18.75" x14ac:dyDescent="0.25">
      <c r="B3" s="22" t="s">
        <v>128</v>
      </c>
      <c r="C3" s="23"/>
      <c r="D3" s="23"/>
      <c r="E3" s="23"/>
      <c r="F3" s="23"/>
      <c r="G3" s="23"/>
    </row>
    <row r="4" spans="2:7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7" ht="18.75" x14ac:dyDescent="0.25">
      <c r="B5" s="8" t="s">
        <v>5</v>
      </c>
      <c r="C5" s="4">
        <v>115.03</v>
      </c>
      <c r="D5" s="4">
        <v>115.37</v>
      </c>
      <c r="E5" s="4">
        <v>119.99</v>
      </c>
      <c r="F5" s="4">
        <v>120.32</v>
      </c>
      <c r="G5" s="4">
        <v>120.66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115.03</v>
      </c>
      <c r="D7" s="6">
        <f t="shared" ref="D7:G7" si="0">D5+D6</f>
        <v>115.37</v>
      </c>
      <c r="E7" s="6">
        <f t="shared" si="0"/>
        <v>119.99</v>
      </c>
      <c r="F7" s="6">
        <f t="shared" si="0"/>
        <v>120.32</v>
      </c>
      <c r="G7" s="6">
        <f t="shared" si="0"/>
        <v>120.66</v>
      </c>
    </row>
    <row r="8" spans="2:7" ht="18.75" x14ac:dyDescent="0.25">
      <c r="B8" s="8" t="s">
        <v>7</v>
      </c>
      <c r="C8" s="5">
        <v>16430.62</v>
      </c>
      <c r="D8" s="5">
        <f>'Income Statement'!D55+C8</f>
        <v>21559.400708800047</v>
      </c>
      <c r="E8" s="5">
        <f>'Income Statement'!E55+D8</f>
        <v>29458.101161454906</v>
      </c>
      <c r="F8" s="5">
        <f>'Income Statement'!F55+E8</f>
        <v>39683.921725509645</v>
      </c>
      <c r="G8" s="5">
        <f>'Income Statement'!G55+F8</f>
        <v>50623.281985438764</v>
      </c>
    </row>
    <row r="9" spans="2:7" ht="18.75" x14ac:dyDescent="0.25">
      <c r="B9" s="9" t="s">
        <v>122</v>
      </c>
      <c r="C9" s="7">
        <f>C7+C8</f>
        <v>16545.649999999998</v>
      </c>
      <c r="D9" s="7">
        <f t="shared" ref="D9:G9" si="1">D7+D8</f>
        <v>21674.770708800046</v>
      </c>
      <c r="E9" s="7">
        <f t="shared" si="1"/>
        <v>29578.091161454908</v>
      </c>
      <c r="F9" s="7">
        <f t="shared" si="1"/>
        <v>39804.241725509644</v>
      </c>
      <c r="G9" s="7">
        <f t="shared" si="1"/>
        <v>50743.941985438767</v>
      </c>
    </row>
    <row r="10" spans="2:7" ht="18.75" x14ac:dyDescent="0.25">
      <c r="B10" s="8" t="s">
        <v>12</v>
      </c>
      <c r="C10" s="4">
        <v>45896.31</v>
      </c>
      <c r="D10" s="5">
        <v>64013.41</v>
      </c>
      <c r="E10" s="5">
        <v>75106.259999999995</v>
      </c>
      <c r="F10" s="5">
        <v>84204.18</v>
      </c>
      <c r="G10" s="5">
        <v>0</v>
      </c>
    </row>
    <row r="11" spans="2:7" ht="18.75" x14ac:dyDescent="0.25">
      <c r="B11" s="8" t="s">
        <v>13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18</v>
      </c>
      <c r="C12" s="5">
        <v>10757.11</v>
      </c>
      <c r="D12" s="5">
        <v>37574.44</v>
      </c>
      <c r="E12" s="5">
        <v>54700.17</v>
      </c>
      <c r="F12" s="5">
        <v>47441.2</v>
      </c>
      <c r="G12" s="5">
        <v>85163.08</v>
      </c>
    </row>
    <row r="13" spans="2:7" ht="18.75" x14ac:dyDescent="0.25">
      <c r="B13" s="9" t="s">
        <v>123</v>
      </c>
      <c r="C13" s="7">
        <f>C10+C11+C12</f>
        <v>56653.42</v>
      </c>
      <c r="D13" s="7">
        <f t="shared" ref="D13:G13" si="2">D10+D11+D12</f>
        <v>101587.85</v>
      </c>
      <c r="E13" s="7">
        <f t="shared" si="2"/>
        <v>129806.43</v>
      </c>
      <c r="F13" s="7">
        <f t="shared" si="2"/>
        <v>131645.38</v>
      </c>
      <c r="G13" s="7">
        <f t="shared" si="2"/>
        <v>85163.08</v>
      </c>
    </row>
    <row r="14" spans="2:7" ht="18.75" x14ac:dyDescent="0.25">
      <c r="B14" s="8" t="s">
        <v>15</v>
      </c>
      <c r="C14" s="4">
        <v>1136.3399999999999</v>
      </c>
      <c r="D14" s="4">
        <v>73.89</v>
      </c>
      <c r="E14" s="4">
        <v>81</v>
      </c>
      <c r="F14" s="4">
        <v>137.69</v>
      </c>
      <c r="G14" s="5">
        <v>166.9</v>
      </c>
    </row>
    <row r="15" spans="2:7" ht="18.75" x14ac:dyDescent="0.25">
      <c r="B15" s="8" t="s">
        <v>21</v>
      </c>
      <c r="C15" s="4">
        <v>191</v>
      </c>
      <c r="D15" s="4">
        <v>0</v>
      </c>
      <c r="E15" s="4">
        <v>0</v>
      </c>
      <c r="F15" s="4">
        <v>0</v>
      </c>
      <c r="G15" s="4">
        <v>0</v>
      </c>
    </row>
    <row r="16" spans="2:7" ht="18.75" x14ac:dyDescent="0.25">
      <c r="B16" s="8" t="s">
        <v>14</v>
      </c>
      <c r="C16" s="4">
        <v>500.21</v>
      </c>
      <c r="D16" s="4">
        <v>358.06</v>
      </c>
      <c r="E16" s="4">
        <v>471.26</v>
      </c>
      <c r="F16" s="4">
        <v>687.06</v>
      </c>
      <c r="G16" s="4">
        <v>632.29999999999995</v>
      </c>
    </row>
    <row r="17" spans="2:7" ht="18.75" x14ac:dyDescent="0.25">
      <c r="B17" s="8" t="s">
        <v>19</v>
      </c>
      <c r="C17" s="5">
        <v>460.79</v>
      </c>
      <c r="D17" s="5">
        <v>811.54</v>
      </c>
      <c r="E17" s="4">
        <v>959.81</v>
      </c>
      <c r="F17" s="4">
        <v>1108.68</v>
      </c>
      <c r="G17" s="4">
        <v>81579.94</v>
      </c>
    </row>
    <row r="18" spans="2:7" ht="18.75" x14ac:dyDescent="0.25">
      <c r="B18" s="8" t="s">
        <v>20</v>
      </c>
      <c r="C18" s="5">
        <v>11336.93</v>
      </c>
      <c r="D18" s="5">
        <v>1704.15</v>
      </c>
      <c r="E18" s="4">
        <v>745</v>
      </c>
      <c r="F18" s="5">
        <v>1029.6500000000001</v>
      </c>
      <c r="G18" s="5">
        <v>1250.45</v>
      </c>
    </row>
    <row r="19" spans="2:7" ht="18.75" x14ac:dyDescent="0.25">
      <c r="B19" s="9" t="s">
        <v>22</v>
      </c>
      <c r="C19" s="7">
        <f>C14+C15+C16+C17+C18</f>
        <v>13625.27</v>
      </c>
      <c r="D19" s="7">
        <f t="shared" ref="D19:G19" si="3">D14+D15+D16+D17+D18</f>
        <v>2947.6400000000003</v>
      </c>
      <c r="E19" s="7">
        <f t="shared" si="3"/>
        <v>2257.0699999999997</v>
      </c>
      <c r="F19" s="7">
        <f t="shared" si="3"/>
        <v>2963.08</v>
      </c>
      <c r="G19" s="7">
        <f t="shared" si="3"/>
        <v>83629.59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86824.34</v>
      </c>
      <c r="D21" s="7">
        <f t="shared" ref="D21:G21" si="4">D9+D13+D19+D20</f>
        <v>126210.26070880005</v>
      </c>
      <c r="E21" s="7">
        <f t="shared" si="4"/>
        <v>161641.59116145491</v>
      </c>
      <c r="F21" s="7">
        <f t="shared" si="4"/>
        <v>174412.70172550963</v>
      </c>
      <c r="G21" s="7">
        <f t="shared" si="4"/>
        <v>219536.61198543877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346.15</v>
      </c>
      <c r="D23" s="5">
        <v>526.51</v>
      </c>
      <c r="E23" s="5">
        <v>1097.26</v>
      </c>
      <c r="F23" s="4">
        <v>1041.69</v>
      </c>
      <c r="G23" s="4">
        <v>1747.17</v>
      </c>
    </row>
    <row r="24" spans="2:7" ht="18.75" x14ac:dyDescent="0.25">
      <c r="B24" s="8" t="s">
        <v>27</v>
      </c>
      <c r="C24" s="4">
        <v>120.84</v>
      </c>
      <c r="D24" s="4">
        <v>165.06</v>
      </c>
      <c r="E24" s="4">
        <v>220.46</v>
      </c>
      <c r="F24" s="4">
        <v>270.74</v>
      </c>
      <c r="G24" s="4">
        <v>0</v>
      </c>
    </row>
    <row r="25" spans="2:7" ht="18.75" x14ac:dyDescent="0.25">
      <c r="B25" s="8" t="s">
        <v>125</v>
      </c>
      <c r="C25" s="4"/>
      <c r="D25" s="4">
        <f>'Income Statement'!D31</f>
        <v>144.15</v>
      </c>
      <c r="E25" s="4">
        <f>'Income Statement'!E31+D25</f>
        <v>438.78</v>
      </c>
      <c r="F25" s="4">
        <f>'Income Statement'!F31+E25</f>
        <v>764.05</v>
      </c>
      <c r="G25" s="4">
        <f>'Income Statement'!G31+F25</f>
        <v>1148.6199999999999</v>
      </c>
    </row>
    <row r="26" spans="2:7" ht="18.75" x14ac:dyDescent="0.25">
      <c r="B26" s="9" t="s">
        <v>126</v>
      </c>
      <c r="C26" s="7">
        <f>C23+C24-C25</f>
        <v>466.99</v>
      </c>
      <c r="D26" s="7">
        <f t="shared" ref="D26:G26" si="5">D23+D24-D25</f>
        <v>547.41999999999996</v>
      </c>
      <c r="E26" s="7">
        <f t="shared" si="5"/>
        <v>878.94</v>
      </c>
      <c r="F26" s="7">
        <f t="shared" si="5"/>
        <v>548.38000000000011</v>
      </c>
      <c r="G26" s="7">
        <f t="shared" si="5"/>
        <v>598.55000000000018</v>
      </c>
    </row>
    <row r="27" spans="2:7" ht="18.75" x14ac:dyDescent="0.25">
      <c r="B27" s="8" t="s">
        <v>30</v>
      </c>
      <c r="C27" s="4">
        <v>837.58</v>
      </c>
      <c r="D27" s="4">
        <v>0</v>
      </c>
      <c r="E27" s="4">
        <v>0</v>
      </c>
      <c r="F27" s="4">
        <v>0</v>
      </c>
      <c r="G27" s="4">
        <v>0</v>
      </c>
    </row>
    <row r="28" spans="2:7" ht="18.75" x14ac:dyDescent="0.25">
      <c r="B28" s="8" t="s">
        <v>36</v>
      </c>
      <c r="C28" s="5">
        <v>2308.39</v>
      </c>
      <c r="D28" s="5">
        <v>8599.0300000000007</v>
      </c>
      <c r="E28" s="5">
        <v>17543.900000000001</v>
      </c>
      <c r="F28" s="5">
        <v>18396.91</v>
      </c>
      <c r="G28" s="5">
        <v>12245.54</v>
      </c>
    </row>
    <row r="29" spans="2:7" ht="18.75" x14ac:dyDescent="0.25">
      <c r="B29" s="8" t="s">
        <v>28</v>
      </c>
      <c r="C29" s="4">
        <v>3.27</v>
      </c>
      <c r="D29" s="4">
        <v>0</v>
      </c>
      <c r="E29" s="4">
        <v>0</v>
      </c>
      <c r="F29" s="4">
        <v>7.07</v>
      </c>
      <c r="G29" s="4">
        <v>0</v>
      </c>
    </row>
    <row r="30" spans="2:7" ht="18.75" x14ac:dyDescent="0.25">
      <c r="B30" s="9" t="s">
        <v>127</v>
      </c>
      <c r="C30" s="7">
        <f>C26+C27+C28+C29</f>
        <v>3616.23</v>
      </c>
      <c r="D30" s="7">
        <f t="shared" ref="D30:G30" si="6">D26+D27+D28+D29</f>
        <v>9146.4500000000007</v>
      </c>
      <c r="E30" s="7">
        <f t="shared" si="6"/>
        <v>18422.84</v>
      </c>
      <c r="F30" s="7">
        <f t="shared" si="6"/>
        <v>18952.36</v>
      </c>
      <c r="G30" s="7">
        <f t="shared" si="6"/>
        <v>12844.09</v>
      </c>
    </row>
    <row r="31" spans="2:7" ht="18.75" x14ac:dyDescent="0.25">
      <c r="B31" s="8" t="s">
        <v>31</v>
      </c>
      <c r="C31" s="4">
        <v>386.41</v>
      </c>
      <c r="D31" s="4">
        <v>669.03</v>
      </c>
      <c r="E31" s="4">
        <v>850.13</v>
      </c>
      <c r="F31" s="4">
        <v>945.9</v>
      </c>
      <c r="G31" s="4">
        <v>951.11</v>
      </c>
    </row>
    <row r="32" spans="2:7" ht="18.75" x14ac:dyDescent="0.25">
      <c r="B32" s="8" t="s">
        <v>32</v>
      </c>
      <c r="C32" s="4">
        <v>81.55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47267.92</v>
      </c>
      <c r="D33" s="4">
        <v>209.43</v>
      </c>
      <c r="E33" s="4">
        <v>322.94</v>
      </c>
      <c r="F33" s="4">
        <v>309.83</v>
      </c>
      <c r="G33" s="5">
        <v>345.44</v>
      </c>
    </row>
    <row r="34" spans="2:7" ht="18.75" x14ac:dyDescent="0.25">
      <c r="B34" s="8" t="s">
        <v>40</v>
      </c>
      <c r="C34" s="5">
        <v>261.66000000000003</v>
      </c>
      <c r="D34" s="5">
        <v>112512.82</v>
      </c>
      <c r="E34" s="5">
        <v>141376.04999999999</v>
      </c>
      <c r="F34" s="5">
        <v>146686.87</v>
      </c>
      <c r="G34" s="4">
        <v>191423.25</v>
      </c>
    </row>
    <row r="35" spans="2:7" ht="18.75" x14ac:dyDescent="0.25">
      <c r="B35" s="8" t="s">
        <v>41</v>
      </c>
      <c r="C35" s="4">
        <v>538.92999999999995</v>
      </c>
      <c r="D35" s="4">
        <v>389.95</v>
      </c>
      <c r="E35" s="4">
        <v>641.84</v>
      </c>
      <c r="F35" s="4">
        <v>537.17999999999995</v>
      </c>
      <c r="G35" s="4">
        <v>843.39</v>
      </c>
    </row>
    <row r="36" spans="2:7" ht="18.75" x14ac:dyDescent="0.25">
      <c r="B36" s="8" t="s">
        <v>37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</row>
    <row r="37" spans="2:7" ht="18.75" x14ac:dyDescent="0.25">
      <c r="B37" s="8" t="s">
        <v>38</v>
      </c>
      <c r="C37" s="5">
        <v>34332.18</v>
      </c>
      <c r="D37" s="5">
        <v>808.7</v>
      </c>
      <c r="E37" s="4">
        <v>952.56</v>
      </c>
      <c r="F37" s="4">
        <v>1107.24</v>
      </c>
      <c r="G37" s="5">
        <v>1265.8900000000001</v>
      </c>
    </row>
    <row r="38" spans="2:7" ht="18.75" x14ac:dyDescent="0.25">
      <c r="B38" s="8" t="s">
        <v>39</v>
      </c>
      <c r="C38" s="5">
        <v>339.46</v>
      </c>
      <c r="D38" s="5">
        <f>'CashFlow Statement'!D48+C38</f>
        <v>2473.8807088000622</v>
      </c>
      <c r="E38" s="5">
        <f>'CashFlow Statement'!E48+D38</f>
        <v>-924.76883854507378</v>
      </c>
      <c r="F38" s="5">
        <f>'CashFlow Statement'!F48+E38</f>
        <v>5873.3217255096542</v>
      </c>
      <c r="G38" s="5">
        <f>'CashFlow Statement'!G48+F38</f>
        <v>11863.441985438789</v>
      </c>
    </row>
    <row r="39" spans="2:7" ht="18.75" x14ac:dyDescent="0.25">
      <c r="B39" s="9" t="s">
        <v>42</v>
      </c>
      <c r="C39" s="7">
        <f>C31+C32+C33+C34+C35+C36+C37+C38</f>
        <v>83208.11</v>
      </c>
      <c r="D39" s="7">
        <f t="shared" ref="D39:G39" si="7">D31+D32+D33+D34+D35+D36+D37+D38</f>
        <v>117063.81070880007</v>
      </c>
      <c r="E39" s="7">
        <f t="shared" si="7"/>
        <v>143218.75116145491</v>
      </c>
      <c r="F39" s="7">
        <f t="shared" si="7"/>
        <v>155460.34172550964</v>
      </c>
      <c r="G39" s="7">
        <f t="shared" si="7"/>
        <v>206692.5219854388</v>
      </c>
    </row>
    <row r="40" spans="2:7" ht="18.75" x14ac:dyDescent="0.25">
      <c r="B40" s="9" t="s">
        <v>43</v>
      </c>
      <c r="C40" s="7">
        <f>C30+C39</f>
        <v>86824.34</v>
      </c>
      <c r="D40" s="7">
        <f t="shared" ref="D40:G40" si="8">D30+D39</f>
        <v>126210.26070880007</v>
      </c>
      <c r="E40" s="7">
        <f t="shared" si="8"/>
        <v>161641.59116145491</v>
      </c>
      <c r="F40" s="7">
        <f t="shared" si="8"/>
        <v>174412.70172550966</v>
      </c>
      <c r="G40" s="7">
        <f t="shared" si="8"/>
        <v>219536.61198543879</v>
      </c>
    </row>
  </sheetData>
  <mergeCells count="1">
    <mergeCell ref="B3:G3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6ED8D-AA56-4893-9267-74C3EF254D3F}">
  <dimension ref="B3:G35"/>
  <sheetViews>
    <sheetView showGridLines="0" workbookViewId="0"/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22" t="s">
        <v>120</v>
      </c>
      <c r="C3" s="23"/>
      <c r="D3" s="23"/>
      <c r="E3" s="23"/>
      <c r="F3" s="23"/>
      <c r="G3" s="23"/>
    </row>
    <row r="4" spans="2:7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7" ht="18.75" x14ac:dyDescent="0.25">
      <c r="B5" s="8" t="s">
        <v>97</v>
      </c>
      <c r="C5" s="5">
        <v>12336.56</v>
      </c>
      <c r="D5" s="5">
        <v>18397.29</v>
      </c>
      <c r="E5" s="5">
        <v>26223.07</v>
      </c>
      <c r="F5" s="5">
        <v>26504.52</v>
      </c>
      <c r="G5" s="5">
        <v>30739.15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12336.56</v>
      </c>
      <c r="D7" s="7">
        <f t="shared" ref="D7:G7" si="0">D5 - D6</f>
        <v>18397.29</v>
      </c>
      <c r="E7" s="7">
        <f t="shared" si="0"/>
        <v>26223.07</v>
      </c>
      <c r="F7" s="7">
        <f t="shared" si="0"/>
        <v>26504.52</v>
      </c>
      <c r="G7" s="7">
        <f t="shared" si="0"/>
        <v>30739.15</v>
      </c>
    </row>
    <row r="8" spans="2:7" ht="18.75" x14ac:dyDescent="0.25">
      <c r="B8" s="8" t="s">
        <v>59</v>
      </c>
      <c r="C8" s="4">
        <v>23.87</v>
      </c>
      <c r="D8" s="4">
        <v>13.04</v>
      </c>
      <c r="E8" s="4">
        <v>11.87</v>
      </c>
      <c r="F8" s="4">
        <v>14.95</v>
      </c>
      <c r="G8" s="4">
        <v>7.99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12360.43</v>
      </c>
      <c r="D10" s="7">
        <f t="shared" ref="D10:G10" si="1">SUM(D7:D9)</f>
        <v>18410.330000000002</v>
      </c>
      <c r="E10" s="7">
        <f t="shared" si="1"/>
        <v>26234.94</v>
      </c>
      <c r="F10" s="7">
        <f t="shared" si="1"/>
        <v>26519.47</v>
      </c>
      <c r="G10" s="7">
        <f t="shared" si="1"/>
        <v>30747.140000000003</v>
      </c>
    </row>
    <row r="11" spans="2:7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64</v>
      </c>
      <c r="C12" s="4">
        <v>0</v>
      </c>
      <c r="D12" s="5">
        <v>712.88</v>
      </c>
      <c r="E12" s="5">
        <v>1056.3699999999999</v>
      </c>
      <c r="F12" s="4">
        <v>1246.48</v>
      </c>
      <c r="G12" s="4">
        <v>0</v>
      </c>
    </row>
    <row r="13" spans="2:7" ht="18.75" x14ac:dyDescent="0.25">
      <c r="B13" s="8" t="s">
        <v>66</v>
      </c>
      <c r="C13" s="5">
        <v>1419.59</v>
      </c>
      <c r="D13" s="5">
        <v>1938.53</v>
      </c>
      <c r="E13" s="5">
        <v>2547.96</v>
      </c>
      <c r="F13" s="5">
        <v>2498.67</v>
      </c>
      <c r="G13" s="5">
        <v>3589.66</v>
      </c>
    </row>
    <row r="14" spans="2:7" ht="18.75" x14ac:dyDescent="0.25">
      <c r="B14" s="8" t="s">
        <v>69</v>
      </c>
      <c r="C14" s="5">
        <v>2168.5300000000002</v>
      </c>
      <c r="D14" s="5">
        <v>1400.55</v>
      </c>
      <c r="E14" s="5">
        <v>1761.87</v>
      </c>
      <c r="F14" s="5">
        <v>1237.79</v>
      </c>
      <c r="G14" s="5">
        <v>3610.76</v>
      </c>
    </row>
    <row r="15" spans="2:7" ht="18.75" x14ac:dyDescent="0.25">
      <c r="B15" s="9" t="s">
        <v>108</v>
      </c>
      <c r="C15" s="7">
        <f>C11+C12+C13+C14</f>
        <v>3588.12</v>
      </c>
      <c r="D15" s="7">
        <f t="shared" ref="D15:G15" si="2">D11+D12+D13+D14</f>
        <v>4051.96</v>
      </c>
      <c r="E15" s="7">
        <f t="shared" si="2"/>
        <v>5366.2</v>
      </c>
      <c r="F15" s="7">
        <f t="shared" si="2"/>
        <v>4982.9400000000005</v>
      </c>
      <c r="G15" s="7">
        <f t="shared" si="2"/>
        <v>7200.42</v>
      </c>
    </row>
    <row r="16" spans="2:7" ht="18.75" x14ac:dyDescent="0.25">
      <c r="B16" s="9" t="s">
        <v>109</v>
      </c>
      <c r="C16" s="7">
        <f xml:space="preserve"> C10-C15-C8</f>
        <v>8748.44</v>
      </c>
      <c r="D16" s="7">
        <f t="shared" ref="D16:G16" si="3" xml:space="preserve"> D10-D15-D8</f>
        <v>14345.330000000002</v>
      </c>
      <c r="E16" s="7">
        <f t="shared" si="3"/>
        <v>20856.87</v>
      </c>
      <c r="F16" s="7">
        <f t="shared" si="3"/>
        <v>21521.579999999998</v>
      </c>
      <c r="G16" s="7">
        <f t="shared" si="3"/>
        <v>23538.73</v>
      </c>
    </row>
    <row r="17" spans="2:7" ht="18.75" x14ac:dyDescent="0.25">
      <c r="B17" s="9" t="s">
        <v>110</v>
      </c>
      <c r="C17" s="7">
        <f xml:space="preserve"> C16+C8</f>
        <v>8772.3100000000013</v>
      </c>
      <c r="D17" s="7">
        <f t="shared" ref="D17:G17" si="4" xml:space="preserve"> D16+D8</f>
        <v>14358.370000000003</v>
      </c>
      <c r="E17" s="7">
        <f t="shared" si="4"/>
        <v>20868.739999999998</v>
      </c>
      <c r="F17" s="7">
        <f t="shared" si="4"/>
        <v>21536.53</v>
      </c>
      <c r="G17" s="7">
        <f t="shared" si="4"/>
        <v>23546.720000000001</v>
      </c>
    </row>
    <row r="18" spans="2:7" ht="18.75" x14ac:dyDescent="0.25">
      <c r="B18" s="8" t="s">
        <v>68</v>
      </c>
      <c r="C18" s="4">
        <v>102.07</v>
      </c>
      <c r="D18" s="4">
        <v>144.15</v>
      </c>
      <c r="E18" s="4">
        <v>294.63</v>
      </c>
      <c r="F18" s="4">
        <v>325.27</v>
      </c>
      <c r="G18" s="4">
        <v>384.57</v>
      </c>
    </row>
    <row r="19" spans="2:7" ht="18.75" x14ac:dyDescent="0.25">
      <c r="B19" s="9" t="s">
        <v>111</v>
      </c>
      <c r="C19" s="7">
        <f xml:space="preserve"> C17-C18</f>
        <v>8670.2400000000016</v>
      </c>
      <c r="D19" s="7">
        <f t="shared" ref="D19:G19" si="5" xml:space="preserve"> D17-D18</f>
        <v>14214.220000000003</v>
      </c>
      <c r="E19" s="7">
        <f t="shared" si="5"/>
        <v>20574.109999999997</v>
      </c>
      <c r="F19" s="7">
        <f t="shared" si="5"/>
        <v>21211.26</v>
      </c>
      <c r="G19" s="7">
        <f t="shared" si="5"/>
        <v>23162.15</v>
      </c>
    </row>
    <row r="20" spans="2:7" ht="18.75" x14ac:dyDescent="0.25">
      <c r="B20" s="8" t="s">
        <v>67</v>
      </c>
      <c r="C20" s="5">
        <v>4634.33</v>
      </c>
      <c r="D20" s="5">
        <v>6623.56</v>
      </c>
      <c r="E20" s="5">
        <v>9473.2099999999991</v>
      </c>
      <c r="F20" s="5">
        <v>9414</v>
      </c>
      <c r="G20" s="5">
        <v>9748.24</v>
      </c>
    </row>
    <row r="21" spans="2:7" ht="18.75" x14ac:dyDescent="0.25">
      <c r="B21" s="9" t="s">
        <v>112</v>
      </c>
      <c r="C21" s="7">
        <f xml:space="preserve"> C19-C20</f>
        <v>4035.9100000000017</v>
      </c>
      <c r="D21" s="7">
        <f t="shared" ref="D21:G21" si="6" xml:space="preserve"> D19-D20</f>
        <v>7590.6600000000026</v>
      </c>
      <c r="E21" s="7">
        <f t="shared" si="6"/>
        <v>11100.899999999998</v>
      </c>
      <c r="F21" s="7">
        <f t="shared" si="6"/>
        <v>11797.259999999998</v>
      </c>
      <c r="G21" s="7">
        <f t="shared" si="6"/>
        <v>13413.910000000002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4035.9100000000017</v>
      </c>
      <c r="D23" s="7">
        <f t="shared" ref="D23:G23" si="7" xml:space="preserve"> D21+D22</f>
        <v>7590.6600000000026</v>
      </c>
      <c r="E23" s="7">
        <f t="shared" si="7"/>
        <v>11100.899999999998</v>
      </c>
      <c r="F23" s="7">
        <f t="shared" si="7"/>
        <v>11797.259999999998</v>
      </c>
      <c r="G23" s="7">
        <f t="shared" si="7"/>
        <v>13413.910000000002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4035.9100000000017</v>
      </c>
      <c r="D25" s="7">
        <f t="shared" ref="D25:G25" si="8" xml:space="preserve"> D23+D24</f>
        <v>7590.6600000000026</v>
      </c>
      <c r="E25" s="7">
        <f t="shared" si="8"/>
        <v>11100.899999999998</v>
      </c>
      <c r="F25" s="7">
        <f t="shared" si="8"/>
        <v>11797.259999999998</v>
      </c>
      <c r="G25" s="7">
        <f t="shared" si="8"/>
        <v>13413.910000000002</v>
      </c>
    </row>
    <row r="26" spans="2:7" ht="18.75" x14ac:dyDescent="0.25">
      <c r="B26" s="8" t="s">
        <v>79</v>
      </c>
      <c r="C26" s="5">
        <v>1422.09</v>
      </c>
      <c r="D26" s="5">
        <v>2184.17</v>
      </c>
      <c r="E26" s="5">
        <v>2058.37</v>
      </c>
      <c r="F26" s="5">
        <v>1572.44</v>
      </c>
      <c r="G26" s="5">
        <v>2475.5500000000002</v>
      </c>
    </row>
    <row r="27" spans="2:7" ht="18.75" x14ac:dyDescent="0.25">
      <c r="B27" s="9" t="s">
        <v>116</v>
      </c>
      <c r="C27" s="7">
        <f xml:space="preserve"> C25-C26</f>
        <v>2613.8200000000015</v>
      </c>
      <c r="D27" s="7">
        <f t="shared" ref="D27:G27" si="9" xml:space="preserve"> D25-D26</f>
        <v>5406.4900000000025</v>
      </c>
      <c r="E27" s="7">
        <f t="shared" si="9"/>
        <v>9042.5299999999988</v>
      </c>
      <c r="F27" s="7">
        <f t="shared" si="9"/>
        <v>10224.819999999998</v>
      </c>
      <c r="G27" s="7">
        <f t="shared" si="9"/>
        <v>10938.36</v>
      </c>
    </row>
    <row r="28" spans="2:7" ht="18.75" x14ac:dyDescent="0.25">
      <c r="B28" s="8" t="s">
        <v>88</v>
      </c>
      <c r="C28" s="4">
        <v>197.96</v>
      </c>
      <c r="D28" s="4">
        <v>231.19</v>
      </c>
      <c r="E28" s="4">
        <v>949.63</v>
      </c>
      <c r="F28" s="4">
        <v>0</v>
      </c>
      <c r="G28" s="4">
        <v>0</v>
      </c>
    </row>
    <row r="29" spans="2:7" ht="18.75" x14ac:dyDescent="0.25">
      <c r="B29" s="8" t="s">
        <v>89</v>
      </c>
      <c r="C29" s="4">
        <v>40.299999999999997</v>
      </c>
      <c r="D29" s="4">
        <v>47.52</v>
      </c>
      <c r="E29" s="4">
        <v>195.2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2375.5600000000013</v>
      </c>
      <c r="D30" s="7">
        <f t="shared" ref="D30:G30" si="10" xml:space="preserve"> D27-D28-D29</f>
        <v>5127.7800000000025</v>
      </c>
      <c r="E30" s="7">
        <f t="shared" si="10"/>
        <v>7897.6999999999989</v>
      </c>
      <c r="F30" s="7">
        <f t="shared" si="10"/>
        <v>10224.819999999998</v>
      </c>
      <c r="G30" s="7">
        <f t="shared" si="10"/>
        <v>10938.36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48</v>
      </c>
      <c r="D34" s="4">
        <v>69</v>
      </c>
      <c r="E34" s="4">
        <v>90</v>
      </c>
      <c r="F34" s="4">
        <v>74</v>
      </c>
      <c r="G34" s="4">
        <v>117</v>
      </c>
    </row>
    <row r="35" spans="2:7" ht="18.75" x14ac:dyDescent="0.25">
      <c r="B35" s="8" t="s">
        <v>118</v>
      </c>
      <c r="C35" s="4">
        <f>C27/C34</f>
        <v>54.454583333333368</v>
      </c>
      <c r="D35" s="4">
        <f t="shared" ref="D35:G35" si="11">D27/D34</f>
        <v>78.354927536231926</v>
      </c>
      <c r="E35" s="4">
        <f t="shared" si="11"/>
        <v>100.47255555555554</v>
      </c>
      <c r="F35" s="4">
        <f t="shared" si="11"/>
        <v>138.17324324324321</v>
      </c>
      <c r="G35" s="4">
        <f t="shared" si="11"/>
        <v>93.490256410256421</v>
      </c>
    </row>
  </sheetData>
  <mergeCells count="1">
    <mergeCell ref="B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267CA-F11C-4E39-931C-C4905492F041}">
  <dimension ref="B3:L48"/>
  <sheetViews>
    <sheetView showGridLines="0" tabSelected="1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7109375" bestFit="1" customWidth="1"/>
    <col min="5" max="5" width="16.5703125" bestFit="1" customWidth="1"/>
    <col min="6" max="6" width="15.42578125" bestFit="1" customWidth="1"/>
    <col min="7" max="7" width="16.5703125" bestFit="1" customWidth="1"/>
    <col min="8" max="12" width="19.85546875" bestFit="1" customWidth="1"/>
  </cols>
  <sheetData>
    <row r="3" spans="2:12" ht="18.75" x14ac:dyDescent="0.25">
      <c r="B3" s="22" t="s">
        <v>143</v>
      </c>
      <c r="C3" s="23"/>
      <c r="D3" s="23"/>
      <c r="E3" s="23"/>
      <c r="F3" s="23"/>
      <c r="G3" s="23"/>
      <c r="H3" s="34" t="s">
        <v>264</v>
      </c>
      <c r="I3" s="35"/>
      <c r="J3" s="35"/>
      <c r="K3" s="35"/>
      <c r="L3" s="35"/>
    </row>
    <row r="4" spans="2:12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36">
        <v>2023</v>
      </c>
      <c r="I4" s="36">
        <v>2024</v>
      </c>
      <c r="J4" s="36">
        <v>2025</v>
      </c>
      <c r="K4" s="36">
        <v>2026</v>
      </c>
      <c r="L4" s="36">
        <v>2027</v>
      </c>
    </row>
    <row r="5" spans="2:12" ht="18.75" x14ac:dyDescent="0.25">
      <c r="B5" s="8" t="s">
        <v>129</v>
      </c>
      <c r="C5" s="4"/>
      <c r="D5" s="5">
        <f>'Income Statement'!D45</f>
        <v>7591.6607088000483</v>
      </c>
      <c r="E5" s="5">
        <f>'Income Statement'!E45</f>
        <v>11101.900452654856</v>
      </c>
      <c r="F5" s="5">
        <f>'Income Statement'!F45</f>
        <v>11798.260564054737</v>
      </c>
      <c r="G5" s="5">
        <f>'Income Statement'!G45</f>
        <v>13414.91025992912</v>
      </c>
      <c r="H5" s="42">
        <f>'Income Statement'!H45</f>
        <v>19878.032220126493</v>
      </c>
      <c r="I5" s="42">
        <f>'Income Statement'!I45</f>
        <v>22223.063855399596</v>
      </c>
      <c r="J5" s="42">
        <f>'Income Statement'!J45</f>
        <v>24916.228659059296</v>
      </c>
      <c r="K5" s="42">
        <f>'Income Statement'!K45</f>
        <v>31140.798772328752</v>
      </c>
      <c r="L5" s="42">
        <f>'Income Statement'!L45</f>
        <v>37523.939450051228</v>
      </c>
    </row>
    <row r="6" spans="2:12" ht="18.75" x14ac:dyDescent="0.25">
      <c r="B6" s="8" t="s">
        <v>130</v>
      </c>
      <c r="C6" s="4"/>
      <c r="D6" s="4"/>
      <c r="E6" s="4"/>
      <c r="F6" s="4"/>
      <c r="G6" s="4"/>
      <c r="H6" s="38"/>
      <c r="I6" s="38"/>
      <c r="J6" s="38"/>
      <c r="K6" s="38"/>
      <c r="L6" s="38"/>
    </row>
    <row r="7" spans="2:12" ht="18.75" x14ac:dyDescent="0.25">
      <c r="B7" s="8" t="s">
        <v>125</v>
      </c>
      <c r="C7" s="4"/>
      <c r="D7" s="4">
        <f>'Income Statement'!D31</f>
        <v>144.15</v>
      </c>
      <c r="E7" s="4">
        <f>'Income Statement'!E31</f>
        <v>294.63</v>
      </c>
      <c r="F7" s="4">
        <f>'Income Statement'!F31</f>
        <v>325.27</v>
      </c>
      <c r="G7" s="4">
        <f>'Income Statement'!G31</f>
        <v>384.57</v>
      </c>
      <c r="H7" s="38">
        <f>'Income Statement'!H31</f>
        <v>614.29183966116511</v>
      </c>
      <c r="I7" s="38">
        <f>'Income Statement'!I31</f>
        <v>717.99847106417735</v>
      </c>
      <c r="J7" s="38">
        <f>'Income Statement'!J31</f>
        <v>867.63783973713703</v>
      </c>
      <c r="K7" s="38">
        <f>'Income Statement'!K31</f>
        <v>1087.6944464492603</v>
      </c>
      <c r="L7" s="38">
        <f>'Income Statement'!L31</f>
        <v>1314.814679683197</v>
      </c>
    </row>
    <row r="8" spans="2:12" ht="18.75" x14ac:dyDescent="0.25">
      <c r="B8" s="8" t="s">
        <v>131</v>
      </c>
      <c r="C8" s="4"/>
      <c r="D8" s="5">
        <f>'Income Statement'!D35</f>
        <v>6623.56</v>
      </c>
      <c r="E8" s="5">
        <f>'Income Statement'!E35</f>
        <v>9473.2099999999991</v>
      </c>
      <c r="F8" s="5">
        <f>'Income Statement'!F35</f>
        <v>9414</v>
      </c>
      <c r="G8" s="5">
        <f>'Income Statement'!G35</f>
        <v>9748.24</v>
      </c>
      <c r="H8" s="42">
        <f>'Income Statement'!H35</f>
        <v>12518.677521724203</v>
      </c>
      <c r="I8" s="42">
        <f>'Income Statement'!I35</f>
        <v>14632.095296234002</v>
      </c>
      <c r="J8" s="42">
        <f>'Income Statement'!J35</f>
        <v>17681.576970330334</v>
      </c>
      <c r="K8" s="42">
        <f>'Income Statement'!K35</f>
        <v>22166.145472981952</v>
      </c>
      <c r="L8" s="42">
        <f>'Income Statement'!L35</f>
        <v>26794.621227583597</v>
      </c>
    </row>
    <row r="9" spans="2:12" ht="18.75" x14ac:dyDescent="0.25">
      <c r="B9" s="8" t="s">
        <v>59</v>
      </c>
      <c r="C9" s="4"/>
      <c r="D9" s="4">
        <f>'Income Statement'!D11</f>
        <v>13.04</v>
      </c>
      <c r="E9" s="4">
        <f>'Income Statement'!E11</f>
        <v>11.87</v>
      </c>
      <c r="F9" s="4">
        <f>'Income Statement'!F11</f>
        <v>14.95</v>
      </c>
      <c r="G9" s="4">
        <f>'Income Statement'!G11</f>
        <v>7.99</v>
      </c>
      <c r="H9" s="38">
        <f>'Income Statement'!H11</f>
        <v>23.654751802288153</v>
      </c>
      <c r="I9" s="38">
        <f>'Income Statement'!I11</f>
        <v>26.923963117382971</v>
      </c>
      <c r="J9" s="38">
        <f>'Income Statement'!J11</f>
        <v>31.146336790492001</v>
      </c>
      <c r="K9" s="38">
        <f>'Income Statement'!K11</f>
        <v>38.97812692746961</v>
      </c>
      <c r="L9" s="38">
        <f>'Income Statement'!L11</f>
        <v>47.03173244703499</v>
      </c>
    </row>
    <row r="10" spans="2:12" ht="18.75" x14ac:dyDescent="0.25">
      <c r="B10" s="9" t="s">
        <v>132</v>
      </c>
      <c r="C10" s="6"/>
      <c r="D10" s="7">
        <f>D7+D8-D9</f>
        <v>6754.67</v>
      </c>
      <c r="E10" s="7">
        <f t="shared" ref="E10:L10" si="0">E7+E8-E9</f>
        <v>9755.9699999999975</v>
      </c>
      <c r="F10" s="7">
        <f t="shared" si="0"/>
        <v>9724.32</v>
      </c>
      <c r="G10" s="7">
        <f t="shared" si="0"/>
        <v>10124.82</v>
      </c>
      <c r="H10" s="43">
        <f t="shared" si="0"/>
        <v>13109.31460958308</v>
      </c>
      <c r="I10" s="43">
        <f t="shared" si="0"/>
        <v>15323.169804180796</v>
      </c>
      <c r="J10" s="43">
        <f t="shared" si="0"/>
        <v>18518.068473276981</v>
      </c>
      <c r="K10" s="43">
        <f t="shared" si="0"/>
        <v>23214.861792503743</v>
      </c>
      <c r="L10" s="43">
        <f t="shared" si="0"/>
        <v>28062.40417481976</v>
      </c>
    </row>
    <row r="11" spans="2:12" ht="18.75" x14ac:dyDescent="0.25">
      <c r="B11" s="8" t="s">
        <v>133</v>
      </c>
      <c r="C11" s="4"/>
      <c r="D11" s="4"/>
      <c r="E11" s="4"/>
      <c r="F11" s="4"/>
      <c r="G11" s="4"/>
      <c r="H11" s="38"/>
      <c r="I11" s="38"/>
      <c r="J11" s="38"/>
      <c r="K11" s="38"/>
      <c r="L11" s="38"/>
    </row>
    <row r="12" spans="2:12" ht="18.75" x14ac:dyDescent="0.25">
      <c r="B12" s="8" t="str">
        <f>'Balance Sheet'!B56</f>
        <v>Deferred Tax Assets [Net]</v>
      </c>
      <c r="C12" s="4"/>
      <c r="D12" s="4">
        <f>'Balance Sheet'!C56-'Balance Sheet'!D56</f>
        <v>-282.61999999999995</v>
      </c>
      <c r="E12" s="4">
        <f>'Balance Sheet'!D56-'Balance Sheet'!E56</f>
        <v>-181.10000000000002</v>
      </c>
      <c r="F12" s="4">
        <f>'Balance Sheet'!E56-'Balance Sheet'!F56</f>
        <v>-95.769999999999982</v>
      </c>
      <c r="G12" s="4">
        <f>'Balance Sheet'!F56-'Balance Sheet'!G56</f>
        <v>-5.2100000000000364</v>
      </c>
      <c r="H12" s="38">
        <f>'Balance Sheet'!G56-'Balance Sheet'!H56</f>
        <v>-531.65186137813896</v>
      </c>
      <c r="I12" s="38">
        <f>'Balance Sheet'!H56-'Balance Sheet'!I56</f>
        <v>-250.32166460547933</v>
      </c>
      <c r="J12" s="38">
        <f>'Balance Sheet'!I56-'Balance Sheet'!J56</f>
        <v>-361.19271073416007</v>
      </c>
      <c r="K12" s="38">
        <f>'Balance Sheet'!J56-'Balance Sheet'!K56</f>
        <v>-531.17011354211172</v>
      </c>
      <c r="L12" s="38">
        <f>'Balance Sheet'!K56-'Balance Sheet'!L56</f>
        <v>-548.21502182122413</v>
      </c>
    </row>
    <row r="13" spans="2:12" ht="18.75" x14ac:dyDescent="0.25">
      <c r="B13" s="8" t="str">
        <f>'Balance Sheet'!B58</f>
        <v>Long Term Loans And Advances</v>
      </c>
      <c r="C13" s="4"/>
      <c r="D13" s="4">
        <f>'Balance Sheet'!C58-'Balance Sheet'!D58</f>
        <v>81.55</v>
      </c>
      <c r="E13" s="4">
        <f>'Balance Sheet'!D58-'Balance Sheet'!E58</f>
        <v>0</v>
      </c>
      <c r="F13" s="4">
        <f>'Balance Sheet'!E58-'Balance Sheet'!F58</f>
        <v>0</v>
      </c>
      <c r="G13" s="4">
        <f>'Balance Sheet'!F58-'Balance Sheet'!G58</f>
        <v>0</v>
      </c>
      <c r="H13" s="38">
        <f>'Balance Sheet'!G58-'Balance Sheet'!H58</f>
        <v>0</v>
      </c>
      <c r="I13" s="38">
        <f>'Balance Sheet'!H58-'Balance Sheet'!I58</f>
        <v>0</v>
      </c>
      <c r="J13" s="38">
        <f>'Balance Sheet'!I58-'Balance Sheet'!J58</f>
        <v>0</v>
      </c>
      <c r="K13" s="38">
        <f>'Balance Sheet'!J58-'Balance Sheet'!K58</f>
        <v>0</v>
      </c>
      <c r="L13" s="38">
        <f>'Balance Sheet'!K58-'Balance Sheet'!L58</f>
        <v>0</v>
      </c>
    </row>
    <row r="14" spans="2:12" ht="18.75" x14ac:dyDescent="0.25">
      <c r="B14" s="8" t="str">
        <f>'Balance Sheet'!B60</f>
        <v>Other Non-Current Assets</v>
      </c>
      <c r="C14" s="4"/>
      <c r="D14" s="4">
        <f>'Balance Sheet'!C60-'Balance Sheet'!D60</f>
        <v>47058.49</v>
      </c>
      <c r="E14" s="4">
        <f>'Balance Sheet'!D60-'Balance Sheet'!E60</f>
        <v>-113.50999999999999</v>
      </c>
      <c r="F14" s="4">
        <f>'Balance Sheet'!E60-'Balance Sheet'!F60</f>
        <v>13.110000000000014</v>
      </c>
      <c r="G14" s="4">
        <f>'Balance Sheet'!F60-'Balance Sheet'!G60</f>
        <v>-35.610000000000014</v>
      </c>
      <c r="H14" s="38">
        <f>'Balance Sheet'!G60-'Balance Sheet'!H60</f>
        <v>345.44</v>
      </c>
      <c r="I14" s="38">
        <f>'Balance Sheet'!H60-'Balance Sheet'!I60</f>
        <v>0</v>
      </c>
      <c r="J14" s="38">
        <f>'Balance Sheet'!I60-'Balance Sheet'!J60</f>
        <v>0</v>
      </c>
      <c r="K14" s="38">
        <f>'Balance Sheet'!J60-'Balance Sheet'!K60</f>
        <v>0</v>
      </c>
      <c r="L14" s="38">
        <f>'Balance Sheet'!K60-'Balance Sheet'!L60</f>
        <v>0</v>
      </c>
    </row>
    <row r="15" spans="2:12" ht="18.75" x14ac:dyDescent="0.25">
      <c r="B15" s="8" t="str">
        <f>'Balance Sheet'!B62</f>
        <v>Short Term Loans And Advances</v>
      </c>
      <c r="C15" s="4"/>
      <c r="D15" s="5">
        <f>'Balance Sheet'!C62-'Balance Sheet'!D62</f>
        <v>-112251.16</v>
      </c>
      <c r="E15" s="5">
        <f>'Balance Sheet'!D62-'Balance Sheet'!E62</f>
        <v>-28863.229999999981</v>
      </c>
      <c r="F15" s="5">
        <f>'Balance Sheet'!E62-'Balance Sheet'!F62</f>
        <v>-5310.820000000007</v>
      </c>
      <c r="G15" s="5">
        <f>'Balance Sheet'!F62-'Balance Sheet'!G62</f>
        <v>-44736.380000000005</v>
      </c>
      <c r="H15" s="42">
        <f>'Balance Sheet'!G62-'Balance Sheet'!H62</f>
        <v>-54402.239999999991</v>
      </c>
      <c r="I15" s="42">
        <f>'Balance Sheet'!H62-'Balance Sheet'!I62</f>
        <v>-41500.559999999998</v>
      </c>
      <c r="J15" s="42">
        <f>'Balance Sheet'!I62-'Balance Sheet'!J62</f>
        <v>-59881.75</v>
      </c>
      <c r="K15" s="42">
        <f>'Balance Sheet'!J62-'Balance Sheet'!K62</f>
        <v>-88062.12</v>
      </c>
      <c r="L15" s="42">
        <f>'Balance Sheet'!K62-'Balance Sheet'!L62</f>
        <v>-90887.97000000003</v>
      </c>
    </row>
    <row r="16" spans="2:12" ht="18.75" x14ac:dyDescent="0.25">
      <c r="B16" s="8" t="str">
        <f>'Balance Sheet'!B64</f>
        <v>OtherCurrentAssets</v>
      </c>
      <c r="C16" s="4"/>
      <c r="D16" s="4">
        <f>'Balance Sheet'!C64-'Balance Sheet'!D64</f>
        <v>148.97999999999996</v>
      </c>
      <c r="E16" s="4">
        <f>'Balance Sheet'!D64-'Balance Sheet'!E64</f>
        <v>-251.89000000000004</v>
      </c>
      <c r="F16" s="4">
        <f>'Balance Sheet'!E64-'Balance Sheet'!F64</f>
        <v>104.66000000000008</v>
      </c>
      <c r="G16" s="4">
        <f>'Balance Sheet'!F64-'Balance Sheet'!G64</f>
        <v>-306.21000000000004</v>
      </c>
      <c r="H16" s="38">
        <f>'Balance Sheet'!G64-'Balance Sheet'!H64</f>
        <v>-239.69033665638392</v>
      </c>
      <c r="I16" s="38">
        <f>'Balance Sheet'!H64-'Balance Sheet'!I64</f>
        <v>-182.84694247618449</v>
      </c>
      <c r="J16" s="38">
        <f>'Balance Sheet'!I64-'Balance Sheet'!J64</f>
        <v>-263.83246894156582</v>
      </c>
      <c r="K16" s="38">
        <f>'Balance Sheet'!J64-'Balance Sheet'!K64</f>
        <v>-387.99211146575658</v>
      </c>
      <c r="L16" s="38">
        <f>'Balance Sheet'!K64-'Balance Sheet'!L64</f>
        <v>-400.44252948504686</v>
      </c>
    </row>
    <row r="17" spans="2:12" ht="18.75" x14ac:dyDescent="0.25">
      <c r="B17" s="8" t="str">
        <f>'Balance Sheet'!B66</f>
        <v>Inventories</v>
      </c>
      <c r="C17" s="4"/>
      <c r="D17" s="4">
        <f>'Balance Sheet'!C66-'Balance Sheet'!D66</f>
        <v>0</v>
      </c>
      <c r="E17" s="4">
        <f>'Balance Sheet'!D66-'Balance Sheet'!E66</f>
        <v>0</v>
      </c>
      <c r="F17" s="4">
        <f>'Balance Sheet'!E66-'Balance Sheet'!F66</f>
        <v>0</v>
      </c>
      <c r="G17" s="4">
        <f>'Balance Sheet'!F66-'Balance Sheet'!G66</f>
        <v>0</v>
      </c>
      <c r="H17" s="38">
        <f>'Balance Sheet'!G66-'Balance Sheet'!H66</f>
        <v>0</v>
      </c>
      <c r="I17" s="38">
        <f>'Balance Sheet'!H66-'Balance Sheet'!I66</f>
        <v>0</v>
      </c>
      <c r="J17" s="38">
        <f>'Balance Sheet'!I66-'Balance Sheet'!J66</f>
        <v>0</v>
      </c>
      <c r="K17" s="38">
        <f>'Balance Sheet'!J66-'Balance Sheet'!K66</f>
        <v>0</v>
      </c>
      <c r="L17" s="38">
        <f>'Balance Sheet'!K66-'Balance Sheet'!L66</f>
        <v>0</v>
      </c>
    </row>
    <row r="18" spans="2:12" ht="18.75" x14ac:dyDescent="0.25">
      <c r="B18" s="8" t="str">
        <f>'Balance Sheet'!B68</f>
        <v>Trade Receivables</v>
      </c>
      <c r="C18" s="4"/>
      <c r="D18" s="5">
        <f>'Balance Sheet'!C68-'Balance Sheet'!D68</f>
        <v>33523.480000000003</v>
      </c>
      <c r="E18" s="5">
        <f>'Balance Sheet'!D68-'Balance Sheet'!E68</f>
        <v>-143.8599999999999</v>
      </c>
      <c r="F18" s="5">
        <f>'Balance Sheet'!E68-'Balance Sheet'!F68</f>
        <v>-154.68000000000006</v>
      </c>
      <c r="G18" s="5">
        <f>'Balance Sheet'!F68-'Balance Sheet'!G68</f>
        <v>-158.65000000000009</v>
      </c>
      <c r="H18" s="42">
        <f>'Balance Sheet'!G68-'Balance Sheet'!H68</f>
        <v>-523.903138160244</v>
      </c>
      <c r="I18" s="42">
        <f>'Balance Sheet'!H68-'Balance Sheet'!I68</f>
        <v>-302.15505895688807</v>
      </c>
      <c r="J18" s="42">
        <f>'Balance Sheet'!I68-'Balance Sheet'!J68</f>
        <v>-435.98385692538113</v>
      </c>
      <c r="K18" s="42">
        <f>'Balance Sheet'!J68-'Balance Sheet'!K68</f>
        <v>-641.15799655776436</v>
      </c>
      <c r="L18" s="42">
        <f>'Balance Sheet'!K68-'Balance Sheet'!L68</f>
        <v>-661.7323454624302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38"/>
      <c r="I19" s="38"/>
      <c r="J19" s="38"/>
      <c r="K19" s="38"/>
      <c r="L19" s="38"/>
    </row>
    <row r="20" spans="2:12" ht="18.75" x14ac:dyDescent="0.25">
      <c r="B20" s="8" t="str">
        <f>'Balance Sheet'!B23</f>
        <v>Long Term Provisions</v>
      </c>
      <c r="C20" s="4"/>
      <c r="D20" s="4">
        <f>'Balance Sheet'!D23-'Balance Sheet'!C23</f>
        <v>-1062.4499999999998</v>
      </c>
      <c r="E20" s="4">
        <f>'Balance Sheet'!E23-'Balance Sheet'!D23</f>
        <v>7.1099999999999994</v>
      </c>
      <c r="F20" s="4">
        <f>'Balance Sheet'!F23-'Balance Sheet'!E23</f>
        <v>56.69</v>
      </c>
      <c r="G20" s="4">
        <f>'Balance Sheet'!G23-'Balance Sheet'!F23</f>
        <v>29.210000000000008</v>
      </c>
      <c r="H20" s="38">
        <f>'Balance Sheet'!H23-'Balance Sheet'!G23</f>
        <v>47.432762053083906</v>
      </c>
      <c r="I20" s="38">
        <f>'Balance Sheet'!I23-'Balance Sheet'!H23</f>
        <v>36.18391811531464</v>
      </c>
      <c r="J20" s="38">
        <f>'Balance Sheet'!J23-'Balance Sheet'!I23</f>
        <v>52.210293062933289</v>
      </c>
      <c r="K20" s="38">
        <f>'Balance Sheet'!K23-'Balance Sheet'!J23</f>
        <v>76.780473332188933</v>
      </c>
      <c r="L20" s="38">
        <f>'Balance Sheet'!L23-'Balance Sheet'!K23</f>
        <v>79.24430947847884</v>
      </c>
    </row>
    <row r="21" spans="2:12" ht="18.75" x14ac:dyDescent="0.25">
      <c r="B21" s="8" t="str">
        <f>'Balance Sheet'!B25</f>
        <v>Short Term Provisions</v>
      </c>
      <c r="C21" s="4"/>
      <c r="D21" s="4">
        <f>'Balance Sheet'!D25-'Balance Sheet'!C25</f>
        <v>-191</v>
      </c>
      <c r="E21" s="4">
        <f>'Balance Sheet'!E25-'Balance Sheet'!D25</f>
        <v>0</v>
      </c>
      <c r="F21" s="4">
        <f>'Balance Sheet'!F25-'Balance Sheet'!E25</f>
        <v>0</v>
      </c>
      <c r="G21" s="4">
        <f>'Balance Sheet'!G25-'Balance Sheet'!F25</f>
        <v>0</v>
      </c>
      <c r="H21" s="38">
        <f>'Balance Sheet'!H25-'Balance Sheet'!G25</f>
        <v>0</v>
      </c>
      <c r="I21" s="38">
        <f>'Balance Sheet'!I25-'Balance Sheet'!H25</f>
        <v>0</v>
      </c>
      <c r="J21" s="38">
        <f>'Balance Sheet'!J25-'Balance Sheet'!I25</f>
        <v>0</v>
      </c>
      <c r="K21" s="38">
        <f>'Balance Sheet'!K25-'Balance Sheet'!J25</f>
        <v>0</v>
      </c>
      <c r="L21" s="38">
        <f>'Balance Sheet'!L25-'Balance Sheet'!K25</f>
        <v>0</v>
      </c>
    </row>
    <row r="22" spans="2:12" ht="18.75" x14ac:dyDescent="0.25">
      <c r="B22" s="8" t="str">
        <f>'Balance Sheet'!B27</f>
        <v>Other Long Term Liabilities</v>
      </c>
      <c r="C22" s="4"/>
      <c r="D22" s="4">
        <f>'Balance Sheet'!D27-'Balance Sheet'!C27</f>
        <v>-142.14999999999998</v>
      </c>
      <c r="E22" s="4">
        <f>'Balance Sheet'!E27-'Balance Sheet'!D27</f>
        <v>113.19999999999999</v>
      </c>
      <c r="F22" s="4">
        <f>'Balance Sheet'!F27-'Balance Sheet'!E27</f>
        <v>215.79999999999995</v>
      </c>
      <c r="G22" s="4">
        <f>'Balance Sheet'!G27-'Balance Sheet'!F27</f>
        <v>-54.759999999999991</v>
      </c>
      <c r="H22" s="38">
        <f>'Balance Sheet'!H27-'Balance Sheet'!G27</f>
        <v>179.70000000000005</v>
      </c>
      <c r="I22" s="38">
        <f>'Balance Sheet'!I27-'Balance Sheet'!H27</f>
        <v>137.08000000000004</v>
      </c>
      <c r="J22" s="38">
        <f>'Balance Sheet'!J27-'Balance Sheet'!I27</f>
        <v>197.80000000000007</v>
      </c>
      <c r="K22" s="38">
        <f>'Balance Sheet'!K27-'Balance Sheet'!J27</f>
        <v>290.87999999999988</v>
      </c>
      <c r="L22" s="38">
        <f>'Balance Sheet'!L27-'Balance Sheet'!K27</f>
        <v>300.22000000000003</v>
      </c>
    </row>
    <row r="23" spans="2:12" ht="18.75" x14ac:dyDescent="0.25">
      <c r="B23" s="8" t="str">
        <f>'Balance Sheet'!B29</f>
        <v>Trade Payables</v>
      </c>
      <c r="C23" s="4"/>
      <c r="D23" s="5">
        <f>'Balance Sheet'!D29-'Balance Sheet'!C29</f>
        <v>350.74999999999994</v>
      </c>
      <c r="E23" s="5">
        <f>'Balance Sheet'!E29-'Balance Sheet'!D29</f>
        <v>148.26999999999998</v>
      </c>
      <c r="F23" s="5">
        <f>'Balance Sheet'!F29-'Balance Sheet'!E29</f>
        <v>148.87000000000012</v>
      </c>
      <c r="G23" s="5">
        <f>'Balance Sheet'!G29-'Balance Sheet'!F29</f>
        <v>80471.260000000009</v>
      </c>
      <c r="H23" s="42">
        <f>'Balance Sheet'!H29-'Balance Sheet'!G29</f>
        <v>-79787.819180290186</v>
      </c>
      <c r="I23" s="42">
        <f>'Balance Sheet'!I29-'Balance Sheet'!H29</f>
        <v>302.54802099303038</v>
      </c>
      <c r="J23" s="42">
        <f>'Balance Sheet'!J29-'Balance Sheet'!I29</f>
        <v>436.55086746868892</v>
      </c>
      <c r="K23" s="42">
        <f>'Balance Sheet'!K29-'Balance Sheet'!J29</f>
        <v>641.99184244035814</v>
      </c>
      <c r="L23" s="42">
        <f>'Balance Sheet'!L29-'Balance Sheet'!K29</f>
        <v>662.5929489246123</v>
      </c>
    </row>
    <row r="24" spans="2:12" ht="18.75" x14ac:dyDescent="0.25">
      <c r="B24" s="8" t="str">
        <f>'Balance Sheet'!B31</f>
        <v>Other Current Liabilities</v>
      </c>
      <c r="C24" s="4"/>
      <c r="D24" s="5">
        <f>'Balance Sheet'!D31-'Balance Sheet'!C31</f>
        <v>-9632.7800000000007</v>
      </c>
      <c r="E24" s="5">
        <f>'Balance Sheet'!E31-'Balance Sheet'!D31</f>
        <v>-959.15000000000009</v>
      </c>
      <c r="F24" s="5">
        <f>'Balance Sheet'!F31-'Balance Sheet'!E31</f>
        <v>284.65000000000009</v>
      </c>
      <c r="G24" s="5">
        <f>'Balance Sheet'!G31-'Balance Sheet'!F31</f>
        <v>220.79999999999995</v>
      </c>
      <c r="H24" s="42">
        <f>'Balance Sheet'!H31-'Balance Sheet'!G31</f>
        <v>413.92313022171857</v>
      </c>
      <c r="I24" s="42">
        <f>'Balance Sheet'!I31-'Balance Sheet'!H31</f>
        <v>280.98150035670665</v>
      </c>
      <c r="J24" s="42">
        <f>'Balance Sheet'!J31-'Balance Sheet'!I31</f>
        <v>405.43222633143523</v>
      </c>
      <c r="K24" s="42">
        <f>'Balance Sheet'!K31-'Balance Sheet'!J31</f>
        <v>596.22875903661543</v>
      </c>
      <c r="L24" s="42">
        <f>'Balance Sheet'!L31-'Balance Sheet'!K31</f>
        <v>615.36135752446762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38"/>
      <c r="I25" s="38"/>
      <c r="J25" s="38"/>
      <c r="K25" s="38"/>
      <c r="L25" s="38"/>
    </row>
    <row r="26" spans="2:12" ht="18.75" x14ac:dyDescent="0.25">
      <c r="B26" s="8" t="str">
        <f>'Income Statement'!B47</f>
        <v>Total Tax Expenses</v>
      </c>
      <c r="C26" s="4"/>
      <c r="D26" s="5">
        <f>'Income Statement'!D47</f>
        <v>2184.17</v>
      </c>
      <c r="E26" s="5">
        <f>'Income Statement'!E47</f>
        <v>2058.37</v>
      </c>
      <c r="F26" s="5">
        <f>'Income Statement'!F47</f>
        <v>1572.44</v>
      </c>
      <c r="G26" s="5">
        <f>'Income Statement'!G47</f>
        <v>2475.5500000000002</v>
      </c>
      <c r="H26" s="42">
        <f>'Income Statement'!H47</f>
        <v>3668.2364405763942</v>
      </c>
      <c r="I26" s="42">
        <f>'Income Statement'!I47</f>
        <v>4100.9820163735594</v>
      </c>
      <c r="J26" s="42">
        <f>'Income Statement'!J47</f>
        <v>4597.9711128727404</v>
      </c>
      <c r="K26" s="42">
        <f>'Income Statement'!K47</f>
        <v>5746.6358631642288</v>
      </c>
      <c r="L26" s="42">
        <f>'Income Statement'!L47</f>
        <v>6924.5627816868555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-30236.749291199947</v>
      </c>
      <c r="E27" s="7">
        <f t="shared" ref="E27:L27" si="1">E12+E13+E14+E15+E16+E17+E18+E20+E21+E22+E23+E24-E26+E10+E5</f>
        <v>-11444.659547345127</v>
      </c>
      <c r="F27" s="7">
        <f t="shared" si="1"/>
        <v>15212.650564054729</v>
      </c>
      <c r="G27" s="7">
        <f t="shared" si="1"/>
        <v>56488.630259929123</v>
      </c>
      <c r="H27" s="43">
        <f t="shared" si="1"/>
        <v>-105179.69823507697</v>
      </c>
      <c r="I27" s="43">
        <f t="shared" si="1"/>
        <v>-8033.8385833666616</v>
      </c>
      <c r="J27" s="43">
        <f t="shared" si="1"/>
        <v>-21014.439630274519</v>
      </c>
      <c r="K27" s="43">
        <f t="shared" si="1"/>
        <v>-39407.534445088226</v>
      </c>
      <c r="L27" s="43">
        <f t="shared" si="1"/>
        <v>-32179.160437657018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38"/>
      <c r="I28" s="38"/>
      <c r="J28" s="38"/>
      <c r="K28" s="38"/>
      <c r="L28" s="38"/>
    </row>
    <row r="29" spans="2:12" ht="18.75" x14ac:dyDescent="0.25">
      <c r="B29" s="8" t="str">
        <f>'Balance Sheet'!B40</f>
        <v>Tangible Assets</v>
      </c>
      <c r="C29" s="4"/>
      <c r="D29" s="5">
        <f>'Balance Sheet'!C40-'Balance Sheet'!D40</f>
        <v>-180.36</v>
      </c>
      <c r="E29" s="5">
        <f>'Balance Sheet'!D40-'Balance Sheet'!E40</f>
        <v>-570.75</v>
      </c>
      <c r="F29" s="5">
        <f>'Balance Sheet'!E40-'Balance Sheet'!F40</f>
        <v>55.569999999999936</v>
      </c>
      <c r="G29" s="5">
        <f>'Balance Sheet'!F40-'Balance Sheet'!G40</f>
        <v>-705.48</v>
      </c>
      <c r="H29" s="42">
        <f>'Balance Sheet'!G40-'Balance Sheet'!H40</f>
        <v>-496.53999999999996</v>
      </c>
      <c r="I29" s="42">
        <f>'Balance Sheet'!H40-'Balance Sheet'!I40</f>
        <v>-378.78999999999996</v>
      </c>
      <c r="J29" s="42">
        <f>'Balance Sheet'!I40-'Balance Sheet'!J40</f>
        <v>-546.55999999999995</v>
      </c>
      <c r="K29" s="42">
        <f>'Balance Sheet'!J40-'Balance Sheet'!K40</f>
        <v>-803.76000000000022</v>
      </c>
      <c r="L29" s="42">
        <f>'Balance Sheet'!K40-'Balance Sheet'!L40</f>
        <v>-829.56</v>
      </c>
    </row>
    <row r="30" spans="2:12" ht="18.75" x14ac:dyDescent="0.25">
      <c r="B30" s="8" t="str">
        <f>'Balance Sheet'!B42</f>
        <v>Intangible Assets</v>
      </c>
      <c r="C30" s="4"/>
      <c r="D30" s="4">
        <f>'Balance Sheet'!C42-'Balance Sheet'!D42</f>
        <v>-44.22</v>
      </c>
      <c r="E30" s="4">
        <f>'Balance Sheet'!D42-'Balance Sheet'!E42</f>
        <v>-55.400000000000006</v>
      </c>
      <c r="F30" s="4">
        <f>'Balance Sheet'!E42-'Balance Sheet'!F42</f>
        <v>-50.28</v>
      </c>
      <c r="G30" s="4">
        <f>'Balance Sheet'!F42-'Balance Sheet'!G42</f>
        <v>270.74</v>
      </c>
      <c r="H30" s="38">
        <f>'Balance Sheet'!G42-'Balance Sheet'!H42</f>
        <v>0</v>
      </c>
      <c r="I30" s="38">
        <f>'Balance Sheet'!H42-'Balance Sheet'!I42</f>
        <v>0</v>
      </c>
      <c r="J30" s="38">
        <f>'Balance Sheet'!I42-'Balance Sheet'!J42</f>
        <v>0</v>
      </c>
      <c r="K30" s="38">
        <f>'Balance Sheet'!J42-'Balance Sheet'!K42</f>
        <v>0</v>
      </c>
      <c r="L30" s="38">
        <f>'Balance Sheet'!K42-'Balance Sheet'!L42</f>
        <v>0</v>
      </c>
    </row>
    <row r="31" spans="2:12" ht="18.75" x14ac:dyDescent="0.25">
      <c r="B31" s="8" t="str">
        <f>'Balance Sheet'!B48</f>
        <v>Non-Current Investments</v>
      </c>
      <c r="C31" s="4"/>
      <c r="D31" s="4">
        <f>'Balance Sheet'!C48-'Balance Sheet'!D48</f>
        <v>837.58</v>
      </c>
      <c r="E31" s="4">
        <f>'Balance Sheet'!D48-'Balance Sheet'!E48</f>
        <v>0</v>
      </c>
      <c r="F31" s="4">
        <f>'Balance Sheet'!E48-'Balance Sheet'!F48</f>
        <v>0</v>
      </c>
      <c r="G31" s="4">
        <f>'Balance Sheet'!F48-'Balance Sheet'!G48</f>
        <v>0</v>
      </c>
      <c r="H31" s="38">
        <f>'Balance Sheet'!G48-'Balance Sheet'!H48</f>
        <v>0</v>
      </c>
      <c r="I31" s="38">
        <f>'Balance Sheet'!H48-'Balance Sheet'!I48</f>
        <v>0</v>
      </c>
      <c r="J31" s="38">
        <f>'Balance Sheet'!I48-'Balance Sheet'!J48</f>
        <v>0</v>
      </c>
      <c r="K31" s="38">
        <f>'Balance Sheet'!J48-'Balance Sheet'!K48</f>
        <v>0</v>
      </c>
      <c r="L31" s="38">
        <f>'Balance Sheet'!K48-'Balance Sheet'!L48</f>
        <v>0</v>
      </c>
    </row>
    <row r="32" spans="2:12" ht="18.75" x14ac:dyDescent="0.25">
      <c r="B32" s="8" t="str">
        <f>'Balance Sheet'!B50</f>
        <v>Current Investments</v>
      </c>
      <c r="C32" s="4"/>
      <c r="D32" s="5">
        <f>'Balance Sheet'!C50-'Balance Sheet'!D50</f>
        <v>-6290.6400000000012</v>
      </c>
      <c r="E32" s="5">
        <f>'Balance Sheet'!D50-'Balance Sheet'!E50</f>
        <v>-8944.8700000000008</v>
      </c>
      <c r="F32" s="5">
        <f>'Balance Sheet'!E50-'Balance Sheet'!F50</f>
        <v>-853.0099999999984</v>
      </c>
      <c r="G32" s="5">
        <f>'Balance Sheet'!F50-'Balance Sheet'!G50</f>
        <v>6151.369999999999</v>
      </c>
      <c r="H32" s="42">
        <f>'Balance Sheet'!G50-'Balance Sheet'!H50</f>
        <v>-6962.9834378224296</v>
      </c>
      <c r="I32" s="42">
        <f>'Balance Sheet'!H50-'Balance Sheet'!I50</f>
        <v>-3242.8063378296174</v>
      </c>
      <c r="J32" s="42">
        <f>'Balance Sheet'!I50-'Balance Sheet'!J50</f>
        <v>-4679.0916535034812</v>
      </c>
      <c r="K32" s="42">
        <f>'Balance Sheet'!J50-'Balance Sheet'!K50</f>
        <v>-6881.0736512749099</v>
      </c>
      <c r="L32" s="42">
        <f>'Balance Sheet'!K50-'Balance Sheet'!L50</f>
        <v>-7101.8828915871418</v>
      </c>
    </row>
    <row r="33" spans="2:12" ht="18.75" x14ac:dyDescent="0.25">
      <c r="B33" s="8" t="str">
        <f>'Balance Sheet'!B52</f>
        <v>Capital Work-In-Progress</v>
      </c>
      <c r="C33" s="4"/>
      <c r="D33" s="4">
        <f>'Balance Sheet'!C52-'Balance Sheet'!D52</f>
        <v>3.27</v>
      </c>
      <c r="E33" s="4">
        <f>'Balance Sheet'!D52-'Balance Sheet'!E52</f>
        <v>0</v>
      </c>
      <c r="F33" s="4">
        <f>'Balance Sheet'!E52-'Balance Sheet'!F52</f>
        <v>-7.07</v>
      </c>
      <c r="G33" s="4">
        <f>'Balance Sheet'!F52-'Balance Sheet'!G52</f>
        <v>7.07</v>
      </c>
      <c r="H33" s="38">
        <f>'Balance Sheet'!G52-'Balance Sheet'!H52</f>
        <v>0</v>
      </c>
      <c r="I33" s="38">
        <f>'Balance Sheet'!H52-'Balance Sheet'!I52</f>
        <v>0</v>
      </c>
      <c r="J33" s="38">
        <f>'Balance Sheet'!I52-'Balance Sheet'!J52</f>
        <v>0</v>
      </c>
      <c r="K33" s="38">
        <f>'Balance Sheet'!J52-'Balance Sheet'!K52</f>
        <v>0</v>
      </c>
      <c r="L33" s="38">
        <f>'Balance Sheet'!K52-'Balance Sheet'!L52</f>
        <v>0</v>
      </c>
    </row>
    <row r="34" spans="2:12" ht="18.75" x14ac:dyDescent="0.25">
      <c r="B34" s="8" t="s">
        <v>59</v>
      </c>
      <c r="C34" s="4"/>
      <c r="D34" s="4">
        <f>'Income Statement'!D11</f>
        <v>13.04</v>
      </c>
      <c r="E34" s="4">
        <f>'Income Statement'!E11</f>
        <v>11.87</v>
      </c>
      <c r="F34" s="4">
        <f>'Income Statement'!F11</f>
        <v>14.95</v>
      </c>
      <c r="G34" s="4">
        <f>'Income Statement'!G11</f>
        <v>7.99</v>
      </c>
      <c r="H34" s="38">
        <f>'Income Statement'!H11</f>
        <v>23.654751802288153</v>
      </c>
      <c r="I34" s="38">
        <f>'Income Statement'!I11</f>
        <v>26.923963117382971</v>
      </c>
      <c r="J34" s="38">
        <f>'Income Statement'!J11</f>
        <v>31.146336790492001</v>
      </c>
      <c r="K34" s="38">
        <f>'Income Statement'!K11</f>
        <v>38.97812692746961</v>
      </c>
      <c r="L34" s="38">
        <f>'Income Statement'!L11</f>
        <v>47.03173244703499</v>
      </c>
    </row>
    <row r="35" spans="2:12" ht="18.75" x14ac:dyDescent="0.25">
      <c r="B35" s="9" t="s">
        <v>137</v>
      </c>
      <c r="C35" s="6"/>
      <c r="D35" s="7">
        <f>D29+D30+D31+D32+D33+D34</f>
        <v>-5661.3300000000008</v>
      </c>
      <c r="E35" s="7">
        <f t="shared" ref="E35:L35" si="2">E29+E30+E31+E32+E33+E34</f>
        <v>-9559.15</v>
      </c>
      <c r="F35" s="7">
        <f t="shared" si="2"/>
        <v>-839.83999999999844</v>
      </c>
      <c r="G35" s="7">
        <f t="shared" si="2"/>
        <v>5731.6899999999987</v>
      </c>
      <c r="H35" s="43">
        <f t="shared" si="2"/>
        <v>-7435.8686860201415</v>
      </c>
      <c r="I35" s="43">
        <f t="shared" si="2"/>
        <v>-3594.6723747122346</v>
      </c>
      <c r="J35" s="43">
        <f t="shared" si="2"/>
        <v>-5194.505316712989</v>
      </c>
      <c r="K35" s="43">
        <f t="shared" si="2"/>
        <v>-7645.8555243474402</v>
      </c>
      <c r="L35" s="43">
        <f t="shared" si="2"/>
        <v>-7884.4111591401061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38"/>
      <c r="I36" s="38"/>
      <c r="J36" s="38"/>
      <c r="K36" s="38"/>
      <c r="L36" s="38"/>
    </row>
    <row r="37" spans="2:12" ht="18.75" x14ac:dyDescent="0.25">
      <c r="B37" s="8" t="str">
        <f>'Balance Sheet'!B5</f>
        <v>Equity Share Capital</v>
      </c>
      <c r="C37" s="4"/>
      <c r="D37" s="4">
        <f>'Balance Sheet'!D5-'Balance Sheet'!C5</f>
        <v>0.34000000000000341</v>
      </c>
      <c r="E37" s="4">
        <f>'Balance Sheet'!E5-'Balance Sheet'!D5</f>
        <v>4.6199999999999903</v>
      </c>
      <c r="F37" s="4">
        <f>'Balance Sheet'!F5-'Balance Sheet'!E5</f>
        <v>0.32999999999999829</v>
      </c>
      <c r="G37" s="4">
        <f>'Balance Sheet'!G5-'Balance Sheet'!F5</f>
        <v>0.34000000000000341</v>
      </c>
      <c r="H37" s="38">
        <f>'Balance Sheet'!H5-'Balance Sheet'!G5</f>
        <v>0</v>
      </c>
      <c r="I37" s="38">
        <f>'Balance Sheet'!I5-'Balance Sheet'!H5</f>
        <v>0</v>
      </c>
      <c r="J37" s="38">
        <f>'Balance Sheet'!J5-'Balance Sheet'!I5</f>
        <v>0</v>
      </c>
      <c r="K37" s="38">
        <f>'Balance Sheet'!K5-'Balance Sheet'!J5</f>
        <v>0</v>
      </c>
      <c r="L37" s="38">
        <f>'Balance Sheet'!L5-'Balance Sheet'!K5</f>
        <v>0</v>
      </c>
    </row>
    <row r="38" spans="2:12" ht="18.75" x14ac:dyDescent="0.25">
      <c r="B38" s="8" t="str">
        <f>'Balance Sheet'!B7</f>
        <v>Preference Share Capital</v>
      </c>
      <c r="C38" s="4"/>
      <c r="D38" s="4">
        <f>'Balance Sheet'!D7-'Balance Sheet'!C7</f>
        <v>0</v>
      </c>
      <c r="E38" s="4">
        <f>'Balance Sheet'!E7-'Balance Sheet'!D7</f>
        <v>0</v>
      </c>
      <c r="F38" s="4">
        <f>'Balance Sheet'!F7-'Balance Sheet'!E7</f>
        <v>0</v>
      </c>
      <c r="G38" s="4">
        <f>'Balance Sheet'!G7-'Balance Sheet'!F7</f>
        <v>0</v>
      </c>
      <c r="H38" s="38">
        <f>'Balance Sheet'!H7-'Balance Sheet'!G7</f>
        <v>0</v>
      </c>
      <c r="I38" s="38">
        <f>'Balance Sheet'!I7-'Balance Sheet'!H7</f>
        <v>0</v>
      </c>
      <c r="J38" s="38">
        <f>'Balance Sheet'!J7-'Balance Sheet'!I7</f>
        <v>0</v>
      </c>
      <c r="K38" s="38">
        <f>'Balance Sheet'!K7-'Balance Sheet'!J7</f>
        <v>0</v>
      </c>
      <c r="L38" s="38">
        <f>'Balance Sheet'!L7-'Balance Sheet'!K7</f>
        <v>0</v>
      </c>
    </row>
    <row r="39" spans="2:12" ht="18.75" x14ac:dyDescent="0.25">
      <c r="B39" s="8" t="str">
        <f>'Balance Sheet'!B15</f>
        <v>Long Term Borrowings</v>
      </c>
      <c r="C39" s="4"/>
      <c r="D39" s="5">
        <f>'Balance Sheet'!D15-'Balance Sheet'!C15</f>
        <v>18117.100000000006</v>
      </c>
      <c r="E39" s="5">
        <f>'Balance Sheet'!E15-'Balance Sheet'!D15</f>
        <v>11092.849999999991</v>
      </c>
      <c r="F39" s="5">
        <f>'Balance Sheet'!F15-'Balance Sheet'!E15</f>
        <v>9097.9199999999983</v>
      </c>
      <c r="G39" s="5">
        <f>'Balance Sheet'!G15-'Balance Sheet'!F15</f>
        <v>-84204.18</v>
      </c>
      <c r="H39" s="42">
        <f>'Balance Sheet'!H15-'Balance Sheet'!G15</f>
        <v>0</v>
      </c>
      <c r="I39" s="42">
        <f>'Balance Sheet'!I15-'Balance Sheet'!H15</f>
        <v>0</v>
      </c>
      <c r="J39" s="42">
        <f>'Balance Sheet'!J15-'Balance Sheet'!I15</f>
        <v>0</v>
      </c>
      <c r="K39" s="42">
        <f>'Balance Sheet'!K15-'Balance Sheet'!J15</f>
        <v>0</v>
      </c>
      <c r="L39" s="42">
        <f>'Balance Sheet'!L15-'Balance Sheet'!K15</f>
        <v>0</v>
      </c>
    </row>
    <row r="40" spans="2:12" ht="18.75" x14ac:dyDescent="0.25">
      <c r="B40" s="8" t="str">
        <f>'Balance Sheet'!B17</f>
        <v>Deferred Tax Liabilities [Net]</v>
      </c>
      <c r="C40" s="4"/>
      <c r="D40" s="4">
        <f>'Balance Sheet'!D17-'Balance Sheet'!C17</f>
        <v>0</v>
      </c>
      <c r="E40" s="4">
        <f>'Balance Sheet'!E17-'Balance Sheet'!D17</f>
        <v>0</v>
      </c>
      <c r="F40" s="4">
        <f>'Balance Sheet'!F17-'Balance Sheet'!E17</f>
        <v>0</v>
      </c>
      <c r="G40" s="4">
        <f>'Balance Sheet'!G17-'Balance Sheet'!F17</f>
        <v>0</v>
      </c>
      <c r="H40" s="38">
        <f>'Balance Sheet'!H17-'Balance Sheet'!G17</f>
        <v>0</v>
      </c>
      <c r="I40" s="38">
        <f>'Balance Sheet'!I17-'Balance Sheet'!H17</f>
        <v>0</v>
      </c>
      <c r="J40" s="38">
        <f>'Balance Sheet'!J17-'Balance Sheet'!I17</f>
        <v>0</v>
      </c>
      <c r="K40" s="38">
        <f>'Balance Sheet'!K17-'Balance Sheet'!J17</f>
        <v>0</v>
      </c>
      <c r="L40" s="38">
        <f>'Balance Sheet'!L17-'Balance Sheet'!K17</f>
        <v>0</v>
      </c>
    </row>
    <row r="41" spans="2:12" ht="18.75" x14ac:dyDescent="0.25">
      <c r="B41" s="8" t="str">
        <f>'Balance Sheet'!B19</f>
        <v>Short Term Borrowings</v>
      </c>
      <c r="C41" s="4"/>
      <c r="D41" s="5">
        <f>'Balance Sheet'!D19-'Balance Sheet'!C19</f>
        <v>26817.33</v>
      </c>
      <c r="E41" s="5">
        <f>'Balance Sheet'!E19-'Balance Sheet'!D19</f>
        <v>17125.729999999996</v>
      </c>
      <c r="F41" s="5">
        <f>'Balance Sheet'!F19-'Balance Sheet'!E19</f>
        <v>-7258.9700000000012</v>
      </c>
      <c r="G41" s="5">
        <f>'Balance Sheet'!G19-'Balance Sheet'!F19</f>
        <v>37721.880000000005</v>
      </c>
      <c r="H41" s="42">
        <f>'Balance Sheet'!H19-'Balance Sheet'!G19</f>
        <v>24203.240000000005</v>
      </c>
      <c r="I41" s="42">
        <f>'Balance Sheet'!I19-'Balance Sheet'!H19</f>
        <v>18463.349999999991</v>
      </c>
      <c r="J41" s="42">
        <f>'Balance Sheet'!J19-'Balance Sheet'!I19</f>
        <v>26641.039999999994</v>
      </c>
      <c r="K41" s="42">
        <f>'Balance Sheet'!K19-'Balance Sheet'!J19</f>
        <v>39178.320000000007</v>
      </c>
      <c r="L41" s="42">
        <f>'Balance Sheet'!L19-'Balance Sheet'!K19</f>
        <v>40435.53</v>
      </c>
    </row>
    <row r="42" spans="2:12" ht="18.75" x14ac:dyDescent="0.25">
      <c r="B42" s="8" t="str">
        <f>'Balance Sheet'!B35:G35</f>
        <v>Minority Interest</v>
      </c>
      <c r="C42" s="4"/>
      <c r="D42" s="4">
        <f>'Balance Sheet'!D35-'Balance Sheet'!C35</f>
        <v>0</v>
      </c>
      <c r="E42" s="4">
        <f>'Balance Sheet'!E35-'Balance Sheet'!D35</f>
        <v>0</v>
      </c>
      <c r="F42" s="4">
        <f>'Balance Sheet'!F35-'Balance Sheet'!E35</f>
        <v>0</v>
      </c>
      <c r="G42" s="4">
        <f>'Balance Sheet'!G35-'Balance Sheet'!F35</f>
        <v>0</v>
      </c>
      <c r="H42" s="38">
        <f>'Balance Sheet'!H35-'Balance Sheet'!G35</f>
        <v>0</v>
      </c>
      <c r="I42" s="38">
        <f>'Balance Sheet'!I35-'Balance Sheet'!H35</f>
        <v>0</v>
      </c>
      <c r="J42" s="38">
        <f>'Balance Sheet'!J35-'Balance Sheet'!I35</f>
        <v>0</v>
      </c>
      <c r="K42" s="38">
        <f>'Balance Sheet'!K35-'Balance Sheet'!J35</f>
        <v>0</v>
      </c>
      <c r="L42" s="38">
        <f>'Balance Sheet'!L35-'Balance Sheet'!K35</f>
        <v>0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38"/>
      <c r="I43" s="38"/>
      <c r="J43" s="38"/>
      <c r="K43" s="38"/>
      <c r="L43" s="38"/>
    </row>
    <row r="44" spans="2:12" ht="18.75" x14ac:dyDescent="0.25">
      <c r="B44" s="8" t="str">
        <f>'Income Statement'!B51</f>
        <v>Equity Share Dividend</v>
      </c>
      <c r="C44" s="4"/>
      <c r="D44" s="4">
        <f>'Income Statement'!D51</f>
        <v>231.19</v>
      </c>
      <c r="E44" s="4">
        <f>'Income Statement'!E51</f>
        <v>949.63</v>
      </c>
      <c r="F44" s="4">
        <f>'Income Statement'!F51</f>
        <v>0</v>
      </c>
      <c r="G44" s="4">
        <f>'Income Statement'!G51</f>
        <v>0</v>
      </c>
      <c r="H44" s="38">
        <f>'Income Statement'!H51</f>
        <v>0</v>
      </c>
      <c r="I44" s="38">
        <f>'Income Statement'!I51</f>
        <v>0</v>
      </c>
      <c r="J44" s="38">
        <f>'Income Statement'!J51</f>
        <v>0</v>
      </c>
      <c r="K44" s="38">
        <f>'Income Statement'!K51</f>
        <v>0</v>
      </c>
      <c r="L44" s="38">
        <f>'Income Statement'!L51</f>
        <v>0</v>
      </c>
    </row>
    <row r="45" spans="2:12" ht="18.75" x14ac:dyDescent="0.25">
      <c r="B45" s="8" t="str">
        <f>'Income Statement'!B53</f>
        <v>Tax On Dividend</v>
      </c>
      <c r="C45" s="4"/>
      <c r="D45" s="4">
        <f>'Income Statement'!D53</f>
        <v>47.52</v>
      </c>
      <c r="E45" s="4">
        <f>'Income Statement'!E53</f>
        <v>195.2</v>
      </c>
      <c r="F45" s="4">
        <f>'Income Statement'!F53</f>
        <v>0</v>
      </c>
      <c r="G45" s="4">
        <f>'Income Statement'!G53</f>
        <v>0</v>
      </c>
      <c r="H45" s="38">
        <f>'Income Statement'!H53</f>
        <v>0</v>
      </c>
      <c r="I45" s="38">
        <f>'Income Statement'!I53</f>
        <v>0</v>
      </c>
      <c r="J45" s="38">
        <f>'Income Statement'!J53</f>
        <v>0</v>
      </c>
      <c r="K45" s="38">
        <f>'Income Statement'!K53</f>
        <v>0</v>
      </c>
      <c r="L45" s="38">
        <f>'Income Statement'!L53</f>
        <v>0</v>
      </c>
    </row>
    <row r="46" spans="2:12" ht="18.75" x14ac:dyDescent="0.25">
      <c r="B46" s="8" t="s">
        <v>140</v>
      </c>
      <c r="C46" s="4"/>
      <c r="D46" s="5">
        <f>'Income Statement'!D35</f>
        <v>6623.56</v>
      </c>
      <c r="E46" s="5">
        <f>'Income Statement'!E35</f>
        <v>9473.2099999999991</v>
      </c>
      <c r="F46" s="5">
        <f>'Income Statement'!F35</f>
        <v>9414</v>
      </c>
      <c r="G46" s="5">
        <f>'Income Statement'!G35</f>
        <v>9748.24</v>
      </c>
      <c r="H46" s="42">
        <f>'Income Statement'!H35</f>
        <v>12518.677521724203</v>
      </c>
      <c r="I46" s="42">
        <f>'Income Statement'!I35</f>
        <v>14632.095296234002</v>
      </c>
      <c r="J46" s="42">
        <f>'Income Statement'!J35</f>
        <v>17681.576970330334</v>
      </c>
      <c r="K46" s="42">
        <f>'Income Statement'!K35</f>
        <v>22166.145472981952</v>
      </c>
      <c r="L46" s="42">
        <f>'Income Statement'!L35</f>
        <v>26794.621227583597</v>
      </c>
    </row>
    <row r="47" spans="2:12" ht="18.75" x14ac:dyDescent="0.25">
      <c r="B47" s="9" t="s">
        <v>141</v>
      </c>
      <c r="C47" s="6"/>
      <c r="D47" s="7">
        <f>D37+D38+D39+D40+D41+D42-D44-D45-D46</f>
        <v>38032.500000000007</v>
      </c>
      <c r="E47" s="7">
        <f t="shared" ref="E47:L47" si="3">E37+E38+E39+E40+E41+E42-E44-E45-E46</f>
        <v>17605.159999999989</v>
      </c>
      <c r="F47" s="7">
        <f t="shared" si="3"/>
        <v>-7574.720000000003</v>
      </c>
      <c r="G47" s="7">
        <f t="shared" si="3"/>
        <v>-56230.19999999999</v>
      </c>
      <c r="H47" s="43">
        <f t="shared" si="3"/>
        <v>11684.562478275802</v>
      </c>
      <c r="I47" s="43">
        <f t="shared" si="3"/>
        <v>3831.2547037659897</v>
      </c>
      <c r="J47" s="43">
        <f t="shared" si="3"/>
        <v>8959.4630296696596</v>
      </c>
      <c r="K47" s="43">
        <f t="shared" si="3"/>
        <v>17012.174527018055</v>
      </c>
      <c r="L47" s="43">
        <f t="shared" si="3"/>
        <v>13640.908772416402</v>
      </c>
    </row>
    <row r="48" spans="2:12" ht="18.75" x14ac:dyDescent="0.25">
      <c r="B48" s="9" t="s">
        <v>142</v>
      </c>
      <c r="C48" s="6"/>
      <c r="D48" s="7">
        <f>D27+D35+D47</f>
        <v>2134.4207088000621</v>
      </c>
      <c r="E48" s="7">
        <f t="shared" ref="E48:L48" si="4">E27+E35+E47</f>
        <v>-3398.6495473451359</v>
      </c>
      <c r="F48" s="7">
        <f t="shared" si="4"/>
        <v>6798.090564054728</v>
      </c>
      <c r="G48" s="7">
        <f t="shared" si="4"/>
        <v>5990.1202599291355</v>
      </c>
      <c r="H48" s="43">
        <f t="shared" si="4"/>
        <v>-100931.00444282132</v>
      </c>
      <c r="I48" s="43">
        <f t="shared" si="4"/>
        <v>-7797.2562543129061</v>
      </c>
      <c r="J48" s="43">
        <f t="shared" si="4"/>
        <v>-17249.481917317848</v>
      </c>
      <c r="K48" s="43">
        <f t="shared" si="4"/>
        <v>-30041.215442417611</v>
      </c>
      <c r="L48" s="43">
        <f t="shared" si="4"/>
        <v>-26422.662824380724</v>
      </c>
    </row>
  </sheetData>
  <mergeCells count="2">
    <mergeCell ref="B3:G3"/>
    <mergeCell ref="H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A6B85-D8D0-4D92-9768-4D1DEB5070E0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5703125" bestFit="1" customWidth="1"/>
    <col min="4" max="7" width="14.85546875" bestFit="1" customWidth="1"/>
  </cols>
  <sheetData>
    <row r="3" spans="2:12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2" ht="19.5" thickBot="1" x14ac:dyDescent="0.3">
      <c r="B5" s="33" t="s">
        <v>145</v>
      </c>
      <c r="C5" s="33"/>
      <c r="D5" s="33"/>
      <c r="E5" s="33"/>
      <c r="F5" s="33"/>
      <c r="G5" s="33"/>
    </row>
    <row r="6" spans="2:12" ht="19.5" thickTop="1" x14ac:dyDescent="0.25">
      <c r="B6" s="12" t="str">
        <f>'Income Statement'!B49</f>
        <v>Reported Net Profit(PAT)</v>
      </c>
      <c r="C6" s="13">
        <f>'Income Statement'!C49</f>
        <v>2614.8219348991934</v>
      </c>
      <c r="D6" s="13">
        <f>'Income Statement'!D49</f>
        <v>5407.4907088000482</v>
      </c>
      <c r="E6" s="13">
        <f>'Income Statement'!E49</f>
        <v>9043.5304526548571</v>
      </c>
      <c r="F6" s="13">
        <f>'Income Statement'!F49</f>
        <v>10225.820564054737</v>
      </c>
      <c r="G6" s="13">
        <f>'Income Statement'!G49</f>
        <v>10939.360259929119</v>
      </c>
      <c r="I6" s="24"/>
      <c r="J6" s="25"/>
      <c r="K6" s="25"/>
      <c r="L6" s="26"/>
    </row>
    <row r="7" spans="2:12" ht="18.75" x14ac:dyDescent="0.25">
      <c r="B7" s="12" t="str">
        <f>'Income Statement'!B61</f>
        <v>Total Shares Outstanding(cr)</v>
      </c>
      <c r="C7" s="13">
        <f>'Income Statement'!C61</f>
        <v>54.475456977066528</v>
      </c>
      <c r="D7" s="13">
        <f>'Income Statement'!D61</f>
        <v>78.369430562319536</v>
      </c>
      <c r="E7" s="13">
        <f>'Income Statement'!E61</f>
        <v>100.48367169616508</v>
      </c>
      <c r="F7" s="13">
        <f>'Income Statement'!F61</f>
        <v>138.18676437911807</v>
      </c>
      <c r="G7" s="13">
        <f>'Income Statement'!G61</f>
        <v>93.498805640419818</v>
      </c>
      <c r="I7" s="27"/>
      <c r="J7" s="28"/>
      <c r="K7" s="28"/>
      <c r="L7" s="29"/>
    </row>
    <row r="8" spans="2:12" ht="19.5" thickBot="1" x14ac:dyDescent="0.3">
      <c r="B8" s="14" t="s">
        <v>146</v>
      </c>
      <c r="C8" s="14">
        <f>ROUND(C6/C7, 2)</f>
        <v>48</v>
      </c>
      <c r="D8" s="14">
        <f t="shared" ref="D8:G8" si="0">ROUND(D6/D7, 2)</f>
        <v>69</v>
      </c>
      <c r="E8" s="14">
        <f t="shared" si="0"/>
        <v>90</v>
      </c>
      <c r="F8" s="14">
        <f t="shared" si="0"/>
        <v>74</v>
      </c>
      <c r="G8" s="14">
        <f t="shared" si="0"/>
        <v>117</v>
      </c>
      <c r="I8" s="30"/>
      <c r="J8" s="31"/>
      <c r="K8" s="31"/>
      <c r="L8" s="32"/>
    </row>
    <row r="9" spans="2:12" ht="15.75" thickTop="1" x14ac:dyDescent="0.25"/>
    <row r="10" spans="2:12" ht="19.5" thickBot="1" x14ac:dyDescent="0.3">
      <c r="B10" s="33" t="s">
        <v>147</v>
      </c>
      <c r="C10" s="33"/>
      <c r="D10" s="33"/>
      <c r="E10" s="33"/>
      <c r="F10" s="33"/>
      <c r="G10" s="33"/>
    </row>
    <row r="11" spans="2:12" ht="19.5" thickTop="1" x14ac:dyDescent="0.25">
      <c r="B11" s="12" t="str">
        <f>'Income Statement'!B51</f>
        <v>Equity Share Dividend</v>
      </c>
      <c r="C11" s="13">
        <f>'Income Statement'!C51</f>
        <v>197.96</v>
      </c>
      <c r="D11" s="13">
        <f>'Income Statement'!D51</f>
        <v>231.19</v>
      </c>
      <c r="E11" s="13">
        <f>'Income Statement'!E51</f>
        <v>949.63</v>
      </c>
      <c r="F11" s="13">
        <f>'Income Statement'!F51</f>
        <v>0</v>
      </c>
      <c r="G11" s="13">
        <f>'Income Statement'!G51</f>
        <v>0</v>
      </c>
      <c r="I11" s="24"/>
      <c r="J11" s="25"/>
      <c r="K11" s="25"/>
      <c r="L11" s="26"/>
    </row>
    <row r="12" spans="2:12" ht="18.75" x14ac:dyDescent="0.25">
      <c r="B12" s="12" t="str">
        <f>'Income Statement'!B61</f>
        <v>Total Shares Outstanding(cr)</v>
      </c>
      <c r="C12" s="13">
        <f>'Income Statement'!C61</f>
        <v>54.475456977066528</v>
      </c>
      <c r="D12" s="13">
        <f>'Income Statement'!D61</f>
        <v>78.369430562319536</v>
      </c>
      <c r="E12" s="13">
        <f>'Income Statement'!E61</f>
        <v>100.48367169616508</v>
      </c>
      <c r="F12" s="13">
        <f>'Income Statement'!F61</f>
        <v>138.18676437911807</v>
      </c>
      <c r="G12" s="13">
        <f>'Income Statement'!G61</f>
        <v>93.498805640419818</v>
      </c>
      <c r="I12" s="27"/>
      <c r="J12" s="28"/>
      <c r="K12" s="28"/>
      <c r="L12" s="29"/>
    </row>
    <row r="13" spans="2:12" ht="19.5" thickBot="1" x14ac:dyDescent="0.3">
      <c r="B13" s="14" t="s">
        <v>148</v>
      </c>
      <c r="C13" s="14">
        <f>ROUND(C11/C12, 2)</f>
        <v>3.63</v>
      </c>
      <c r="D13" s="14">
        <f t="shared" ref="D13:G13" si="1">ROUND(D11/D12, 2)</f>
        <v>2.95</v>
      </c>
      <c r="E13" s="14">
        <f t="shared" si="1"/>
        <v>9.4499999999999993</v>
      </c>
      <c r="F13" s="14">
        <f t="shared" si="1"/>
        <v>0</v>
      </c>
      <c r="G13" s="14">
        <f t="shared" si="1"/>
        <v>0</v>
      </c>
      <c r="I13" s="30"/>
      <c r="J13" s="31"/>
      <c r="K13" s="31"/>
      <c r="L13" s="32"/>
    </row>
    <row r="14" spans="2:12" ht="15.75" thickTop="1" x14ac:dyDescent="0.25"/>
    <row r="15" spans="2:12" ht="19.5" thickBot="1" x14ac:dyDescent="0.3">
      <c r="B15" s="33" t="s">
        <v>149</v>
      </c>
      <c r="C15" s="33"/>
      <c r="D15" s="33"/>
      <c r="E15" s="33"/>
      <c r="F15" s="33"/>
      <c r="G15" s="33"/>
    </row>
    <row r="16" spans="2:12" ht="19.5" thickTop="1" x14ac:dyDescent="0.25">
      <c r="B16" s="12" t="str">
        <f>'Balance Sheet'!B13</f>
        <v>Net Worth</v>
      </c>
      <c r="C16" s="13">
        <f>'Balance Sheet'!C13</f>
        <v>16545.649999999998</v>
      </c>
      <c r="D16" s="13">
        <f>'Balance Sheet'!D13</f>
        <v>21674.770708800046</v>
      </c>
      <c r="E16" s="13">
        <f>'Balance Sheet'!E13</f>
        <v>29578.091161454908</v>
      </c>
      <c r="F16" s="13">
        <f>'Balance Sheet'!F13</f>
        <v>39804.241725509644</v>
      </c>
      <c r="G16" s="13">
        <f>'Balance Sheet'!G13</f>
        <v>50743.941985438767</v>
      </c>
      <c r="I16" s="24"/>
      <c r="J16" s="25"/>
      <c r="K16" s="25"/>
      <c r="L16" s="26"/>
    </row>
    <row r="17" spans="2:12" ht="18.75" x14ac:dyDescent="0.25">
      <c r="B17" s="12" t="str">
        <f>'Income Statement'!B61</f>
        <v>Total Shares Outstanding(cr)</v>
      </c>
      <c r="C17" s="13">
        <f>'Income Statement'!C61</f>
        <v>54.475456977066528</v>
      </c>
      <c r="D17" s="13">
        <f>'Income Statement'!D61</f>
        <v>78.369430562319536</v>
      </c>
      <c r="E17" s="13">
        <f>'Income Statement'!E61</f>
        <v>100.48367169616508</v>
      </c>
      <c r="F17" s="13">
        <f>'Income Statement'!F61</f>
        <v>138.18676437911807</v>
      </c>
      <c r="G17" s="13">
        <f>'Income Statement'!G61</f>
        <v>93.498805640419818</v>
      </c>
      <c r="I17" s="27"/>
      <c r="J17" s="28"/>
      <c r="K17" s="28"/>
      <c r="L17" s="29"/>
    </row>
    <row r="18" spans="2:12" ht="19.5" thickBot="1" x14ac:dyDescent="0.3">
      <c r="B18" s="14" t="s">
        <v>150</v>
      </c>
      <c r="C18" s="14">
        <f>ROUND(C16/C17, 2)</f>
        <v>303.73</v>
      </c>
      <c r="D18" s="14">
        <f t="shared" ref="D18:G18" si="2">ROUND(D16/D17, 2)</f>
        <v>276.57</v>
      </c>
      <c r="E18" s="14">
        <f t="shared" si="2"/>
        <v>294.36</v>
      </c>
      <c r="F18" s="14">
        <f t="shared" si="2"/>
        <v>288.05</v>
      </c>
      <c r="G18" s="14">
        <f t="shared" si="2"/>
        <v>542.72</v>
      </c>
      <c r="I18" s="30"/>
      <c r="J18" s="31"/>
      <c r="K18" s="31"/>
      <c r="L18" s="32"/>
    </row>
    <row r="19" spans="2:12" ht="15.75" thickTop="1" x14ac:dyDescent="0.25"/>
    <row r="20" spans="2:12" ht="18.75" x14ac:dyDescent="0.25">
      <c r="B20" s="33" t="s">
        <v>151</v>
      </c>
      <c r="C20" s="33"/>
      <c r="D20" s="33"/>
      <c r="E20" s="33"/>
      <c r="F20" s="33"/>
      <c r="G20" s="33"/>
    </row>
    <row r="21" spans="2:12" ht="18.75" x14ac:dyDescent="0.25">
      <c r="B21" s="12" t="str">
        <f>'Income Statement'!B51</f>
        <v>Equity Share Dividend</v>
      </c>
      <c r="C21" s="13">
        <f>'Income Statement'!C51</f>
        <v>197.96</v>
      </c>
      <c r="D21" s="13">
        <f>'Income Statement'!D51</f>
        <v>231.19</v>
      </c>
      <c r="E21" s="13">
        <f>'Income Statement'!E51</f>
        <v>949.63</v>
      </c>
      <c r="F21" s="13">
        <f>'Income Statement'!F51</f>
        <v>0</v>
      </c>
      <c r="G21" s="13">
        <f>'Income Statement'!G51</f>
        <v>0</v>
      </c>
    </row>
    <row r="22" spans="2:12" ht="18.75" x14ac:dyDescent="0.25">
      <c r="B22" s="12" t="str">
        <f>'Income Statement'!B61</f>
        <v>Total Shares Outstanding(cr)</v>
      </c>
      <c r="C22" s="13">
        <f>'Income Statement'!C61</f>
        <v>54.475456977066528</v>
      </c>
      <c r="D22" s="13">
        <f>'Income Statement'!D61</f>
        <v>78.369430562319536</v>
      </c>
      <c r="E22" s="13">
        <f>'Income Statement'!E61</f>
        <v>100.48367169616508</v>
      </c>
      <c r="F22" s="13">
        <f>'Income Statement'!F61</f>
        <v>138.18676437911807</v>
      </c>
      <c r="G22" s="13">
        <f>'Income Statement'!G61</f>
        <v>93.498805640419818</v>
      </c>
    </row>
    <row r="23" spans="2:12" ht="18.75" x14ac:dyDescent="0.25">
      <c r="B23" s="12" t="s">
        <v>148</v>
      </c>
      <c r="C23" s="13">
        <f>ROUND(C21/C22, 2)</f>
        <v>3.63</v>
      </c>
      <c r="D23" s="13">
        <f t="shared" ref="D23:G23" si="3">ROUND(D21/D22, 2)</f>
        <v>2.95</v>
      </c>
      <c r="E23" s="13">
        <f t="shared" si="3"/>
        <v>9.4499999999999993</v>
      </c>
      <c r="F23" s="13">
        <f t="shared" si="3"/>
        <v>0</v>
      </c>
      <c r="G23" s="13">
        <f t="shared" si="3"/>
        <v>0</v>
      </c>
    </row>
    <row r="24" spans="2:12" ht="19.5" thickBot="1" x14ac:dyDescent="0.3">
      <c r="B24" s="12" t="str">
        <f>'Income Statement'!B49</f>
        <v>Reported Net Profit(PAT)</v>
      </c>
      <c r="C24" s="13">
        <f>'Income Statement'!C49</f>
        <v>2614.8219348991934</v>
      </c>
      <c r="D24" s="13">
        <f>'Income Statement'!D49</f>
        <v>5407.4907088000482</v>
      </c>
      <c r="E24" s="13">
        <f>'Income Statement'!E49</f>
        <v>9043.5304526548571</v>
      </c>
      <c r="F24" s="13">
        <f>'Income Statement'!F49</f>
        <v>10225.820564054737</v>
      </c>
      <c r="G24" s="13">
        <f>'Income Statement'!G49</f>
        <v>10939.360259929119</v>
      </c>
    </row>
    <row r="25" spans="2:12" ht="19.5" thickTop="1" x14ac:dyDescent="0.25">
      <c r="B25" s="12" t="str">
        <f>'Income Statement'!B61</f>
        <v>Total Shares Outstanding(cr)</v>
      </c>
      <c r="C25" s="13">
        <f>'Income Statement'!C61</f>
        <v>54.475456977066528</v>
      </c>
      <c r="D25" s="13">
        <f>'Income Statement'!D61</f>
        <v>78.369430562319536</v>
      </c>
      <c r="E25" s="13">
        <f>'Income Statement'!E61</f>
        <v>100.48367169616508</v>
      </c>
      <c r="F25" s="13">
        <f>'Income Statement'!F61</f>
        <v>138.18676437911807</v>
      </c>
      <c r="G25" s="13">
        <f>'Income Statement'!G61</f>
        <v>93.498805640419818</v>
      </c>
      <c r="I25" s="24"/>
      <c r="J25" s="25"/>
      <c r="K25" s="25"/>
      <c r="L25" s="26"/>
    </row>
    <row r="26" spans="2:12" ht="18.75" x14ac:dyDescent="0.25">
      <c r="B26" s="12" t="s">
        <v>146</v>
      </c>
      <c r="C26" s="13">
        <f>C24/C25</f>
        <v>48</v>
      </c>
      <c r="D26" s="13">
        <f t="shared" ref="D26:G26" si="4">D24/D25</f>
        <v>69</v>
      </c>
      <c r="E26" s="13">
        <f t="shared" si="4"/>
        <v>90</v>
      </c>
      <c r="F26" s="13">
        <f t="shared" si="4"/>
        <v>74</v>
      </c>
      <c r="G26" s="13">
        <f t="shared" si="4"/>
        <v>117</v>
      </c>
      <c r="I26" s="27"/>
      <c r="J26" s="28"/>
      <c r="K26" s="28"/>
      <c r="L26" s="29"/>
    </row>
    <row r="27" spans="2:12" ht="19.5" thickBot="1" x14ac:dyDescent="0.3">
      <c r="B27" s="14" t="s">
        <v>152</v>
      </c>
      <c r="C27" s="14">
        <f>ROUND(C23/C26, 2)</f>
        <v>0.08</v>
      </c>
      <c r="D27" s="14">
        <f t="shared" ref="D27:G27" si="5">ROUND(D23/D26, 2)</f>
        <v>0.04</v>
      </c>
      <c r="E27" s="14">
        <f t="shared" si="5"/>
        <v>0.11</v>
      </c>
      <c r="F27" s="14">
        <f t="shared" si="5"/>
        <v>0</v>
      </c>
      <c r="G27" s="14">
        <f t="shared" si="5"/>
        <v>0</v>
      </c>
      <c r="I27" s="30"/>
      <c r="J27" s="31"/>
      <c r="K27" s="31"/>
      <c r="L27" s="32"/>
    </row>
    <row r="28" spans="2:12" ht="15.75" thickTop="1" x14ac:dyDescent="0.25"/>
    <row r="29" spans="2:12" ht="18.75" x14ac:dyDescent="0.25">
      <c r="B29" s="33" t="s">
        <v>153</v>
      </c>
      <c r="C29" s="33"/>
      <c r="D29" s="33"/>
      <c r="E29" s="33"/>
      <c r="F29" s="33"/>
      <c r="G29" s="33"/>
    </row>
    <row r="30" spans="2:12" ht="19.5" thickBot="1" x14ac:dyDescent="0.3">
      <c r="B30" s="12" t="str">
        <f>'Income Statement'!B51</f>
        <v>Equity Share Dividend</v>
      </c>
      <c r="C30" s="13">
        <f>'Income Statement'!C51</f>
        <v>197.96</v>
      </c>
      <c r="D30" s="13">
        <f>'Income Statement'!D51</f>
        <v>231.19</v>
      </c>
      <c r="E30" s="13">
        <f>'Income Statement'!E51</f>
        <v>949.63</v>
      </c>
      <c r="F30" s="13">
        <f>'Income Statement'!F51</f>
        <v>0</v>
      </c>
      <c r="G30" s="13">
        <f>'Income Statement'!G51</f>
        <v>0</v>
      </c>
    </row>
    <row r="31" spans="2:12" ht="19.5" thickTop="1" x14ac:dyDescent="0.25">
      <c r="B31" s="12" t="str">
        <f>'Income Statement'!B61</f>
        <v>Total Shares Outstanding(cr)</v>
      </c>
      <c r="C31" s="13">
        <f>'Income Statement'!C61</f>
        <v>54.475456977066528</v>
      </c>
      <c r="D31" s="13">
        <f>'Income Statement'!D61</f>
        <v>78.369430562319536</v>
      </c>
      <c r="E31" s="13">
        <f>'Income Statement'!E61</f>
        <v>100.48367169616508</v>
      </c>
      <c r="F31" s="13">
        <f>'Income Statement'!F61</f>
        <v>138.18676437911807</v>
      </c>
      <c r="G31" s="13">
        <f>'Income Statement'!G61</f>
        <v>93.498805640419818</v>
      </c>
      <c r="I31" s="24"/>
      <c r="J31" s="25"/>
      <c r="K31" s="25"/>
      <c r="L31" s="26"/>
    </row>
    <row r="32" spans="2:12" ht="18.75" x14ac:dyDescent="0.25">
      <c r="B32" s="12" t="s">
        <v>154</v>
      </c>
      <c r="C32" s="13">
        <f>ROUND(C30/C31, 2)</f>
        <v>3.63</v>
      </c>
      <c r="D32" s="13">
        <f t="shared" ref="D32:G32" si="6">ROUND(D30/D31, 2)</f>
        <v>2.95</v>
      </c>
      <c r="E32" s="13">
        <f t="shared" si="6"/>
        <v>9.4499999999999993</v>
      </c>
      <c r="F32" s="13">
        <f t="shared" si="6"/>
        <v>0</v>
      </c>
      <c r="G32" s="13">
        <f t="shared" si="6"/>
        <v>0</v>
      </c>
      <c r="I32" s="27"/>
      <c r="J32" s="28"/>
      <c r="K32" s="28"/>
      <c r="L32" s="29"/>
    </row>
    <row r="33" spans="2:12" ht="19.5" thickBot="1" x14ac:dyDescent="0.3">
      <c r="B33" s="14" t="s">
        <v>155</v>
      </c>
      <c r="C33" s="15">
        <f>1-C32</f>
        <v>-2.63</v>
      </c>
      <c r="D33" s="15">
        <f t="shared" ref="D33:G33" si="7">1-D32</f>
        <v>-1.9500000000000002</v>
      </c>
      <c r="E33" s="15">
        <f t="shared" si="7"/>
        <v>-8.4499999999999993</v>
      </c>
      <c r="F33" s="15">
        <f t="shared" si="7"/>
        <v>1</v>
      </c>
      <c r="G33" s="15">
        <f t="shared" si="7"/>
        <v>1</v>
      </c>
      <c r="I33" s="30"/>
      <c r="J33" s="31"/>
      <c r="K33" s="31"/>
      <c r="L33" s="32"/>
    </row>
    <row r="34" spans="2:12" ht="15.75" thickTop="1" x14ac:dyDescent="0.25"/>
    <row r="35" spans="2:12" ht="19.5" thickBot="1" x14ac:dyDescent="0.3">
      <c r="B35" s="33" t="s">
        <v>156</v>
      </c>
      <c r="C35" s="33"/>
      <c r="D35" s="33"/>
      <c r="E35" s="33"/>
      <c r="F35" s="33"/>
      <c r="G35" s="33"/>
    </row>
    <row r="36" spans="2:12" ht="19.5" thickTop="1" x14ac:dyDescent="0.25">
      <c r="B36" s="12" t="str">
        <f>'Income Statement'!B5</f>
        <v>Gross Sales</v>
      </c>
      <c r="C36" s="13">
        <f>'Income Statement'!C5</f>
        <v>12336.56</v>
      </c>
      <c r="D36" s="13">
        <f>'Income Statement'!D5</f>
        <v>18397.29</v>
      </c>
      <c r="E36" s="13">
        <f>'Income Statement'!E5</f>
        <v>26223.07</v>
      </c>
      <c r="F36" s="13">
        <f>'Income Statement'!F5</f>
        <v>26504.52</v>
      </c>
      <c r="G36" s="13">
        <f>'Income Statement'!G5</f>
        <v>30739.15</v>
      </c>
      <c r="I36" s="24"/>
      <c r="J36" s="25"/>
      <c r="K36" s="25"/>
      <c r="L36" s="26"/>
    </row>
    <row r="37" spans="2:12" ht="18.75" x14ac:dyDescent="0.25">
      <c r="B37" s="12" t="str">
        <f>'Income Statement'!B17</f>
        <v>Cost Of Materials Consumed</v>
      </c>
      <c r="C37" s="13">
        <f>'Income Statement'!C17</f>
        <v>0</v>
      </c>
      <c r="D37" s="13">
        <f>'Income Statement'!D17</f>
        <v>0</v>
      </c>
      <c r="E37" s="13">
        <f>'Income Statement'!E17</f>
        <v>0</v>
      </c>
      <c r="F37" s="13">
        <f>'Income Statement'!F17</f>
        <v>0</v>
      </c>
      <c r="G37" s="13">
        <f>'Income Statement'!G17</f>
        <v>0</v>
      </c>
      <c r="I37" s="27"/>
      <c r="J37" s="28"/>
      <c r="K37" s="28"/>
      <c r="L37" s="29"/>
    </row>
    <row r="38" spans="2:12" ht="19.5" thickBot="1" x14ac:dyDescent="0.3">
      <c r="B38" s="14" t="s">
        <v>157</v>
      </c>
      <c r="C38" s="16">
        <f>ROUND(C36- C37, 2)</f>
        <v>12336.56</v>
      </c>
      <c r="D38" s="16">
        <f t="shared" ref="D38:G38" si="8">ROUND(D36- D37, 2)</f>
        <v>18397.29</v>
      </c>
      <c r="E38" s="16">
        <f t="shared" si="8"/>
        <v>26223.07</v>
      </c>
      <c r="F38" s="16">
        <f t="shared" si="8"/>
        <v>26504.52</v>
      </c>
      <c r="G38" s="16">
        <f t="shared" si="8"/>
        <v>30739.15</v>
      </c>
      <c r="I38" s="30"/>
      <c r="J38" s="31"/>
      <c r="K38" s="31"/>
      <c r="L38" s="32"/>
    </row>
    <row r="39" spans="2:12" ht="15.75" thickTop="1" x14ac:dyDescent="0.25"/>
    <row r="40" spans="2:12" ht="19.5" thickBot="1" x14ac:dyDescent="0.3">
      <c r="B40" s="33" t="s">
        <v>158</v>
      </c>
      <c r="C40" s="33"/>
      <c r="D40" s="33"/>
      <c r="E40" s="33"/>
      <c r="F40" s="33"/>
      <c r="G40" s="33"/>
    </row>
    <row r="41" spans="2:12" ht="19.5" thickTop="1" x14ac:dyDescent="0.25">
      <c r="B41" s="12" t="str">
        <f>'Income Statement'!B5</f>
        <v>Gross Sales</v>
      </c>
      <c r="C41" s="13">
        <f>'Income Statement'!C5</f>
        <v>12336.56</v>
      </c>
      <c r="D41" s="13">
        <f>'Income Statement'!D5</f>
        <v>18397.29</v>
      </c>
      <c r="E41" s="13">
        <f>'Income Statement'!E5</f>
        <v>26223.07</v>
      </c>
      <c r="F41" s="13">
        <f>'Income Statement'!F5</f>
        <v>26504.52</v>
      </c>
      <c r="G41" s="13">
        <f>'Income Statement'!G5</f>
        <v>30739.15</v>
      </c>
      <c r="I41" s="24"/>
      <c r="J41" s="25"/>
      <c r="K41" s="25"/>
      <c r="L41" s="26"/>
    </row>
    <row r="42" spans="2:12" ht="18.75" x14ac:dyDescent="0.25">
      <c r="B42" s="12" t="str">
        <f>'Income Statement'!B25</f>
        <v>Total Expenditure</v>
      </c>
      <c r="C42" s="13">
        <f>'Income Statement'!C25</f>
        <v>3588.12</v>
      </c>
      <c r="D42" s="13">
        <f>'Income Statement'!D25</f>
        <v>4051.96</v>
      </c>
      <c r="E42" s="13">
        <f>'Income Statement'!E25</f>
        <v>5366.2</v>
      </c>
      <c r="F42" s="13">
        <f>'Income Statement'!F25</f>
        <v>4982.9400000000005</v>
      </c>
      <c r="G42" s="13">
        <f>'Income Statement'!G25</f>
        <v>7200.42</v>
      </c>
      <c r="I42" s="27"/>
      <c r="J42" s="28"/>
      <c r="K42" s="28"/>
      <c r="L42" s="29"/>
    </row>
    <row r="43" spans="2:12" ht="19.5" thickBot="1" x14ac:dyDescent="0.3">
      <c r="B43" s="14" t="s">
        <v>159</v>
      </c>
      <c r="C43" s="16">
        <f>ROUND(C41- C42, 2)</f>
        <v>8748.44</v>
      </c>
      <c r="D43" s="16">
        <f t="shared" ref="D43:G43" si="9">ROUND(D41- D42, 2)</f>
        <v>14345.33</v>
      </c>
      <c r="E43" s="16">
        <f t="shared" si="9"/>
        <v>20856.87</v>
      </c>
      <c r="F43" s="16">
        <f t="shared" si="9"/>
        <v>21521.58</v>
      </c>
      <c r="G43" s="16">
        <f t="shared" si="9"/>
        <v>23538.73</v>
      </c>
      <c r="I43" s="30"/>
      <c r="J43" s="31"/>
      <c r="K43" s="31"/>
      <c r="L43" s="32"/>
    </row>
    <row r="44" spans="2:12" ht="15.75" thickTop="1" x14ac:dyDescent="0.25"/>
    <row r="45" spans="2:12" ht="19.5" thickBot="1" x14ac:dyDescent="0.3">
      <c r="B45" s="33" t="s">
        <v>160</v>
      </c>
      <c r="C45" s="33"/>
      <c r="D45" s="33"/>
      <c r="E45" s="33"/>
      <c r="F45" s="33"/>
      <c r="G45" s="33"/>
    </row>
    <row r="46" spans="2:12" ht="19.5" thickTop="1" x14ac:dyDescent="0.25">
      <c r="B46" s="12" t="str">
        <f>'Income Statement'!B49</f>
        <v>Reported Net Profit(PAT)</v>
      </c>
      <c r="C46" s="13">
        <f>'Income Statement'!C49</f>
        <v>2614.8219348991934</v>
      </c>
      <c r="D46" s="13">
        <f>'Income Statement'!D49</f>
        <v>5407.4907088000482</v>
      </c>
      <c r="E46" s="13">
        <f>'Income Statement'!E49</f>
        <v>9043.5304526548571</v>
      </c>
      <c r="F46" s="13">
        <f>'Income Statement'!F49</f>
        <v>10225.820564054737</v>
      </c>
      <c r="G46" s="13">
        <f>'Income Statement'!G49</f>
        <v>10939.360259929119</v>
      </c>
      <c r="I46" s="24"/>
      <c r="J46" s="25"/>
      <c r="K46" s="25"/>
      <c r="L46" s="26"/>
    </row>
    <row r="47" spans="2:12" ht="18.75" x14ac:dyDescent="0.25">
      <c r="B47" s="12" t="str">
        <f>'Balance Sheet'!B74</f>
        <v>Total Assets</v>
      </c>
      <c r="C47" s="13">
        <f>'Balance Sheet'!C74</f>
        <v>86824.34</v>
      </c>
      <c r="D47" s="13">
        <f>'Balance Sheet'!D74</f>
        <v>126210.26070880007</v>
      </c>
      <c r="E47" s="13">
        <f>'Balance Sheet'!E74</f>
        <v>161641.59116145491</v>
      </c>
      <c r="F47" s="13">
        <f>'Balance Sheet'!F74</f>
        <v>174412.70172550966</v>
      </c>
      <c r="G47" s="13">
        <f>'Balance Sheet'!G74</f>
        <v>219536.61198543879</v>
      </c>
      <c r="I47" s="27"/>
      <c r="J47" s="28"/>
      <c r="K47" s="28"/>
      <c r="L47" s="29"/>
    </row>
    <row r="48" spans="2:12" ht="19.5" thickBot="1" x14ac:dyDescent="0.3">
      <c r="B48" s="14" t="s">
        <v>161</v>
      </c>
      <c r="C48" s="15">
        <f>ROUND(C46/ C47, 2)</f>
        <v>0.03</v>
      </c>
      <c r="D48" s="15">
        <f t="shared" ref="D48:G48" si="10">ROUND(D46/ D47, 2)</f>
        <v>0.04</v>
      </c>
      <c r="E48" s="15">
        <f t="shared" si="10"/>
        <v>0.06</v>
      </c>
      <c r="F48" s="15">
        <f t="shared" si="10"/>
        <v>0.06</v>
      </c>
      <c r="G48" s="15">
        <f t="shared" si="10"/>
        <v>0.05</v>
      </c>
      <c r="I48" s="30"/>
      <c r="J48" s="31"/>
      <c r="K48" s="31"/>
      <c r="L48" s="32"/>
    </row>
    <row r="49" spans="2:12" ht="15.75" thickTop="1" x14ac:dyDescent="0.25"/>
    <row r="50" spans="2:12" ht="18.75" x14ac:dyDescent="0.25">
      <c r="B50" s="33" t="s">
        <v>162</v>
      </c>
      <c r="C50" s="33"/>
      <c r="D50" s="33"/>
      <c r="E50" s="33"/>
      <c r="F50" s="33"/>
      <c r="G50" s="33"/>
    </row>
    <row r="51" spans="2:12" ht="19.5" thickBot="1" x14ac:dyDescent="0.3">
      <c r="B51" s="12" t="str">
        <f>'Income Statement'!B33</f>
        <v>PBIT</v>
      </c>
      <c r="C51" s="13">
        <f>'Income Statement'!C33</f>
        <v>8671.2419348991934</v>
      </c>
      <c r="D51" s="13">
        <f>'Income Statement'!D33</f>
        <v>14215.220708800049</v>
      </c>
      <c r="E51" s="13">
        <f>'Income Statement'!E33</f>
        <v>20575.110452654855</v>
      </c>
      <c r="F51" s="13">
        <f>'Income Statement'!F33</f>
        <v>21212.260564054737</v>
      </c>
      <c r="G51" s="13">
        <f>'Income Statement'!G33</f>
        <v>23163.15025992912</v>
      </c>
    </row>
    <row r="52" spans="2:12" ht="19.5" thickTop="1" x14ac:dyDescent="0.25">
      <c r="B52" s="12" t="str">
        <f>'Balance Sheet'!B21</f>
        <v>Total Debt</v>
      </c>
      <c r="C52" s="13">
        <f>'Balance Sheet'!C21</f>
        <v>56653.42</v>
      </c>
      <c r="D52" s="13">
        <f>'Balance Sheet'!D21</f>
        <v>101587.85</v>
      </c>
      <c r="E52" s="13">
        <f>'Balance Sheet'!E21</f>
        <v>129806.43</v>
      </c>
      <c r="F52" s="13">
        <f>'Balance Sheet'!F21</f>
        <v>131645.38</v>
      </c>
      <c r="G52" s="13">
        <f>'Balance Sheet'!G21</f>
        <v>85163.08</v>
      </c>
      <c r="I52" s="24"/>
      <c r="J52" s="25"/>
      <c r="K52" s="25"/>
      <c r="L52" s="26"/>
    </row>
    <row r="53" spans="2:12" ht="18.75" x14ac:dyDescent="0.25">
      <c r="B53" s="12" t="str">
        <f>'Balance Sheet'!B13</f>
        <v>Net Worth</v>
      </c>
      <c r="C53" s="13">
        <f>'Balance Sheet'!C13</f>
        <v>16545.649999999998</v>
      </c>
      <c r="D53" s="13">
        <f>'Balance Sheet'!D13</f>
        <v>21674.770708800046</v>
      </c>
      <c r="E53" s="13">
        <f>'Balance Sheet'!E13</f>
        <v>29578.091161454908</v>
      </c>
      <c r="F53" s="13">
        <f>'Balance Sheet'!F13</f>
        <v>39804.241725509644</v>
      </c>
      <c r="G53" s="13">
        <f>'Balance Sheet'!G13</f>
        <v>50743.941985438767</v>
      </c>
      <c r="I53" s="27"/>
      <c r="J53" s="28"/>
      <c r="K53" s="28"/>
      <c r="L53" s="29"/>
    </row>
    <row r="54" spans="2:12" ht="19.5" thickBot="1" x14ac:dyDescent="0.3">
      <c r="B54" s="14" t="s">
        <v>163</v>
      </c>
      <c r="C54" s="15">
        <f>ROUND(C51/ (C52+ C52), 2)</f>
        <v>0.08</v>
      </c>
      <c r="D54" s="15">
        <f t="shared" ref="D54:G54" si="11">ROUND(D51/ (D52+ D52), 2)</f>
        <v>7.0000000000000007E-2</v>
      </c>
      <c r="E54" s="15">
        <f t="shared" si="11"/>
        <v>0.08</v>
      </c>
      <c r="F54" s="15">
        <f t="shared" si="11"/>
        <v>0.08</v>
      </c>
      <c r="G54" s="15">
        <f t="shared" si="11"/>
        <v>0.14000000000000001</v>
      </c>
      <c r="I54" s="30"/>
      <c r="J54" s="31"/>
      <c r="K54" s="31"/>
      <c r="L54" s="32"/>
    </row>
    <row r="55" spans="2:12" ht="15.75" thickTop="1" x14ac:dyDescent="0.25"/>
    <row r="56" spans="2:12" ht="19.5" thickBot="1" x14ac:dyDescent="0.3">
      <c r="B56" s="33" t="s">
        <v>164</v>
      </c>
      <c r="C56" s="33"/>
      <c r="D56" s="33"/>
      <c r="E56" s="33"/>
      <c r="F56" s="33"/>
      <c r="G56" s="33"/>
    </row>
    <row r="57" spans="2:12" ht="19.5" thickTop="1" x14ac:dyDescent="0.25">
      <c r="B57" s="12" t="str">
        <f>'Income Statement'!B49</f>
        <v>Reported Net Profit(PAT)</v>
      </c>
      <c r="C57" s="13">
        <f>'Income Statement'!C49</f>
        <v>2614.8219348991934</v>
      </c>
      <c r="D57" s="13">
        <f>'Income Statement'!D49</f>
        <v>5407.4907088000482</v>
      </c>
      <c r="E57" s="13">
        <f>'Income Statement'!E49</f>
        <v>9043.5304526548571</v>
      </c>
      <c r="F57" s="13">
        <f>'Income Statement'!F49</f>
        <v>10225.820564054737</v>
      </c>
      <c r="G57" s="13">
        <f>'Income Statement'!G49</f>
        <v>10939.360259929119</v>
      </c>
      <c r="I57" s="24"/>
      <c r="J57" s="25"/>
      <c r="K57" s="25"/>
      <c r="L57" s="26"/>
    </row>
    <row r="58" spans="2:12" ht="18.75" x14ac:dyDescent="0.25">
      <c r="B58" s="12" t="str">
        <f>'Balance Sheet'!B13</f>
        <v>Net Worth</v>
      </c>
      <c r="C58" s="13">
        <f>'Balance Sheet'!C13</f>
        <v>16545.649999999998</v>
      </c>
      <c r="D58" s="13">
        <f>'Balance Sheet'!D13</f>
        <v>21674.770708800046</v>
      </c>
      <c r="E58" s="13">
        <f>'Balance Sheet'!E13</f>
        <v>29578.091161454908</v>
      </c>
      <c r="F58" s="13">
        <f>'Balance Sheet'!F13</f>
        <v>39804.241725509644</v>
      </c>
      <c r="G58" s="13">
        <f>'Balance Sheet'!G13</f>
        <v>50743.941985438767</v>
      </c>
      <c r="I58" s="27"/>
      <c r="J58" s="28"/>
      <c r="K58" s="28"/>
      <c r="L58" s="29"/>
    </row>
    <row r="59" spans="2:12" ht="19.5" thickBot="1" x14ac:dyDescent="0.3">
      <c r="B59" s="14" t="s">
        <v>165</v>
      </c>
      <c r="C59" s="15">
        <f>ROUND(C57/ (C58+ C58), 2)</f>
        <v>0.08</v>
      </c>
      <c r="D59" s="15">
        <f t="shared" ref="D59:G59" si="12">ROUND(D57/ (D58+ D58), 2)</f>
        <v>0.12</v>
      </c>
      <c r="E59" s="15">
        <f t="shared" si="12"/>
        <v>0.15</v>
      </c>
      <c r="F59" s="15">
        <f t="shared" si="12"/>
        <v>0.13</v>
      </c>
      <c r="G59" s="15">
        <f t="shared" si="12"/>
        <v>0.11</v>
      </c>
      <c r="I59" s="30"/>
      <c r="J59" s="31"/>
      <c r="K59" s="31"/>
      <c r="L59" s="32"/>
    </row>
    <row r="60" spans="2:12" ht="15.75" thickTop="1" x14ac:dyDescent="0.25"/>
    <row r="61" spans="2:12" ht="19.5" thickBot="1" x14ac:dyDescent="0.3">
      <c r="B61" s="33" t="s">
        <v>166</v>
      </c>
      <c r="C61" s="33"/>
      <c r="D61" s="33"/>
      <c r="E61" s="33"/>
      <c r="F61" s="33"/>
      <c r="G61" s="33"/>
    </row>
    <row r="62" spans="2:12" ht="19.5" thickTop="1" x14ac:dyDescent="0.25">
      <c r="B62" s="12" t="str">
        <f>'Balance Sheet'!B21</f>
        <v>Total Debt</v>
      </c>
      <c r="C62" s="13">
        <f>'Balance Sheet'!C21</f>
        <v>56653.42</v>
      </c>
      <c r="D62" s="13">
        <f>'Balance Sheet'!D21</f>
        <v>101587.85</v>
      </c>
      <c r="E62" s="13">
        <f>'Balance Sheet'!E21</f>
        <v>129806.43</v>
      </c>
      <c r="F62" s="13">
        <f>'Balance Sheet'!F21</f>
        <v>131645.38</v>
      </c>
      <c r="G62" s="13">
        <f>'Balance Sheet'!G21</f>
        <v>85163.08</v>
      </c>
      <c r="I62" s="24"/>
      <c r="J62" s="25"/>
      <c r="K62" s="25"/>
      <c r="L62" s="26"/>
    </row>
    <row r="63" spans="2:12" ht="18.75" x14ac:dyDescent="0.25">
      <c r="B63" s="12" t="str">
        <f>'Balance Sheet'!B13</f>
        <v>Net Worth</v>
      </c>
      <c r="C63" s="13">
        <f>'Balance Sheet'!C13</f>
        <v>16545.649999999998</v>
      </c>
      <c r="D63" s="13">
        <f>'Balance Sheet'!D13</f>
        <v>21674.770708800046</v>
      </c>
      <c r="E63" s="13">
        <f>'Balance Sheet'!E13</f>
        <v>29578.091161454908</v>
      </c>
      <c r="F63" s="13">
        <f>'Balance Sheet'!F13</f>
        <v>39804.241725509644</v>
      </c>
      <c r="G63" s="13">
        <f>'Balance Sheet'!G13</f>
        <v>50743.941985438767</v>
      </c>
      <c r="I63" s="27"/>
      <c r="J63" s="28"/>
      <c r="K63" s="28"/>
      <c r="L63" s="29"/>
    </row>
    <row r="64" spans="2:12" ht="19.5" thickBot="1" x14ac:dyDescent="0.3">
      <c r="B64" s="14" t="s">
        <v>167</v>
      </c>
      <c r="C64" s="14">
        <f>ROUND(C62/ C63, 2)</f>
        <v>3.42</v>
      </c>
      <c r="D64" s="14">
        <f t="shared" ref="D64:G64" si="13">ROUND(D62/ D63, 2)</f>
        <v>4.6900000000000004</v>
      </c>
      <c r="E64" s="14">
        <f t="shared" si="13"/>
        <v>4.3899999999999997</v>
      </c>
      <c r="F64" s="14">
        <f t="shared" si="13"/>
        <v>3.31</v>
      </c>
      <c r="G64" s="14">
        <f t="shared" si="13"/>
        <v>1.68</v>
      </c>
      <c r="I64" s="30"/>
      <c r="J64" s="31"/>
      <c r="K64" s="31"/>
      <c r="L64" s="32"/>
    </row>
    <row r="65" spans="2:12" ht="15.75" thickTop="1" x14ac:dyDescent="0.25"/>
    <row r="66" spans="2:12" ht="19.5" thickBot="1" x14ac:dyDescent="0.3">
      <c r="B66" s="33" t="s">
        <v>168</v>
      </c>
      <c r="C66" s="33"/>
      <c r="D66" s="33"/>
      <c r="E66" s="33"/>
      <c r="F66" s="33"/>
      <c r="G66" s="33"/>
    </row>
    <row r="67" spans="2:12" ht="19.5" thickTop="1" x14ac:dyDescent="0.25">
      <c r="B67" s="12" t="str">
        <f>'Balance Sheet'!B72</f>
        <v>Total Current Assets</v>
      </c>
      <c r="C67" s="13">
        <f>'Balance Sheet'!C72</f>
        <v>83208.11</v>
      </c>
      <c r="D67" s="13">
        <f>'Balance Sheet'!D72</f>
        <v>117063.81070880007</v>
      </c>
      <c r="E67" s="13">
        <f>'Balance Sheet'!E72</f>
        <v>143218.75116145491</v>
      </c>
      <c r="F67" s="13">
        <f>'Balance Sheet'!F72</f>
        <v>155460.34172550964</v>
      </c>
      <c r="G67" s="13">
        <f>'Balance Sheet'!G72</f>
        <v>206692.5219854388</v>
      </c>
      <c r="I67" s="24"/>
      <c r="J67" s="25"/>
      <c r="K67" s="25"/>
      <c r="L67" s="26"/>
    </row>
    <row r="68" spans="2:12" ht="18.75" x14ac:dyDescent="0.25">
      <c r="B68" s="12" t="str">
        <f>'Balance Sheet'!B33</f>
        <v>Total Current Liabilities</v>
      </c>
      <c r="C68" s="13">
        <f>'Balance Sheet'!C33</f>
        <v>13625.27</v>
      </c>
      <c r="D68" s="13">
        <f>'Balance Sheet'!D33</f>
        <v>2947.6400000000003</v>
      </c>
      <c r="E68" s="13">
        <f>'Balance Sheet'!E33</f>
        <v>2257.0699999999997</v>
      </c>
      <c r="F68" s="13">
        <f>'Balance Sheet'!F33</f>
        <v>2963.08</v>
      </c>
      <c r="G68" s="13">
        <f>'Balance Sheet'!G33</f>
        <v>83629.59</v>
      </c>
      <c r="I68" s="27"/>
      <c r="J68" s="28"/>
      <c r="K68" s="28"/>
      <c r="L68" s="29"/>
    </row>
    <row r="69" spans="2:12" ht="19.5" thickBot="1" x14ac:dyDescent="0.3">
      <c r="B69" s="14" t="s">
        <v>169</v>
      </c>
      <c r="C69" s="14">
        <f>ROUND(C67/ C68, 2)</f>
        <v>6.11</v>
      </c>
      <c r="D69" s="14">
        <f t="shared" ref="D69:G69" si="14">ROUND(D67/ D68, 2)</f>
        <v>39.71</v>
      </c>
      <c r="E69" s="14">
        <f t="shared" si="14"/>
        <v>63.45</v>
      </c>
      <c r="F69" s="14">
        <f t="shared" si="14"/>
        <v>52.47</v>
      </c>
      <c r="G69" s="14">
        <f t="shared" si="14"/>
        <v>2.4700000000000002</v>
      </c>
      <c r="I69" s="30"/>
      <c r="J69" s="31"/>
      <c r="K69" s="31"/>
      <c r="L69" s="32"/>
    </row>
    <row r="70" spans="2:12" ht="15.75" thickTop="1" x14ac:dyDescent="0.25"/>
    <row r="71" spans="2:12" ht="18.75" x14ac:dyDescent="0.25">
      <c r="B71" s="33" t="s">
        <v>170</v>
      </c>
      <c r="C71" s="33"/>
      <c r="D71" s="33"/>
      <c r="E71" s="33"/>
      <c r="F71" s="33"/>
      <c r="G71" s="33"/>
    </row>
    <row r="72" spans="2:12" ht="19.5" thickBot="1" x14ac:dyDescent="0.3">
      <c r="B72" s="12" t="str">
        <f>'Balance Sheet'!B72</f>
        <v>Total Current Assets</v>
      </c>
      <c r="C72" s="13">
        <f>'Balance Sheet'!C72</f>
        <v>83208.11</v>
      </c>
      <c r="D72" s="13">
        <f>'Balance Sheet'!D72</f>
        <v>117063.81070880007</v>
      </c>
      <c r="E72" s="13">
        <f>'Balance Sheet'!E72</f>
        <v>143218.75116145491</v>
      </c>
      <c r="F72" s="13">
        <f>'Balance Sheet'!F72</f>
        <v>155460.34172550964</v>
      </c>
      <c r="G72" s="13">
        <f>'Balance Sheet'!G72</f>
        <v>206692.5219854388</v>
      </c>
    </row>
    <row r="73" spans="2:12" ht="19.5" thickTop="1" x14ac:dyDescent="0.25">
      <c r="B73" s="12" t="str">
        <f>'Balance Sheet'!B66</f>
        <v>Inventories</v>
      </c>
      <c r="C73" s="13">
        <f>'Balance Sheet'!C66</f>
        <v>0</v>
      </c>
      <c r="D73" s="13">
        <f>'Balance Sheet'!D66</f>
        <v>0</v>
      </c>
      <c r="E73" s="13">
        <f>'Balance Sheet'!E66</f>
        <v>0</v>
      </c>
      <c r="F73" s="13">
        <f>'Balance Sheet'!F66</f>
        <v>0</v>
      </c>
      <c r="G73" s="13">
        <f>'Balance Sheet'!G66</f>
        <v>0</v>
      </c>
      <c r="I73" s="24"/>
      <c r="J73" s="25"/>
      <c r="K73" s="25"/>
      <c r="L73" s="26"/>
    </row>
    <row r="74" spans="2:12" ht="18.75" x14ac:dyDescent="0.25">
      <c r="B74" s="12" t="str">
        <f>'Balance Sheet'!B33</f>
        <v>Total Current Liabilities</v>
      </c>
      <c r="C74" s="13">
        <f>'Balance Sheet'!C33</f>
        <v>13625.27</v>
      </c>
      <c r="D74" s="13">
        <f>'Balance Sheet'!D33</f>
        <v>2947.6400000000003</v>
      </c>
      <c r="E74" s="13">
        <f>'Balance Sheet'!E33</f>
        <v>2257.0699999999997</v>
      </c>
      <c r="F74" s="13">
        <f>'Balance Sheet'!F33</f>
        <v>2963.08</v>
      </c>
      <c r="G74" s="13">
        <f>'Balance Sheet'!G33</f>
        <v>83629.59</v>
      </c>
      <c r="I74" s="27"/>
      <c r="J74" s="28"/>
      <c r="K74" s="28"/>
      <c r="L74" s="29"/>
    </row>
    <row r="75" spans="2:12" ht="19.5" thickBot="1" x14ac:dyDescent="0.3">
      <c r="B75" s="14" t="s">
        <v>171</v>
      </c>
      <c r="C75" s="14">
        <f>ROUND((C72-C73)/ C74, 2)</f>
        <v>6.11</v>
      </c>
      <c r="D75" s="14">
        <f t="shared" ref="D75:G75" si="15">ROUND((D72-D73)/ D74, 2)</f>
        <v>39.71</v>
      </c>
      <c r="E75" s="14">
        <f t="shared" si="15"/>
        <v>63.45</v>
      </c>
      <c r="F75" s="14">
        <f t="shared" si="15"/>
        <v>52.47</v>
      </c>
      <c r="G75" s="14">
        <f t="shared" si="15"/>
        <v>2.4700000000000002</v>
      </c>
      <c r="I75" s="30"/>
      <c r="J75" s="31"/>
      <c r="K75" s="31"/>
      <c r="L75" s="32"/>
    </row>
    <row r="76" spans="2:12" ht="15.75" thickTop="1" x14ac:dyDescent="0.25"/>
    <row r="77" spans="2:12" ht="19.5" thickBot="1" x14ac:dyDescent="0.3">
      <c r="B77" s="33" t="s">
        <v>172</v>
      </c>
      <c r="C77" s="33"/>
      <c r="D77" s="33"/>
      <c r="E77" s="33"/>
      <c r="F77" s="33"/>
      <c r="G77" s="33"/>
    </row>
    <row r="78" spans="2:12" ht="19.5" thickTop="1" x14ac:dyDescent="0.25">
      <c r="B78" s="12" t="str">
        <f>'Income Statement'!B33</f>
        <v>PBIT</v>
      </c>
      <c r="C78" s="13">
        <f>'Income Statement'!C33</f>
        <v>8671.2419348991934</v>
      </c>
      <c r="D78" s="13">
        <f>'Income Statement'!D33</f>
        <v>14215.220708800049</v>
      </c>
      <c r="E78" s="13">
        <f>'Income Statement'!E33</f>
        <v>20575.110452654855</v>
      </c>
      <c r="F78" s="13">
        <f>'Income Statement'!F33</f>
        <v>21212.260564054737</v>
      </c>
      <c r="G78" s="13">
        <f>'Income Statement'!G33</f>
        <v>23163.15025992912</v>
      </c>
      <c r="I78" s="24"/>
      <c r="J78" s="25"/>
      <c r="K78" s="25"/>
      <c r="L78" s="26"/>
    </row>
    <row r="79" spans="2:12" ht="18.75" x14ac:dyDescent="0.25">
      <c r="B79" s="12" t="str">
        <f>'Income Statement'!B35</f>
        <v>Finance Costs</v>
      </c>
      <c r="C79" s="13">
        <f>'Income Statement'!C35</f>
        <v>4634.33</v>
      </c>
      <c r="D79" s="13">
        <f>'Income Statement'!D35</f>
        <v>6623.56</v>
      </c>
      <c r="E79" s="13">
        <f>'Income Statement'!E35</f>
        <v>9473.2099999999991</v>
      </c>
      <c r="F79" s="13">
        <f>'Income Statement'!F35</f>
        <v>9414</v>
      </c>
      <c r="G79" s="13">
        <f>'Income Statement'!G35</f>
        <v>9748.24</v>
      </c>
      <c r="I79" s="27"/>
      <c r="J79" s="28"/>
      <c r="K79" s="28"/>
      <c r="L79" s="29"/>
    </row>
    <row r="80" spans="2:12" ht="19.5" thickBot="1" x14ac:dyDescent="0.3">
      <c r="B80" s="14" t="s">
        <v>173</v>
      </c>
      <c r="C80" s="14">
        <f>ROUND(C78/C79, 2)</f>
        <v>1.87</v>
      </c>
      <c r="D80" s="14">
        <f t="shared" ref="D80:G80" si="16">ROUND(D78/D79, 2)</f>
        <v>2.15</v>
      </c>
      <c r="E80" s="14">
        <f t="shared" si="16"/>
        <v>2.17</v>
      </c>
      <c r="F80" s="14">
        <f t="shared" si="16"/>
        <v>2.25</v>
      </c>
      <c r="G80" s="14">
        <f t="shared" si="16"/>
        <v>2.38</v>
      </c>
      <c r="I80" s="30"/>
      <c r="J80" s="31"/>
      <c r="K80" s="31"/>
      <c r="L80" s="32"/>
    </row>
    <row r="81" spans="2:12" ht="15.75" thickTop="1" x14ac:dyDescent="0.25"/>
    <row r="82" spans="2:12" ht="19.5" thickBot="1" x14ac:dyDescent="0.3">
      <c r="B82" s="33" t="s">
        <v>174</v>
      </c>
      <c r="C82" s="33"/>
      <c r="D82" s="33"/>
      <c r="E82" s="33"/>
      <c r="F82" s="33"/>
      <c r="G82" s="33"/>
    </row>
    <row r="83" spans="2:12" ht="19.5" thickTop="1" x14ac:dyDescent="0.25">
      <c r="B83" s="12" t="str">
        <f>'Income Statement'!B17</f>
        <v>Cost Of Materials Consumed</v>
      </c>
      <c r="C83" s="13">
        <f>'Income Statement'!C17</f>
        <v>0</v>
      </c>
      <c r="D83" s="13">
        <f>'Income Statement'!D17</f>
        <v>0</v>
      </c>
      <c r="E83" s="13">
        <f>'Income Statement'!E17</f>
        <v>0</v>
      </c>
      <c r="F83" s="13">
        <f>'Income Statement'!F17</f>
        <v>0</v>
      </c>
      <c r="G83" s="13">
        <f>'Income Statement'!G17</f>
        <v>0</v>
      </c>
      <c r="I83" s="24"/>
      <c r="J83" s="25"/>
      <c r="K83" s="25"/>
      <c r="L83" s="26"/>
    </row>
    <row r="84" spans="2:12" ht="18.75" x14ac:dyDescent="0.25">
      <c r="B84" s="12" t="str">
        <f>'Income Statement'!B9</f>
        <v>Net Sales</v>
      </c>
      <c r="C84" s="13">
        <f>'Income Statement'!C9</f>
        <v>12336.56</v>
      </c>
      <c r="D84" s="13">
        <f>'Income Statement'!D9</f>
        <v>18397.29</v>
      </c>
      <c r="E84" s="13">
        <f>'Income Statement'!E9</f>
        <v>26223.07</v>
      </c>
      <c r="F84" s="13">
        <f>'Income Statement'!F9</f>
        <v>26504.52</v>
      </c>
      <c r="G84" s="13">
        <f>'Income Statement'!G9</f>
        <v>30739.15</v>
      </c>
      <c r="I84" s="27"/>
      <c r="J84" s="28"/>
      <c r="K84" s="28"/>
      <c r="L84" s="29"/>
    </row>
    <row r="85" spans="2:12" ht="19.5" thickBot="1" x14ac:dyDescent="0.3">
      <c r="B85" s="14" t="s">
        <v>175</v>
      </c>
      <c r="C85" s="14">
        <f>ROUND(C83/C84, 2)</f>
        <v>0</v>
      </c>
      <c r="D85" s="14">
        <f t="shared" ref="D85:G85" si="17">ROUND(D83/D84, 2)</f>
        <v>0</v>
      </c>
      <c r="E85" s="14">
        <f t="shared" si="17"/>
        <v>0</v>
      </c>
      <c r="F85" s="14">
        <f t="shared" si="17"/>
        <v>0</v>
      </c>
      <c r="G85" s="14">
        <f t="shared" si="17"/>
        <v>0</v>
      </c>
      <c r="I85" s="30"/>
      <c r="J85" s="31"/>
      <c r="K85" s="31"/>
      <c r="L85" s="32"/>
    </row>
    <row r="86" spans="2:12" ht="15.75" thickTop="1" x14ac:dyDescent="0.25"/>
    <row r="87" spans="2:12" ht="19.5" thickBot="1" x14ac:dyDescent="0.3">
      <c r="B87" s="33" t="s">
        <v>176</v>
      </c>
      <c r="C87" s="33"/>
      <c r="D87" s="33"/>
      <c r="E87" s="33"/>
      <c r="F87" s="33"/>
      <c r="G87" s="33"/>
    </row>
    <row r="88" spans="2:12" ht="19.5" thickTop="1" x14ac:dyDescent="0.25">
      <c r="B88" s="12" t="str">
        <f>'Balance Sheet'!B70</f>
        <v>Cash And Cash Equivalents</v>
      </c>
      <c r="C88" s="13">
        <f>'Balance Sheet'!C70</f>
        <v>339.46</v>
      </c>
      <c r="D88" s="13">
        <f>'Balance Sheet'!D70</f>
        <v>2473.8807088000622</v>
      </c>
      <c r="E88" s="13">
        <f>'Balance Sheet'!E70</f>
        <v>-924.76883854507378</v>
      </c>
      <c r="F88" s="13">
        <f>'Balance Sheet'!F70</f>
        <v>5873.3217255096542</v>
      </c>
      <c r="G88" s="13">
        <f>'Balance Sheet'!G70</f>
        <v>11863.441985438789</v>
      </c>
      <c r="I88" s="24"/>
      <c r="J88" s="25"/>
      <c r="K88" s="25"/>
      <c r="L88" s="26"/>
    </row>
    <row r="89" spans="2:12" ht="18.75" x14ac:dyDescent="0.25">
      <c r="B89" s="12" t="str">
        <f>'Income Statement'!B17</f>
        <v>Cost Of Materials Consumed</v>
      </c>
      <c r="C89" s="13">
        <f>'Income Statement'!C17</f>
        <v>0</v>
      </c>
      <c r="D89" s="13">
        <f>'Income Statement'!D17</f>
        <v>0</v>
      </c>
      <c r="E89" s="13">
        <f>'Income Statement'!E17</f>
        <v>0</v>
      </c>
      <c r="F89" s="13">
        <f>'Income Statement'!F17</f>
        <v>0</v>
      </c>
      <c r="G89" s="13">
        <f>'Income Statement'!G17</f>
        <v>0</v>
      </c>
      <c r="I89" s="27"/>
      <c r="J89" s="28"/>
      <c r="K89" s="28"/>
      <c r="L89" s="29"/>
    </row>
    <row r="90" spans="2:12" ht="19.5" thickBot="1" x14ac:dyDescent="0.3">
      <c r="B90" s="14" t="s">
        <v>177</v>
      </c>
      <c r="C90" s="14" t="e">
        <f>ROUND(C88/C89*365, 2)</f>
        <v>#DIV/0!</v>
      </c>
      <c r="D90" s="14" t="e">
        <f t="shared" ref="D90:G90" si="18">ROUND(D88/D89*365, 2)</f>
        <v>#DIV/0!</v>
      </c>
      <c r="E90" s="14" t="e">
        <f t="shared" si="18"/>
        <v>#DIV/0!</v>
      </c>
      <c r="F90" s="14" t="e">
        <f t="shared" si="18"/>
        <v>#DIV/0!</v>
      </c>
      <c r="G90" s="14" t="e">
        <f t="shared" si="18"/>
        <v>#DIV/0!</v>
      </c>
      <c r="I90" s="30"/>
      <c r="J90" s="31"/>
      <c r="K90" s="31"/>
      <c r="L90" s="32"/>
    </row>
    <row r="91" spans="2:12" ht="15.75" thickTop="1" x14ac:dyDescent="0.25"/>
    <row r="92" spans="2:12" ht="19.5" thickBot="1" x14ac:dyDescent="0.3">
      <c r="B92" s="33" t="s">
        <v>178</v>
      </c>
      <c r="C92" s="33"/>
      <c r="D92" s="33"/>
      <c r="E92" s="33"/>
      <c r="F92" s="33"/>
      <c r="G92" s="33"/>
    </row>
    <row r="93" spans="2:12" ht="19.5" thickTop="1" x14ac:dyDescent="0.25">
      <c r="B93" s="12" t="str">
        <f>'Balance Sheet'!B70</f>
        <v>Cash And Cash Equivalents</v>
      </c>
      <c r="C93" s="13">
        <f>'Balance Sheet'!C70</f>
        <v>339.46</v>
      </c>
      <c r="D93" s="13">
        <f>'Balance Sheet'!D70</f>
        <v>2473.8807088000622</v>
      </c>
      <c r="E93" s="13">
        <f>'Balance Sheet'!E70</f>
        <v>-924.76883854507378</v>
      </c>
      <c r="F93" s="13">
        <f>'Balance Sheet'!F70</f>
        <v>5873.3217255096542</v>
      </c>
      <c r="G93" s="13">
        <f>'Balance Sheet'!G70</f>
        <v>11863.441985438789</v>
      </c>
      <c r="I93" s="24"/>
      <c r="J93" s="25"/>
      <c r="K93" s="25"/>
      <c r="L93" s="2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27"/>
      <c r="J94" s="28"/>
      <c r="K94" s="28"/>
      <c r="L94" s="29"/>
    </row>
    <row r="95" spans="2:12" ht="19.5" thickBot="1" x14ac:dyDescent="0.3">
      <c r="B95" s="14" t="s">
        <v>180</v>
      </c>
      <c r="C95" s="14">
        <f>ROUND(C93/C94*365, 2)</f>
        <v>339.46</v>
      </c>
      <c r="D95" s="14">
        <f t="shared" ref="D95:G95" si="19">ROUND(D93/D94*365, 2)</f>
        <v>2473.88</v>
      </c>
      <c r="E95" s="14">
        <f t="shared" si="19"/>
        <v>-924.77</v>
      </c>
      <c r="F95" s="14">
        <f t="shared" si="19"/>
        <v>5873.32</v>
      </c>
      <c r="G95" s="14">
        <f t="shared" si="19"/>
        <v>11863.44</v>
      </c>
      <c r="I95" s="30"/>
      <c r="J95" s="31"/>
      <c r="K95" s="31"/>
      <c r="L95" s="32"/>
    </row>
    <row r="96" spans="2:12" ht="15.75" thickTop="1" x14ac:dyDescent="0.25"/>
    <row r="97" spans="2:12" ht="19.5" thickBot="1" x14ac:dyDescent="0.3">
      <c r="B97" s="33" t="s">
        <v>181</v>
      </c>
      <c r="C97" s="33"/>
      <c r="D97" s="33"/>
      <c r="E97" s="33"/>
      <c r="F97" s="33"/>
      <c r="G97" s="33"/>
    </row>
    <row r="98" spans="2:12" ht="19.5" thickTop="1" x14ac:dyDescent="0.25">
      <c r="B98" s="12" t="str">
        <f>'Income Statement'!B5</f>
        <v>Gross Sales</v>
      </c>
      <c r="C98" s="13">
        <f>'Income Statement'!C5</f>
        <v>12336.56</v>
      </c>
      <c r="D98" s="13">
        <f>'Income Statement'!D5</f>
        <v>18397.29</v>
      </c>
      <c r="E98" s="13">
        <f>'Income Statement'!E5</f>
        <v>26223.07</v>
      </c>
      <c r="F98" s="13">
        <f>'Income Statement'!F5</f>
        <v>26504.52</v>
      </c>
      <c r="G98" s="13">
        <f>'Income Statement'!G5</f>
        <v>30739.15</v>
      </c>
      <c r="I98" s="24"/>
      <c r="J98" s="25"/>
      <c r="K98" s="25"/>
      <c r="L98" s="26"/>
    </row>
    <row r="99" spans="2:12" ht="18.75" x14ac:dyDescent="0.25">
      <c r="B99" s="12" t="str">
        <f>'Balance Sheet'!B74</f>
        <v>Total Assets</v>
      </c>
      <c r="C99" s="13">
        <f>'Balance Sheet'!C74</f>
        <v>86824.34</v>
      </c>
      <c r="D99" s="13">
        <f>'Balance Sheet'!D74</f>
        <v>126210.26070880007</v>
      </c>
      <c r="E99" s="13">
        <f>'Balance Sheet'!E74</f>
        <v>161641.59116145491</v>
      </c>
      <c r="F99" s="13">
        <f>'Balance Sheet'!F74</f>
        <v>174412.70172550966</v>
      </c>
      <c r="G99" s="13">
        <f>'Balance Sheet'!G74</f>
        <v>219536.61198543879</v>
      </c>
      <c r="I99" s="27"/>
      <c r="J99" s="28"/>
      <c r="K99" s="28"/>
      <c r="L99" s="29"/>
    </row>
    <row r="100" spans="2:12" ht="19.5" thickBot="1" x14ac:dyDescent="0.3">
      <c r="B100" s="14" t="s">
        <v>182</v>
      </c>
      <c r="C100" s="14">
        <f>ROUND(C98/C99, 2)</f>
        <v>0.14000000000000001</v>
      </c>
      <c r="D100" s="14">
        <f t="shared" ref="D100:G100" si="20">ROUND(D98/D99, 2)</f>
        <v>0.15</v>
      </c>
      <c r="E100" s="14">
        <f t="shared" si="20"/>
        <v>0.16</v>
      </c>
      <c r="F100" s="14">
        <f t="shared" si="20"/>
        <v>0.15</v>
      </c>
      <c r="G100" s="14">
        <f t="shared" si="20"/>
        <v>0.14000000000000001</v>
      </c>
      <c r="I100" s="30"/>
      <c r="J100" s="31"/>
      <c r="K100" s="31"/>
      <c r="L100" s="32"/>
    </row>
    <row r="101" spans="2:12" ht="15.75" thickTop="1" x14ac:dyDescent="0.25"/>
    <row r="102" spans="2:12" ht="19.5" thickBot="1" x14ac:dyDescent="0.3">
      <c r="B102" s="33" t="s">
        <v>183</v>
      </c>
      <c r="C102" s="33"/>
      <c r="D102" s="33"/>
      <c r="E102" s="33"/>
      <c r="F102" s="33"/>
      <c r="G102" s="33"/>
    </row>
    <row r="103" spans="2:12" ht="19.5" thickTop="1" x14ac:dyDescent="0.25">
      <c r="B103" s="12" t="str">
        <f>'Income Statement'!B5</f>
        <v>Gross Sales</v>
      </c>
      <c r="C103" s="13">
        <f>'Income Statement'!C5</f>
        <v>12336.56</v>
      </c>
      <c r="D103" s="13">
        <f>'Income Statement'!D5</f>
        <v>18397.29</v>
      </c>
      <c r="E103" s="13">
        <f>'Income Statement'!E5</f>
        <v>26223.07</v>
      </c>
      <c r="F103" s="13">
        <f>'Income Statement'!F5</f>
        <v>26504.52</v>
      </c>
      <c r="G103" s="13">
        <f>'Income Statement'!G5</f>
        <v>30739.15</v>
      </c>
      <c r="I103" s="24"/>
      <c r="J103" s="25"/>
      <c r="K103" s="25"/>
      <c r="L103" s="26"/>
    </row>
    <row r="104" spans="2:12" ht="18.75" x14ac:dyDescent="0.25">
      <c r="B104" s="12" t="str">
        <f>'Balance Sheet'!B66</f>
        <v>Inventories</v>
      </c>
      <c r="C104" s="13">
        <f>'Balance Sheet'!C66</f>
        <v>0</v>
      </c>
      <c r="D104" s="13">
        <f>'Balance Sheet'!D66</f>
        <v>0</v>
      </c>
      <c r="E104" s="13">
        <f>'Balance Sheet'!E66</f>
        <v>0</v>
      </c>
      <c r="F104" s="13">
        <f>'Balance Sheet'!F66</f>
        <v>0</v>
      </c>
      <c r="G104" s="13">
        <f>'Balance Sheet'!G66</f>
        <v>0</v>
      </c>
      <c r="I104" s="27"/>
      <c r="J104" s="28"/>
      <c r="K104" s="28"/>
      <c r="L104" s="29"/>
    </row>
    <row r="105" spans="2:12" ht="19.5" thickBot="1" x14ac:dyDescent="0.3">
      <c r="B105" s="14" t="s">
        <v>184</v>
      </c>
      <c r="C105" s="14" t="e">
        <f>ROUND(C103/C104, 2)</f>
        <v>#DIV/0!</v>
      </c>
      <c r="D105" s="14" t="e">
        <f t="shared" ref="D105:G105" si="21">ROUND(D103/D104, 2)</f>
        <v>#DIV/0!</v>
      </c>
      <c r="E105" s="14" t="e">
        <f t="shared" si="21"/>
        <v>#DIV/0!</v>
      </c>
      <c r="F105" s="14" t="e">
        <f t="shared" si="21"/>
        <v>#DIV/0!</v>
      </c>
      <c r="G105" s="14" t="e">
        <f t="shared" si="21"/>
        <v>#DIV/0!</v>
      </c>
      <c r="I105" s="30"/>
      <c r="J105" s="31"/>
      <c r="K105" s="31"/>
      <c r="L105" s="32"/>
    </row>
    <row r="106" spans="2:12" ht="15.75" thickTop="1" x14ac:dyDescent="0.25"/>
    <row r="107" spans="2:12" ht="19.5" thickBot="1" x14ac:dyDescent="0.3">
      <c r="B107" s="33" t="s">
        <v>185</v>
      </c>
      <c r="C107" s="33"/>
      <c r="D107" s="33"/>
      <c r="E107" s="33"/>
      <c r="F107" s="33"/>
      <c r="G107" s="33"/>
    </row>
    <row r="108" spans="2:12" ht="19.5" thickTop="1" x14ac:dyDescent="0.25">
      <c r="B108" s="12" t="str">
        <f>'Income Statement'!B5</f>
        <v>Gross Sales</v>
      </c>
      <c r="C108" s="13">
        <f>'Income Statement'!C5</f>
        <v>12336.56</v>
      </c>
      <c r="D108" s="13">
        <f>'Income Statement'!D5</f>
        <v>18397.29</v>
      </c>
      <c r="E108" s="13">
        <f>'Income Statement'!E5</f>
        <v>26223.07</v>
      </c>
      <c r="F108" s="13">
        <f>'Income Statement'!F5</f>
        <v>26504.52</v>
      </c>
      <c r="G108" s="13">
        <f>'Income Statement'!G5</f>
        <v>30739.15</v>
      </c>
      <c r="I108" s="24"/>
      <c r="J108" s="25"/>
      <c r="K108" s="25"/>
      <c r="L108" s="26"/>
    </row>
    <row r="109" spans="2:12" ht="18.75" x14ac:dyDescent="0.25">
      <c r="B109" s="12" t="str">
        <f>'Balance Sheet'!B68</f>
        <v>Trade Receivables</v>
      </c>
      <c r="C109" s="13">
        <f>'Balance Sheet'!C68</f>
        <v>34332.18</v>
      </c>
      <c r="D109" s="13">
        <f>'Balance Sheet'!D68</f>
        <v>808.7</v>
      </c>
      <c r="E109" s="13">
        <f>'Balance Sheet'!E68</f>
        <v>952.56</v>
      </c>
      <c r="F109" s="13">
        <f>'Balance Sheet'!F68</f>
        <v>1107.24</v>
      </c>
      <c r="G109" s="13">
        <f>'Balance Sheet'!G68</f>
        <v>1265.8900000000001</v>
      </c>
      <c r="I109" s="27"/>
      <c r="J109" s="28"/>
      <c r="K109" s="28"/>
      <c r="L109" s="29"/>
    </row>
    <row r="110" spans="2:12" ht="19.5" thickBot="1" x14ac:dyDescent="0.3">
      <c r="B110" s="14" t="s">
        <v>186</v>
      </c>
      <c r="C110" s="14">
        <f>ROUND(C108/C109, 2)</f>
        <v>0.36</v>
      </c>
      <c r="D110" s="14">
        <f t="shared" ref="D110:G110" si="22">ROUND(D108/D109, 2)</f>
        <v>22.75</v>
      </c>
      <c r="E110" s="14">
        <f t="shared" si="22"/>
        <v>27.53</v>
      </c>
      <c r="F110" s="14">
        <f t="shared" si="22"/>
        <v>23.94</v>
      </c>
      <c r="G110" s="14">
        <f t="shared" si="22"/>
        <v>24.28</v>
      </c>
      <c r="I110" s="30"/>
      <c r="J110" s="31"/>
      <c r="K110" s="31"/>
      <c r="L110" s="32"/>
    </row>
    <row r="111" spans="2:12" ht="15.75" thickTop="1" x14ac:dyDescent="0.25"/>
    <row r="112" spans="2:12" ht="19.5" thickBot="1" x14ac:dyDescent="0.3">
      <c r="B112" s="33" t="s">
        <v>187</v>
      </c>
      <c r="C112" s="33"/>
      <c r="D112" s="33"/>
      <c r="E112" s="33"/>
      <c r="F112" s="33"/>
      <c r="G112" s="33"/>
    </row>
    <row r="113" spans="2:12" ht="19.5" thickTop="1" x14ac:dyDescent="0.25">
      <c r="B113" s="12" t="str">
        <f>'Income Statement'!B5</f>
        <v>Gross Sales</v>
      </c>
      <c r="C113" s="13">
        <f>'Income Statement'!C5</f>
        <v>12336.56</v>
      </c>
      <c r="D113" s="13">
        <f>'Income Statement'!D5</f>
        <v>18397.29</v>
      </c>
      <c r="E113" s="13">
        <f>'Income Statement'!E5</f>
        <v>26223.07</v>
      </c>
      <c r="F113" s="13">
        <f>'Income Statement'!F5</f>
        <v>26504.52</v>
      </c>
      <c r="G113" s="13">
        <f>'Income Statement'!G5</f>
        <v>30739.15</v>
      </c>
      <c r="I113" s="24"/>
      <c r="J113" s="25"/>
      <c r="K113" s="25"/>
      <c r="L113" s="26"/>
    </row>
    <row r="114" spans="2:12" ht="18.75" x14ac:dyDescent="0.25">
      <c r="B114" s="12" t="str">
        <f>'Balance Sheet'!B40</f>
        <v>Tangible Assets</v>
      </c>
      <c r="C114" s="13">
        <f>'Balance Sheet'!C40</f>
        <v>346.15</v>
      </c>
      <c r="D114" s="13">
        <f>'Balance Sheet'!D40</f>
        <v>526.51</v>
      </c>
      <c r="E114" s="13">
        <f>'Balance Sheet'!E40</f>
        <v>1097.26</v>
      </c>
      <c r="F114" s="13">
        <f>'Balance Sheet'!F40</f>
        <v>1041.69</v>
      </c>
      <c r="G114" s="13">
        <f>'Balance Sheet'!G40</f>
        <v>1747.17</v>
      </c>
      <c r="I114" s="27"/>
      <c r="J114" s="28"/>
      <c r="K114" s="28"/>
      <c r="L114" s="29"/>
    </row>
    <row r="115" spans="2:12" ht="19.5" thickBot="1" x14ac:dyDescent="0.3">
      <c r="B115" s="14" t="s">
        <v>188</v>
      </c>
      <c r="C115" s="14">
        <f>ROUND(C113/C114, 2)</f>
        <v>35.64</v>
      </c>
      <c r="D115" s="14">
        <f t="shared" ref="D115:G115" si="23">ROUND(D113/D114, 2)</f>
        <v>34.94</v>
      </c>
      <c r="E115" s="14">
        <f t="shared" si="23"/>
        <v>23.9</v>
      </c>
      <c r="F115" s="14">
        <f t="shared" si="23"/>
        <v>25.44</v>
      </c>
      <c r="G115" s="14">
        <f t="shared" si="23"/>
        <v>17.59</v>
      </c>
      <c r="I115" s="30"/>
      <c r="J115" s="31"/>
      <c r="K115" s="31"/>
      <c r="L115" s="32"/>
    </row>
    <row r="116" spans="2:12" ht="15.75" thickTop="1" x14ac:dyDescent="0.25"/>
    <row r="117" spans="2:12" ht="19.5" thickBot="1" x14ac:dyDescent="0.3">
      <c r="B117" s="33" t="s">
        <v>189</v>
      </c>
      <c r="C117" s="33"/>
      <c r="D117" s="33"/>
      <c r="E117" s="33"/>
      <c r="F117" s="33"/>
      <c r="G117" s="33"/>
    </row>
    <row r="118" spans="2:12" ht="19.5" thickTop="1" x14ac:dyDescent="0.25">
      <c r="B118" s="12" t="str">
        <f>'Income Statement'!B17</f>
        <v>Cost Of Materials Consumed</v>
      </c>
      <c r="C118" s="13">
        <f>'Income Statement'!C17</f>
        <v>0</v>
      </c>
      <c r="D118" s="13">
        <f>'Income Statement'!D17</f>
        <v>0</v>
      </c>
      <c r="E118" s="13">
        <f>'Income Statement'!E17</f>
        <v>0</v>
      </c>
      <c r="F118" s="13">
        <f>'Income Statement'!F17</f>
        <v>0</v>
      </c>
      <c r="G118" s="13">
        <f>'Income Statement'!G17</f>
        <v>0</v>
      </c>
      <c r="I118" s="24"/>
      <c r="J118" s="25"/>
      <c r="K118" s="25"/>
      <c r="L118" s="26"/>
    </row>
    <row r="119" spans="2:12" ht="18.75" x14ac:dyDescent="0.25">
      <c r="B119" s="12" t="str">
        <f>'Balance Sheet'!B33</f>
        <v>Total Current Liabilities</v>
      </c>
      <c r="C119" s="13">
        <f>'Balance Sheet'!C33</f>
        <v>13625.27</v>
      </c>
      <c r="D119" s="13">
        <f>'Balance Sheet'!D33</f>
        <v>2947.6400000000003</v>
      </c>
      <c r="E119" s="13">
        <f>'Balance Sheet'!E33</f>
        <v>2257.0699999999997</v>
      </c>
      <c r="F119" s="13">
        <f>'Balance Sheet'!F33</f>
        <v>2963.08</v>
      </c>
      <c r="G119" s="13">
        <f>'Balance Sheet'!G33</f>
        <v>83629.59</v>
      </c>
      <c r="I119" s="27"/>
      <c r="J119" s="28"/>
      <c r="K119" s="28"/>
      <c r="L119" s="29"/>
    </row>
    <row r="120" spans="2:12" ht="19.5" thickBot="1" x14ac:dyDescent="0.3">
      <c r="B120" s="14" t="s">
        <v>190</v>
      </c>
      <c r="C120" s="14">
        <f>ROUND(C118/C119, 2)</f>
        <v>0</v>
      </c>
      <c r="D120" s="14">
        <f t="shared" ref="D120:G120" si="24">ROUND(D118/D119, 2)</f>
        <v>0</v>
      </c>
      <c r="E120" s="14">
        <f t="shared" si="24"/>
        <v>0</v>
      </c>
      <c r="F120" s="14">
        <f t="shared" si="24"/>
        <v>0</v>
      </c>
      <c r="G120" s="14">
        <f t="shared" si="24"/>
        <v>0</v>
      </c>
      <c r="I120" s="30"/>
      <c r="J120" s="31"/>
      <c r="K120" s="31"/>
      <c r="L120" s="32"/>
    </row>
    <row r="121" spans="2:12" ht="15.75" thickTop="1" x14ac:dyDescent="0.25"/>
    <row r="122" spans="2:12" ht="19.5" thickBot="1" x14ac:dyDescent="0.3">
      <c r="B122" s="33" t="s">
        <v>191</v>
      </c>
      <c r="C122" s="33"/>
      <c r="D122" s="33"/>
      <c r="E122" s="33"/>
      <c r="F122" s="33"/>
      <c r="G122" s="33"/>
    </row>
    <row r="123" spans="2:12" ht="19.5" thickTop="1" x14ac:dyDescent="0.25">
      <c r="B123" s="12" t="str">
        <f>'Income Statement'!B5</f>
        <v>Gross Sales</v>
      </c>
      <c r="C123" s="13">
        <f>'Income Statement'!C5</f>
        <v>12336.56</v>
      </c>
      <c r="D123" s="13">
        <f>'Income Statement'!D5</f>
        <v>18397.29</v>
      </c>
      <c r="E123" s="13">
        <f>'Income Statement'!E5</f>
        <v>26223.07</v>
      </c>
      <c r="F123" s="13">
        <f>'Income Statement'!F5</f>
        <v>26504.52</v>
      </c>
      <c r="G123" s="13">
        <f>'Income Statement'!G5</f>
        <v>30739.15</v>
      </c>
      <c r="I123" s="24"/>
      <c r="J123" s="25"/>
      <c r="K123" s="25"/>
      <c r="L123" s="26"/>
    </row>
    <row r="124" spans="2:12" ht="18.75" x14ac:dyDescent="0.25">
      <c r="B124" s="12" t="str">
        <f>'Balance Sheet'!B66</f>
        <v>Inventories</v>
      </c>
      <c r="C124" s="13">
        <f>'Balance Sheet'!C66</f>
        <v>0</v>
      </c>
      <c r="D124" s="13">
        <f>'Balance Sheet'!D66</f>
        <v>0</v>
      </c>
      <c r="E124" s="13">
        <f>'Balance Sheet'!E66</f>
        <v>0</v>
      </c>
      <c r="F124" s="13">
        <f>'Balance Sheet'!F66</f>
        <v>0</v>
      </c>
      <c r="G124" s="13">
        <f>'Balance Sheet'!G66</f>
        <v>0</v>
      </c>
      <c r="I124" s="27"/>
      <c r="J124" s="28"/>
      <c r="K124" s="28"/>
      <c r="L124" s="29"/>
    </row>
    <row r="125" spans="2:12" ht="19.5" thickBot="1" x14ac:dyDescent="0.3">
      <c r="B125" s="14" t="s">
        <v>192</v>
      </c>
      <c r="C125" s="14">
        <f>ROUND(365/C123*C124, 2)</f>
        <v>0</v>
      </c>
      <c r="D125" s="14">
        <f t="shared" ref="D125:G125" si="25">ROUND(365/D123*D124, 2)</f>
        <v>0</v>
      </c>
      <c r="E125" s="14">
        <f t="shared" si="25"/>
        <v>0</v>
      </c>
      <c r="F125" s="14">
        <f t="shared" si="25"/>
        <v>0</v>
      </c>
      <c r="G125" s="14">
        <f t="shared" si="25"/>
        <v>0</v>
      </c>
      <c r="I125" s="30"/>
      <c r="J125" s="31"/>
      <c r="K125" s="31"/>
      <c r="L125" s="32"/>
    </row>
    <row r="126" spans="2:12" ht="15.75" thickTop="1" x14ac:dyDescent="0.25"/>
    <row r="127" spans="2:12" ht="19.5" thickBot="1" x14ac:dyDescent="0.3">
      <c r="B127" s="33" t="s">
        <v>193</v>
      </c>
      <c r="C127" s="33"/>
      <c r="D127" s="33"/>
      <c r="E127" s="33"/>
      <c r="F127" s="33"/>
      <c r="G127" s="33"/>
    </row>
    <row r="128" spans="2:12" ht="19.5" thickTop="1" x14ac:dyDescent="0.25">
      <c r="B128" s="12" t="str">
        <f>'Income Statement'!B17</f>
        <v>Cost Of Materials Consumed</v>
      </c>
      <c r="C128" s="13">
        <f>'Income Statement'!C17</f>
        <v>0</v>
      </c>
      <c r="D128" s="13">
        <f>'Income Statement'!D17</f>
        <v>0</v>
      </c>
      <c r="E128" s="13">
        <f>'Income Statement'!E17</f>
        <v>0</v>
      </c>
      <c r="F128" s="13">
        <f>'Income Statement'!F17</f>
        <v>0</v>
      </c>
      <c r="G128" s="13">
        <f>'Income Statement'!G17</f>
        <v>0</v>
      </c>
      <c r="I128" s="24"/>
      <c r="J128" s="25"/>
      <c r="K128" s="25"/>
      <c r="L128" s="26"/>
    </row>
    <row r="129" spans="2:12" ht="18.75" x14ac:dyDescent="0.25">
      <c r="B129" s="12" t="str">
        <f>'Balance Sheet'!B33</f>
        <v>Total Current Liabilities</v>
      </c>
      <c r="C129" s="13">
        <f>'Balance Sheet'!C33</f>
        <v>13625.27</v>
      </c>
      <c r="D129" s="13">
        <f>'Balance Sheet'!D33</f>
        <v>2947.6400000000003</v>
      </c>
      <c r="E129" s="13">
        <f>'Balance Sheet'!E33</f>
        <v>2257.0699999999997</v>
      </c>
      <c r="F129" s="13">
        <f>'Balance Sheet'!F33</f>
        <v>2963.08</v>
      </c>
      <c r="G129" s="13">
        <f>'Balance Sheet'!G33</f>
        <v>83629.59</v>
      </c>
      <c r="I129" s="27"/>
      <c r="J129" s="28"/>
      <c r="K129" s="28"/>
      <c r="L129" s="29"/>
    </row>
    <row r="130" spans="2:12" ht="19.5" thickBot="1" x14ac:dyDescent="0.3">
      <c r="B130" s="14" t="s">
        <v>194</v>
      </c>
      <c r="C130" s="14" t="e">
        <f>ROUND(365/C128*C129, 2)</f>
        <v>#DIV/0!</v>
      </c>
      <c r="D130" s="14" t="e">
        <f t="shared" ref="D130:G130" si="26">ROUND(365/D128*D129, 2)</f>
        <v>#DIV/0!</v>
      </c>
      <c r="E130" s="14" t="e">
        <f t="shared" si="26"/>
        <v>#DIV/0!</v>
      </c>
      <c r="F130" s="14" t="e">
        <f t="shared" si="26"/>
        <v>#DIV/0!</v>
      </c>
      <c r="G130" s="14" t="e">
        <f t="shared" si="26"/>
        <v>#DIV/0!</v>
      </c>
      <c r="I130" s="30"/>
      <c r="J130" s="31"/>
      <c r="K130" s="31"/>
      <c r="L130" s="32"/>
    </row>
    <row r="131" spans="2:12" ht="15.75" thickTop="1" x14ac:dyDescent="0.25"/>
    <row r="132" spans="2:12" ht="19.5" thickBot="1" x14ac:dyDescent="0.3">
      <c r="B132" s="33" t="s">
        <v>195</v>
      </c>
      <c r="C132" s="33"/>
      <c r="D132" s="33"/>
      <c r="E132" s="33"/>
      <c r="F132" s="33"/>
      <c r="G132" s="33"/>
    </row>
    <row r="133" spans="2:12" ht="19.5" thickTop="1" x14ac:dyDescent="0.25">
      <c r="B133" s="12" t="str">
        <f>'Income Statement'!B5</f>
        <v>Gross Sales</v>
      </c>
      <c r="C133" s="13">
        <f>'Income Statement'!C5</f>
        <v>12336.56</v>
      </c>
      <c r="D133" s="13">
        <f>'Income Statement'!D5</f>
        <v>18397.29</v>
      </c>
      <c r="E133" s="13">
        <f>'Income Statement'!E5</f>
        <v>26223.07</v>
      </c>
      <c r="F133" s="13">
        <f>'Income Statement'!F5</f>
        <v>26504.52</v>
      </c>
      <c r="G133" s="13">
        <f>'Income Statement'!G5</f>
        <v>30739.15</v>
      </c>
      <c r="I133" s="24"/>
      <c r="J133" s="25"/>
      <c r="K133" s="25"/>
      <c r="L133" s="26"/>
    </row>
    <row r="134" spans="2:12" ht="18.75" x14ac:dyDescent="0.25">
      <c r="B134" s="12" t="str">
        <f>'Balance Sheet'!B68</f>
        <v>Trade Receivables</v>
      </c>
      <c r="C134" s="13">
        <f>'Balance Sheet'!C68</f>
        <v>34332.18</v>
      </c>
      <c r="D134" s="13">
        <f>'Balance Sheet'!D68</f>
        <v>808.7</v>
      </c>
      <c r="E134" s="13">
        <f>'Balance Sheet'!E68</f>
        <v>952.56</v>
      </c>
      <c r="F134" s="13">
        <f>'Balance Sheet'!F68</f>
        <v>1107.24</v>
      </c>
      <c r="G134" s="13">
        <f>'Balance Sheet'!G68</f>
        <v>1265.8900000000001</v>
      </c>
      <c r="I134" s="27"/>
      <c r="J134" s="28"/>
      <c r="K134" s="28"/>
      <c r="L134" s="29"/>
    </row>
    <row r="135" spans="2:12" ht="19.5" thickBot="1" x14ac:dyDescent="0.3">
      <c r="B135" s="14" t="s">
        <v>196</v>
      </c>
      <c r="C135" s="14">
        <f>ROUND(365/C133*C134, 2)</f>
        <v>1015.78</v>
      </c>
      <c r="D135" s="14">
        <f t="shared" ref="D135:G135" si="27">ROUND(365/D133*D134, 2)</f>
        <v>16.04</v>
      </c>
      <c r="E135" s="14">
        <f t="shared" si="27"/>
        <v>13.26</v>
      </c>
      <c r="F135" s="14">
        <f t="shared" si="27"/>
        <v>15.25</v>
      </c>
      <c r="G135" s="14">
        <f t="shared" si="27"/>
        <v>15.03</v>
      </c>
      <c r="I135" s="30"/>
      <c r="J135" s="31"/>
      <c r="K135" s="31"/>
      <c r="L135" s="32"/>
    </row>
    <row r="136" spans="2:12" ht="15.75" thickTop="1" x14ac:dyDescent="0.25"/>
    <row r="137" spans="2:12" ht="18.75" x14ac:dyDescent="0.25">
      <c r="B137" s="33" t="s">
        <v>197</v>
      </c>
      <c r="C137" s="33"/>
      <c r="D137" s="33"/>
      <c r="E137" s="33"/>
      <c r="F137" s="33"/>
      <c r="G137" s="33"/>
    </row>
    <row r="138" spans="2:12" ht="18.75" x14ac:dyDescent="0.25">
      <c r="B138" s="12" t="str">
        <f>'Income Statement'!B5</f>
        <v>Gross Sales</v>
      </c>
      <c r="C138" s="13">
        <f>'Income Statement'!C5</f>
        <v>12336.56</v>
      </c>
      <c r="D138" s="13">
        <f>'Income Statement'!D5</f>
        <v>18397.29</v>
      </c>
      <c r="E138" s="13">
        <f>'Income Statement'!E5</f>
        <v>26223.07</v>
      </c>
      <c r="F138" s="13">
        <f>'Income Statement'!F5</f>
        <v>26504.52</v>
      </c>
      <c r="G138" s="13">
        <f>'Income Statement'!G5</f>
        <v>30739.15</v>
      </c>
    </row>
    <row r="139" spans="2:12" ht="18.75" x14ac:dyDescent="0.25">
      <c r="B139" s="12" t="str">
        <f>'Balance Sheet'!B66</f>
        <v>Inventories</v>
      </c>
      <c r="C139" s="13">
        <f>'Balance Sheet'!C66</f>
        <v>0</v>
      </c>
      <c r="D139" s="13">
        <f>'Balance Sheet'!D66</f>
        <v>0</v>
      </c>
      <c r="E139" s="13">
        <f>'Balance Sheet'!E66</f>
        <v>0</v>
      </c>
      <c r="F139" s="13">
        <f>'Balance Sheet'!F66</f>
        <v>0</v>
      </c>
      <c r="G139" s="13">
        <f>'Balance Sheet'!G66</f>
        <v>0</v>
      </c>
    </row>
    <row r="140" spans="2:12" ht="18.75" x14ac:dyDescent="0.25">
      <c r="B140" s="12" t="s">
        <v>192</v>
      </c>
      <c r="C140" s="13">
        <f>ROUND(365/C138*C139, 2)</f>
        <v>0</v>
      </c>
      <c r="D140" s="13">
        <f t="shared" ref="D140:G140" si="28">ROUND(365/D138*D139, 2)</f>
        <v>0</v>
      </c>
      <c r="E140" s="13">
        <f t="shared" si="28"/>
        <v>0</v>
      </c>
      <c r="F140" s="13">
        <f t="shared" si="28"/>
        <v>0</v>
      </c>
      <c r="G140" s="13">
        <f t="shared" si="28"/>
        <v>0</v>
      </c>
    </row>
    <row r="141" spans="2:12" ht="19.5" thickBot="1" x14ac:dyDescent="0.3">
      <c r="B141" s="12" t="str">
        <f>'Income Statement'!B17</f>
        <v>Cost Of Materials Consumed</v>
      </c>
      <c r="C141" s="13">
        <f>'Income Statement'!C17</f>
        <v>0</v>
      </c>
      <c r="D141" s="13">
        <f>'Income Statement'!D17</f>
        <v>0</v>
      </c>
      <c r="E141" s="13">
        <f>'Income Statement'!E17</f>
        <v>0</v>
      </c>
      <c r="F141" s="13">
        <f>'Income Statement'!F17</f>
        <v>0</v>
      </c>
      <c r="G141" s="13">
        <f>'Income Statement'!G17</f>
        <v>0</v>
      </c>
    </row>
    <row r="142" spans="2:12" ht="19.5" thickTop="1" x14ac:dyDescent="0.25">
      <c r="B142" s="12" t="str">
        <f>'Balance Sheet'!B33</f>
        <v>Total Current Liabilities</v>
      </c>
      <c r="C142" s="13">
        <f>'Balance Sheet'!C33</f>
        <v>13625.27</v>
      </c>
      <c r="D142" s="13">
        <f>'Balance Sheet'!D33</f>
        <v>2947.6400000000003</v>
      </c>
      <c r="E142" s="13">
        <f>'Balance Sheet'!E33</f>
        <v>2257.0699999999997</v>
      </c>
      <c r="F142" s="13">
        <f>'Balance Sheet'!F33</f>
        <v>2963.08</v>
      </c>
      <c r="G142" s="13">
        <f>'Balance Sheet'!G33</f>
        <v>83629.59</v>
      </c>
      <c r="I142" s="24"/>
      <c r="J142" s="25"/>
      <c r="K142" s="25"/>
      <c r="L142" s="26"/>
    </row>
    <row r="143" spans="2:12" ht="18.75" x14ac:dyDescent="0.25">
      <c r="B143" s="12" t="s">
        <v>194</v>
      </c>
      <c r="C143" s="13" t="e">
        <f>ROUND(365/C141*C142, 2)</f>
        <v>#DIV/0!</v>
      </c>
      <c r="D143" s="13" t="e">
        <f t="shared" ref="D143:G143" si="29">ROUND(365/D141*D142, 2)</f>
        <v>#DIV/0!</v>
      </c>
      <c r="E143" s="13" t="e">
        <f t="shared" si="29"/>
        <v>#DIV/0!</v>
      </c>
      <c r="F143" s="13" t="e">
        <f t="shared" si="29"/>
        <v>#DIV/0!</v>
      </c>
      <c r="G143" s="13" t="e">
        <f t="shared" si="29"/>
        <v>#DIV/0!</v>
      </c>
      <c r="I143" s="27"/>
      <c r="J143" s="28"/>
      <c r="K143" s="28"/>
      <c r="L143" s="29"/>
    </row>
    <row r="144" spans="2:12" ht="19.5" thickBot="1" x14ac:dyDescent="0.3">
      <c r="B144" s="14" t="s">
        <v>198</v>
      </c>
      <c r="C144" s="16" t="e">
        <f>ROUND(C143+C140, 2)</f>
        <v>#DIV/0!</v>
      </c>
      <c r="D144" s="16" t="e">
        <f t="shared" ref="D144:G144" si="30">ROUND(D143+D140, 2)</f>
        <v>#DIV/0!</v>
      </c>
      <c r="E144" s="16" t="e">
        <f t="shared" si="30"/>
        <v>#DIV/0!</v>
      </c>
      <c r="F144" s="16" t="e">
        <f t="shared" si="30"/>
        <v>#DIV/0!</v>
      </c>
      <c r="G144" s="16" t="e">
        <f t="shared" si="30"/>
        <v>#DIV/0!</v>
      </c>
      <c r="I144" s="30"/>
      <c r="J144" s="31"/>
      <c r="K144" s="31"/>
      <c r="L144" s="32"/>
    </row>
    <row r="145" spans="2:12" ht="15.75" thickTop="1" x14ac:dyDescent="0.25"/>
    <row r="146" spans="2:12" ht="18.75" x14ac:dyDescent="0.25">
      <c r="B146" s="33" t="s">
        <v>199</v>
      </c>
      <c r="C146" s="33"/>
      <c r="D146" s="33"/>
      <c r="E146" s="33"/>
      <c r="F146" s="33"/>
      <c r="G146" s="33"/>
    </row>
    <row r="147" spans="2:12" ht="18.75" x14ac:dyDescent="0.25">
      <c r="B147" s="12" t="str">
        <f>'Income Statement'!B5</f>
        <v>Gross Sales</v>
      </c>
      <c r="C147" s="13">
        <f>'Income Statement'!C5</f>
        <v>12336.56</v>
      </c>
      <c r="D147" s="13">
        <f>'Income Statement'!D5</f>
        <v>18397.29</v>
      </c>
      <c r="E147" s="13">
        <f>'Income Statement'!E5</f>
        <v>26223.07</v>
      </c>
      <c r="F147" s="13">
        <f>'Income Statement'!F5</f>
        <v>26504.52</v>
      </c>
      <c r="G147" s="13">
        <f>'Income Statement'!G5</f>
        <v>30739.15</v>
      </c>
    </row>
    <row r="148" spans="2:12" ht="18.75" x14ac:dyDescent="0.25">
      <c r="B148" s="12" t="str">
        <f>'Balance Sheet'!B66</f>
        <v>Inventories</v>
      </c>
      <c r="C148" s="13">
        <f>'Balance Sheet'!C66</f>
        <v>0</v>
      </c>
      <c r="D148" s="13">
        <f>'Balance Sheet'!D66</f>
        <v>0</v>
      </c>
      <c r="E148" s="13">
        <f>'Balance Sheet'!E66</f>
        <v>0</v>
      </c>
      <c r="F148" s="13">
        <f>'Balance Sheet'!F66</f>
        <v>0</v>
      </c>
      <c r="G148" s="13">
        <f>'Balance Sheet'!G66</f>
        <v>0</v>
      </c>
    </row>
    <row r="149" spans="2:12" ht="18.75" x14ac:dyDescent="0.25">
      <c r="B149" s="12" t="s">
        <v>192</v>
      </c>
      <c r="C149" s="13">
        <f>ROUND(365/C147*C148, 2)</f>
        <v>0</v>
      </c>
      <c r="D149" s="13">
        <f t="shared" ref="D149:G149" si="31">ROUND(365/D147*D148, 2)</f>
        <v>0</v>
      </c>
      <c r="E149" s="13">
        <f t="shared" si="31"/>
        <v>0</v>
      </c>
      <c r="F149" s="13">
        <f t="shared" si="31"/>
        <v>0</v>
      </c>
      <c r="G149" s="13">
        <f t="shared" si="31"/>
        <v>0</v>
      </c>
    </row>
    <row r="150" spans="2:12" ht="18.75" x14ac:dyDescent="0.25">
      <c r="B150" s="12" t="str">
        <f>'Income Statement'!B17</f>
        <v>Cost Of Materials Consumed</v>
      </c>
      <c r="C150" s="13">
        <f>'Income Statement'!C17</f>
        <v>0</v>
      </c>
      <c r="D150" s="13">
        <f>'Income Statement'!D17</f>
        <v>0</v>
      </c>
      <c r="E150" s="13">
        <f>'Income Statement'!E17</f>
        <v>0</v>
      </c>
      <c r="F150" s="13">
        <f>'Income Statement'!F17</f>
        <v>0</v>
      </c>
      <c r="G150" s="13">
        <f>'Income Statement'!G17</f>
        <v>0</v>
      </c>
    </row>
    <row r="151" spans="2:12" ht="18.75" x14ac:dyDescent="0.25">
      <c r="B151" s="12" t="str">
        <f>'Balance Sheet'!B33</f>
        <v>Total Current Liabilities</v>
      </c>
      <c r="C151" s="13">
        <f>'Balance Sheet'!C33</f>
        <v>13625.27</v>
      </c>
      <c r="D151" s="13">
        <f>'Balance Sheet'!D33</f>
        <v>2947.6400000000003</v>
      </c>
      <c r="E151" s="13">
        <f>'Balance Sheet'!E33</f>
        <v>2257.0699999999997</v>
      </c>
      <c r="F151" s="13">
        <f>'Balance Sheet'!F33</f>
        <v>2963.08</v>
      </c>
      <c r="G151" s="13">
        <f>'Balance Sheet'!G33</f>
        <v>83629.59</v>
      </c>
    </row>
    <row r="152" spans="2:12" ht="18.75" x14ac:dyDescent="0.25">
      <c r="B152" s="12" t="s">
        <v>194</v>
      </c>
      <c r="C152" s="13" t="e">
        <f>ROUND(365/C150*C151, 2)</f>
        <v>#DIV/0!</v>
      </c>
      <c r="D152" s="13" t="e">
        <f t="shared" ref="D152:G152" si="32">ROUND(365/D150*D151, 2)</f>
        <v>#DIV/0!</v>
      </c>
      <c r="E152" s="13" t="e">
        <f t="shared" si="32"/>
        <v>#DIV/0!</v>
      </c>
      <c r="F152" s="13" t="e">
        <f t="shared" si="32"/>
        <v>#DIV/0!</v>
      </c>
      <c r="G152" s="13" t="e">
        <f t="shared" si="32"/>
        <v>#DIV/0!</v>
      </c>
    </row>
    <row r="153" spans="2:12" ht="18.75" x14ac:dyDescent="0.25">
      <c r="B153" s="12" t="s">
        <v>200</v>
      </c>
      <c r="C153" s="13" t="e">
        <f>ROUND(C152+C149, 2)</f>
        <v>#DIV/0!</v>
      </c>
      <c r="D153" s="13" t="e">
        <f t="shared" ref="D153:G153" si="33">ROUND(D152+D149, 2)</f>
        <v>#DIV/0!</v>
      </c>
      <c r="E153" s="13" t="e">
        <f t="shared" si="33"/>
        <v>#DIV/0!</v>
      </c>
      <c r="F153" s="13" t="e">
        <f t="shared" si="33"/>
        <v>#DIV/0!</v>
      </c>
      <c r="G153" s="13" t="e">
        <f t="shared" si="33"/>
        <v>#DIV/0!</v>
      </c>
    </row>
    <row r="154" spans="2:12" ht="19.5" thickBot="1" x14ac:dyDescent="0.3">
      <c r="B154" s="12" t="str">
        <f>'Income Statement'!B17</f>
        <v>Cost Of Materials Consumed</v>
      </c>
      <c r="C154" s="13">
        <f>'Income Statement'!C17</f>
        <v>0</v>
      </c>
      <c r="D154" s="13">
        <f>'Income Statement'!D17</f>
        <v>0</v>
      </c>
      <c r="E154" s="13">
        <f>'Income Statement'!E17</f>
        <v>0</v>
      </c>
      <c r="F154" s="13">
        <f>'Income Statement'!F17</f>
        <v>0</v>
      </c>
      <c r="G154" s="13">
        <f>'Income Statement'!G17</f>
        <v>0</v>
      </c>
    </row>
    <row r="155" spans="2:12" ht="19.5" thickTop="1" x14ac:dyDescent="0.25">
      <c r="B155" s="12" t="str">
        <f>'Balance Sheet'!B33</f>
        <v>Total Current Liabilities</v>
      </c>
      <c r="C155" s="13">
        <f>'Balance Sheet'!C33</f>
        <v>13625.27</v>
      </c>
      <c r="D155" s="13">
        <f>'Balance Sheet'!D33</f>
        <v>2947.6400000000003</v>
      </c>
      <c r="E155" s="13">
        <f>'Balance Sheet'!E33</f>
        <v>2257.0699999999997</v>
      </c>
      <c r="F155" s="13">
        <f>'Balance Sheet'!F33</f>
        <v>2963.08</v>
      </c>
      <c r="G155" s="13">
        <f>'Balance Sheet'!G33</f>
        <v>83629.59</v>
      </c>
      <c r="I155" s="24"/>
      <c r="J155" s="25"/>
      <c r="K155" s="25"/>
      <c r="L155" s="26"/>
    </row>
    <row r="156" spans="2:12" ht="18.75" x14ac:dyDescent="0.25">
      <c r="B156" s="12" t="s">
        <v>194</v>
      </c>
      <c r="C156" s="13" t="e">
        <f>ROUND(365/C154*C155, 2)</f>
        <v>#DIV/0!</v>
      </c>
      <c r="D156" s="13" t="e">
        <f t="shared" ref="D156:G156" si="34">ROUND(365/D154*D155, 2)</f>
        <v>#DIV/0!</v>
      </c>
      <c r="E156" s="13" t="e">
        <f t="shared" si="34"/>
        <v>#DIV/0!</v>
      </c>
      <c r="F156" s="13" t="e">
        <f t="shared" si="34"/>
        <v>#DIV/0!</v>
      </c>
      <c r="G156" s="13" t="e">
        <f t="shared" si="34"/>
        <v>#DIV/0!</v>
      </c>
      <c r="I156" s="27"/>
      <c r="J156" s="28"/>
      <c r="K156" s="28"/>
      <c r="L156" s="29"/>
    </row>
    <row r="157" spans="2:12" ht="19.5" thickBot="1" x14ac:dyDescent="0.3">
      <c r="B157" s="14" t="s">
        <v>201</v>
      </c>
      <c r="C157" s="16" t="e">
        <f>ROUND(C156-C153, 2)</f>
        <v>#DIV/0!</v>
      </c>
      <c r="D157" s="16" t="e">
        <f t="shared" ref="D157:G157" si="35">ROUND(D156-D153, 2)</f>
        <v>#DIV/0!</v>
      </c>
      <c r="E157" s="16" t="e">
        <f t="shared" si="35"/>
        <v>#DIV/0!</v>
      </c>
      <c r="F157" s="16" t="e">
        <f t="shared" si="35"/>
        <v>#DIV/0!</v>
      </c>
      <c r="G157" s="16" t="e">
        <f t="shared" si="35"/>
        <v>#DIV/0!</v>
      </c>
      <c r="I157" s="30"/>
      <c r="J157" s="31"/>
      <c r="K157" s="31"/>
      <c r="L157" s="32"/>
    </row>
    <row r="158" spans="2:12" ht="15.75" thickTop="1" x14ac:dyDescent="0.25"/>
  </sheetData>
  <mergeCells count="54"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16:L18"/>
    <mergeCell ref="B5:G5"/>
    <mergeCell ref="I6:L8"/>
    <mergeCell ref="B10:G10"/>
    <mergeCell ref="I11:L13"/>
    <mergeCell ref="B15:G1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3001CDC4-F820-4246-9DCD-F052A70C1D9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936D4D16-69A9-4F7D-AD1B-9A2DF305C05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4C802961-57C6-44A5-A4AA-5B12A16A568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1936319C-ED6D-46C6-B770-C647A23E25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8143F63B-9C24-417D-A6B3-7EAD4DF36D2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8CBDA33B-BE5C-4082-88FB-D60450C633E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7C48F84C-14F1-45A4-A4B3-8D8BF5DC60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9345A08C-961A-4613-9575-F254B22676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04CC1DC3-82F5-40B8-9758-C7D82EEC953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E8FC23DD-1DEB-4ABD-BCC7-E8471632BB9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78564C52-633E-48F6-A716-8F34EDCCDB1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B32347A5-5D49-420B-B2DD-A372174B3C4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0A352F75-3733-48F8-9B11-5E6A0A7C40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CB5E8029-BB27-40BC-BAE8-734DDCA2504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8356B4D6-A4D1-4766-BB1A-D17F4794789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EC9992D1-2011-4AD3-8F71-4CC65DC1665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2A0296B7-14F2-4AF6-B747-9C405D61AA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DF870FCE-B249-46AC-BFB6-F096913B3F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BEB40B95-6496-4642-B228-342043127E8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0A8CA2E4-A277-45F9-9A80-121B273C228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2D130620-0D1F-4B89-B427-8894695E2B2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BDA2E63E-44BC-45B0-AA5D-C81354E877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7F737092-23BF-4148-B230-C443D13F024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70B20788-8320-4C58-A74C-5B27B81E763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D6F0E5CE-026D-44BC-8F46-5867D52067B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52D95DB9-D9FA-4CBF-9E54-076C7F07F3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73E59D48-ACA5-41F2-8903-BEA7C2CED2C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6E6A5-04B2-4246-B727-75FF43DCCF4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145</v>
      </c>
      <c r="C5" s="33"/>
      <c r="D5" s="33"/>
      <c r="E5" s="33"/>
      <c r="F5" s="33"/>
      <c r="G5" s="33"/>
    </row>
    <row r="6" spans="2:7" ht="18.75" x14ac:dyDescent="0.25">
      <c r="B6" s="12" t="str">
        <f>'Income Statement'!B49</f>
        <v>Reported Net Profit(PAT)</v>
      </c>
      <c r="C6" s="13">
        <f>'Income Statement'!C49</f>
        <v>2614.8219348991934</v>
      </c>
      <c r="D6" s="13">
        <f>'Income Statement'!D49</f>
        <v>5407.4907088000482</v>
      </c>
      <c r="E6" s="13">
        <f>'Income Statement'!E49</f>
        <v>9043.5304526548571</v>
      </c>
      <c r="F6" s="13">
        <f>'Income Statement'!F49</f>
        <v>10225.820564054737</v>
      </c>
      <c r="G6" s="13">
        <f>'Income Statement'!G49</f>
        <v>10939.360259929119</v>
      </c>
    </row>
    <row r="7" spans="2:7" ht="18.75" x14ac:dyDescent="0.25">
      <c r="B7" s="12" t="str">
        <f>'Income Statement'!B61</f>
        <v>Total Shares Outstanding(cr)</v>
      </c>
      <c r="C7" s="13">
        <f>'Income Statement'!C61</f>
        <v>54.475456977066528</v>
      </c>
      <c r="D7" s="13">
        <f>'Income Statement'!D61</f>
        <v>78.369430562319536</v>
      </c>
      <c r="E7" s="13">
        <f>'Income Statement'!E61</f>
        <v>100.48367169616508</v>
      </c>
      <c r="F7" s="13">
        <f>'Income Statement'!F61</f>
        <v>138.18676437911807</v>
      </c>
      <c r="G7" s="13">
        <f>'Income Statement'!G61</f>
        <v>93.498805640419818</v>
      </c>
    </row>
    <row r="8" spans="2:7" ht="18.75" x14ac:dyDescent="0.25">
      <c r="B8" s="14" t="s">
        <v>146</v>
      </c>
      <c r="C8" s="14">
        <f>ROUND(C6/C7, 2)</f>
        <v>48</v>
      </c>
      <c r="D8" s="14">
        <f t="shared" ref="D8:G8" si="0">ROUND(D6/D7, 2)</f>
        <v>69</v>
      </c>
      <c r="E8" s="14">
        <f t="shared" si="0"/>
        <v>90</v>
      </c>
      <c r="F8" s="14">
        <f t="shared" si="0"/>
        <v>74</v>
      </c>
      <c r="G8" s="14">
        <f t="shared" si="0"/>
        <v>117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EEF7D-5FAC-4D00-8B7B-21EB90F5CA1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0" bestFit="1" customWidth="1"/>
    <col min="7" max="7" width="8.425781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147</v>
      </c>
      <c r="C5" s="33"/>
      <c r="D5" s="33"/>
      <c r="E5" s="33"/>
      <c r="F5" s="33"/>
      <c r="G5" s="33"/>
    </row>
    <row r="6" spans="2:7" ht="18.75" x14ac:dyDescent="0.25">
      <c r="B6" s="12" t="str">
        <f>'Income Statement'!B51</f>
        <v>Equity Share Dividend</v>
      </c>
      <c r="C6" s="13">
        <f>'Income Statement'!C51</f>
        <v>197.96</v>
      </c>
      <c r="D6" s="13">
        <f>'Income Statement'!D51</f>
        <v>231.19</v>
      </c>
      <c r="E6" s="13">
        <f>'Income Statement'!E51</f>
        <v>949.63</v>
      </c>
      <c r="F6" s="13">
        <f>'Income Statement'!F51</f>
        <v>0</v>
      </c>
      <c r="G6" s="13">
        <f>'Income Statement'!G51</f>
        <v>0</v>
      </c>
    </row>
    <row r="7" spans="2:7" ht="18.75" x14ac:dyDescent="0.25">
      <c r="B7" s="12" t="str">
        <f>'Income Statement'!B61</f>
        <v>Total Shares Outstanding(cr)</v>
      </c>
      <c r="C7" s="13">
        <f>'Income Statement'!C61</f>
        <v>54.475456977066528</v>
      </c>
      <c r="D7" s="13">
        <f>'Income Statement'!D61</f>
        <v>78.369430562319536</v>
      </c>
      <c r="E7" s="13">
        <f>'Income Statement'!E61</f>
        <v>100.48367169616508</v>
      </c>
      <c r="F7" s="13">
        <f>'Income Statement'!F61</f>
        <v>138.18676437911807</v>
      </c>
      <c r="G7" s="13">
        <f>'Income Statement'!G61</f>
        <v>93.498805640419818</v>
      </c>
    </row>
    <row r="8" spans="2:7" ht="18.75" x14ac:dyDescent="0.25">
      <c r="B8" s="14" t="s">
        <v>148</v>
      </c>
      <c r="C8" s="14">
        <f>ROUND(C6/C7, 2)</f>
        <v>3.63</v>
      </c>
      <c r="D8" s="14">
        <f t="shared" ref="D8:G8" si="0">ROUND(D6/D7, 2)</f>
        <v>2.95</v>
      </c>
      <c r="E8" s="14">
        <f t="shared" si="0"/>
        <v>9.4499999999999993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1457E-181F-4B8E-B859-543521994C8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7" ht="18.75" x14ac:dyDescent="0.25">
      <c r="B5" s="33" t="s">
        <v>149</v>
      </c>
      <c r="C5" s="33"/>
      <c r="D5" s="33"/>
      <c r="E5" s="33"/>
      <c r="F5" s="33"/>
      <c r="G5" s="33"/>
    </row>
    <row r="6" spans="2:7" ht="18.75" x14ac:dyDescent="0.25">
      <c r="B6" s="12" t="str">
        <f>'Balance Sheet'!B13</f>
        <v>Net Worth</v>
      </c>
      <c r="C6" s="13">
        <f>'Balance Sheet'!C13</f>
        <v>16545.649999999998</v>
      </c>
      <c r="D6" s="13">
        <f>'Balance Sheet'!D13</f>
        <v>21674.770708800046</v>
      </c>
      <c r="E6" s="13">
        <f>'Balance Sheet'!E13</f>
        <v>29578.091161454908</v>
      </c>
      <c r="F6" s="13">
        <f>'Balance Sheet'!F13</f>
        <v>39804.241725509644</v>
      </c>
      <c r="G6" s="13">
        <f>'Balance Sheet'!G13</f>
        <v>50743.941985438767</v>
      </c>
    </row>
    <row r="7" spans="2:7" ht="18.75" x14ac:dyDescent="0.25">
      <c r="B7" s="12" t="str">
        <f>'Income Statement'!B61</f>
        <v>Total Shares Outstanding(cr)</v>
      </c>
      <c r="C7" s="13">
        <f>'Income Statement'!C61</f>
        <v>54.475456977066528</v>
      </c>
      <c r="D7" s="13">
        <f>'Income Statement'!D61</f>
        <v>78.369430562319536</v>
      </c>
      <c r="E7" s="13">
        <f>'Income Statement'!E61</f>
        <v>100.48367169616508</v>
      </c>
      <c r="F7" s="13">
        <f>'Income Statement'!F61</f>
        <v>138.18676437911807</v>
      </c>
      <c r="G7" s="13">
        <f>'Income Statement'!G61</f>
        <v>93.498805640419818</v>
      </c>
    </row>
    <row r="8" spans="2:7" ht="18.75" x14ac:dyDescent="0.25">
      <c r="B8" s="14" t="s">
        <v>150</v>
      </c>
      <c r="C8" s="14">
        <f>ROUND(C6/C7, 2)</f>
        <v>303.73</v>
      </c>
      <c r="D8" s="14">
        <f t="shared" ref="D8:G8" si="0">ROUND(D6/D7, 2)</f>
        <v>276.57</v>
      </c>
      <c r="E8" s="14">
        <f t="shared" si="0"/>
        <v>294.36</v>
      </c>
      <c r="F8" s="14">
        <f t="shared" si="0"/>
        <v>288.05</v>
      </c>
      <c r="G8" s="14">
        <f t="shared" si="0"/>
        <v>542.72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47</vt:i4>
      </vt:variant>
      <vt:variant>
        <vt:lpstr>Named Ranges</vt:lpstr>
      </vt:variant>
      <vt:variant>
        <vt:i4>84</vt:i4>
      </vt:variant>
    </vt:vector>
  </HeadingPairs>
  <TitlesOfParts>
    <vt:vector size="131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2022-07-03T11:00:51Z</dcterms:created>
  <dcterms:modified xsi:type="dcterms:W3CDTF">2022-07-04T07:52:04Z</dcterms:modified>
</cp:coreProperties>
</file>