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4B6FA173-60F1-4B00-B0FD-C8FB0C838FB3}" xr6:coauthVersionLast="47" xr6:coauthVersionMax="47" xr10:uidLastSave="{00000000-0000-0000-0000-000000000000}"/>
  <bookViews>
    <workbookView xWindow="-120" yWindow="-120" windowWidth="20730" windowHeight="11160" firstSheet="2" activeTab="2" xr2:uid="{A9B02987-B7DF-48B4-95E0-00C1B66C2E53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H11" i="4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L26" i="5" s="1"/>
  <c r="H47" i="3"/>
  <c r="I64" i="3"/>
  <c r="J64" i="3" s="1"/>
  <c r="K64" i="3" s="1"/>
  <c r="L64" i="3" s="1"/>
  <c r="H64" i="3"/>
  <c r="D64" i="3"/>
  <c r="E64" i="3"/>
  <c r="F64" i="3"/>
  <c r="G64" i="3"/>
  <c r="C64" i="3"/>
  <c r="H36" i="3"/>
  <c r="I36" i="3"/>
  <c r="J36" i="3"/>
  <c r="K36" i="3"/>
  <c r="L36" i="3"/>
  <c r="I35" i="3"/>
  <c r="J35" i="3"/>
  <c r="K35" i="3"/>
  <c r="L35" i="3"/>
  <c r="H35" i="3"/>
  <c r="I63" i="3"/>
  <c r="J63" i="3" s="1"/>
  <c r="K63" i="3" s="1"/>
  <c r="L63" i="3" s="1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L31" i="3"/>
  <c r="H31" i="3"/>
  <c r="I62" i="3"/>
  <c r="J62" i="3" s="1"/>
  <c r="K62" i="3" s="1"/>
  <c r="L62" i="3" s="1"/>
  <c r="H62" i="3"/>
  <c r="D62" i="3"/>
  <c r="E62" i="3"/>
  <c r="F62" i="3"/>
  <c r="G62" i="3"/>
  <c r="C62" i="3"/>
  <c r="H44" i="4"/>
  <c r="I44" i="4" s="1"/>
  <c r="J44" i="4" s="1"/>
  <c r="K44" i="4" s="1"/>
  <c r="L44" i="4" s="1"/>
  <c r="L45" i="4" s="1"/>
  <c r="J47" i="5"/>
  <c r="H46" i="5"/>
  <c r="H47" i="5" s="1"/>
  <c r="I46" i="5"/>
  <c r="I47" i="5" s="1"/>
  <c r="J46" i="5"/>
  <c r="K46" i="5"/>
  <c r="K47" i="5" s="1"/>
  <c r="L46" i="5"/>
  <c r="L47" i="5" s="1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H9" i="5"/>
  <c r="I9" i="5"/>
  <c r="J9" i="5"/>
  <c r="K9" i="5"/>
  <c r="L9" i="5"/>
  <c r="H8" i="5"/>
  <c r="I8" i="5"/>
  <c r="J8" i="5"/>
  <c r="K8" i="5"/>
  <c r="L8" i="5"/>
  <c r="H7" i="5"/>
  <c r="H10" i="5" s="1"/>
  <c r="I7" i="5"/>
  <c r="I10" i="5" s="1"/>
  <c r="J7" i="5"/>
  <c r="J10" i="5" s="1"/>
  <c r="K7" i="5"/>
  <c r="L7" i="5"/>
  <c r="L10" i="5" s="1"/>
  <c r="L66" i="4"/>
  <c r="H66" i="4"/>
  <c r="I67" i="4"/>
  <c r="J67" i="4" s="1"/>
  <c r="K67" i="4" s="1"/>
  <c r="L67" i="4" s="1"/>
  <c r="H67" i="4"/>
  <c r="L64" i="4"/>
  <c r="H64" i="4"/>
  <c r="I65" i="4"/>
  <c r="J65" i="4" s="1"/>
  <c r="K65" i="4" s="1"/>
  <c r="L65" i="4" s="1"/>
  <c r="H65" i="4"/>
  <c r="H62" i="4"/>
  <c r="I63" i="4"/>
  <c r="I62" i="4" s="1"/>
  <c r="H63" i="4"/>
  <c r="L58" i="4"/>
  <c r="H58" i="4"/>
  <c r="I59" i="4"/>
  <c r="J59" i="4" s="1"/>
  <c r="K59" i="4" s="1"/>
  <c r="L59" i="4" s="1"/>
  <c r="H59" i="4"/>
  <c r="L56" i="4"/>
  <c r="H56" i="4"/>
  <c r="I57" i="4"/>
  <c r="J57" i="4" s="1"/>
  <c r="K57" i="4" s="1"/>
  <c r="L57" i="4" s="1"/>
  <c r="H57" i="4"/>
  <c r="L52" i="4"/>
  <c r="H52" i="4"/>
  <c r="I53" i="4"/>
  <c r="J53" i="4" s="1"/>
  <c r="K53" i="4" s="1"/>
  <c r="L53" i="4" s="1"/>
  <c r="H53" i="4"/>
  <c r="K50" i="4"/>
  <c r="L50" i="4"/>
  <c r="H50" i="4"/>
  <c r="I51" i="4"/>
  <c r="J51" i="4" s="1"/>
  <c r="K51" i="4" s="1"/>
  <c r="L51" i="4" s="1"/>
  <c r="H51" i="4"/>
  <c r="L48" i="4"/>
  <c r="H48" i="4"/>
  <c r="I49" i="4"/>
  <c r="J49" i="4" s="1"/>
  <c r="K49" i="4" s="1"/>
  <c r="L49" i="4" s="1"/>
  <c r="H49" i="4"/>
  <c r="L42" i="4"/>
  <c r="H42" i="4"/>
  <c r="I43" i="4"/>
  <c r="J43" i="4" s="1"/>
  <c r="K43" i="4" s="1"/>
  <c r="L43" i="4" s="1"/>
  <c r="H43" i="4"/>
  <c r="H40" i="4"/>
  <c r="H46" i="4" s="1"/>
  <c r="I41" i="4"/>
  <c r="I40" i="4" s="1"/>
  <c r="H41" i="4"/>
  <c r="L35" i="4"/>
  <c r="H35" i="4"/>
  <c r="I36" i="4"/>
  <c r="J36" i="4" s="1"/>
  <c r="K36" i="4" s="1"/>
  <c r="L36" i="4" s="1"/>
  <c r="H36" i="4"/>
  <c r="H33" i="4"/>
  <c r="H34" i="4" s="1"/>
  <c r="L31" i="4"/>
  <c r="H31" i="4"/>
  <c r="I32" i="4"/>
  <c r="J32" i="4" s="1"/>
  <c r="K32" i="4" s="1"/>
  <c r="L32" i="4" s="1"/>
  <c r="H32" i="4"/>
  <c r="K29" i="4"/>
  <c r="L29" i="4"/>
  <c r="H29" i="4"/>
  <c r="I30" i="4"/>
  <c r="J30" i="4" s="1"/>
  <c r="K30" i="4" s="1"/>
  <c r="L30" i="4" s="1"/>
  <c r="H30" i="4"/>
  <c r="L27" i="4"/>
  <c r="H27" i="4"/>
  <c r="I28" i="4"/>
  <c r="J28" i="4" s="1"/>
  <c r="K28" i="4" s="1"/>
  <c r="L28" i="4" s="1"/>
  <c r="H28" i="4"/>
  <c r="H25" i="4"/>
  <c r="I26" i="4"/>
  <c r="I25" i="4" s="1"/>
  <c r="H26" i="4"/>
  <c r="H23" i="4"/>
  <c r="I24" i="4"/>
  <c r="I23" i="4" s="1"/>
  <c r="J24" i="4"/>
  <c r="J23" i="4" s="1"/>
  <c r="K24" i="4"/>
  <c r="L24" i="4" s="1"/>
  <c r="L23" i="4" s="1"/>
  <c r="H24" i="4"/>
  <c r="L21" i="4"/>
  <c r="H21" i="4"/>
  <c r="I22" i="4"/>
  <c r="J22" i="4" s="1"/>
  <c r="K22" i="4" s="1"/>
  <c r="L22" i="4" s="1"/>
  <c r="H22" i="4"/>
  <c r="L19" i="4"/>
  <c r="H19" i="4"/>
  <c r="I20" i="4"/>
  <c r="J20" i="4" s="1"/>
  <c r="K20" i="4" s="1"/>
  <c r="L20" i="4" s="1"/>
  <c r="H20" i="4"/>
  <c r="H17" i="4"/>
  <c r="I18" i="4"/>
  <c r="I17" i="4" s="1"/>
  <c r="J18" i="4"/>
  <c r="J17" i="4" s="1"/>
  <c r="K18" i="4"/>
  <c r="L18" i="4" s="1"/>
  <c r="L17" i="4" s="1"/>
  <c r="H18" i="4"/>
  <c r="K15" i="4"/>
  <c r="L15" i="4"/>
  <c r="H15" i="4"/>
  <c r="I16" i="4"/>
  <c r="J16" i="4" s="1"/>
  <c r="K16" i="4" s="1"/>
  <c r="L16" i="4" s="1"/>
  <c r="H16" i="4"/>
  <c r="H13" i="4"/>
  <c r="H14" i="4" s="1"/>
  <c r="I13" i="4"/>
  <c r="J13" i="4"/>
  <c r="K13" i="4"/>
  <c r="K14" i="4" s="1"/>
  <c r="L13" i="4"/>
  <c r="L14" i="4" s="1"/>
  <c r="I14" i="4"/>
  <c r="J14" i="4"/>
  <c r="H9" i="4"/>
  <c r="I9" i="4"/>
  <c r="J9" i="4"/>
  <c r="K9" i="4"/>
  <c r="K10" i="4" s="1"/>
  <c r="L9" i="4"/>
  <c r="H10" i="4"/>
  <c r="I10" i="4"/>
  <c r="J10" i="4"/>
  <c r="L10" i="4"/>
  <c r="I7" i="4"/>
  <c r="J7" i="4" s="1"/>
  <c r="K7" i="4" s="1"/>
  <c r="L7" i="4" s="1"/>
  <c r="H7" i="4"/>
  <c r="I8" i="4"/>
  <c r="J8" i="4" s="1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H68" i="4"/>
  <c r="I69" i="4"/>
  <c r="I68" i="4" s="1"/>
  <c r="H69" i="4"/>
  <c r="L53" i="3"/>
  <c r="H53" i="3"/>
  <c r="I54" i="3"/>
  <c r="J54" i="3" s="1"/>
  <c r="K54" i="3" s="1"/>
  <c r="L54" i="3" s="1"/>
  <c r="H54" i="3"/>
  <c r="L51" i="3"/>
  <c r="H51" i="3"/>
  <c r="I52" i="3"/>
  <c r="J52" i="3" s="1"/>
  <c r="K52" i="3" s="1"/>
  <c r="L52" i="3" s="1"/>
  <c r="H52" i="3"/>
  <c r="L43" i="3"/>
  <c r="H43" i="3"/>
  <c r="I44" i="3"/>
  <c r="J44" i="3" s="1"/>
  <c r="K44" i="3" s="1"/>
  <c r="L44" i="3" s="1"/>
  <c r="H44" i="3"/>
  <c r="K39" i="3"/>
  <c r="L39" i="3"/>
  <c r="H39" i="3"/>
  <c r="I40" i="3"/>
  <c r="J40" i="3" s="1"/>
  <c r="K40" i="3" s="1"/>
  <c r="L40" i="3" s="1"/>
  <c r="H40" i="3"/>
  <c r="H33" i="3"/>
  <c r="H37" i="3" s="1"/>
  <c r="I33" i="3"/>
  <c r="I37" i="3" s="1"/>
  <c r="J33" i="3"/>
  <c r="J37" i="3" s="1"/>
  <c r="K33" i="3"/>
  <c r="K34" i="3" s="1"/>
  <c r="L33" i="3"/>
  <c r="L37" i="3" s="1"/>
  <c r="H34" i="3"/>
  <c r="I34" i="3"/>
  <c r="J34" i="3"/>
  <c r="L34" i="3"/>
  <c r="H29" i="3"/>
  <c r="I29" i="3"/>
  <c r="J29" i="3"/>
  <c r="K29" i="3"/>
  <c r="K30" i="3" s="1"/>
  <c r="L29" i="3"/>
  <c r="H30" i="3"/>
  <c r="I30" i="3"/>
  <c r="J30" i="3"/>
  <c r="L30" i="3"/>
  <c r="H27" i="3"/>
  <c r="I27" i="3"/>
  <c r="J27" i="3"/>
  <c r="K27" i="3"/>
  <c r="L27" i="3"/>
  <c r="H28" i="3"/>
  <c r="I28" i="3"/>
  <c r="J28" i="3"/>
  <c r="K28" i="3"/>
  <c r="L28" i="3"/>
  <c r="H25" i="3"/>
  <c r="I25" i="3"/>
  <c r="J25" i="3"/>
  <c r="K25" i="3"/>
  <c r="L25" i="3"/>
  <c r="H26" i="3"/>
  <c r="I26" i="3"/>
  <c r="J26" i="3"/>
  <c r="K26" i="3"/>
  <c r="L26" i="3"/>
  <c r="L23" i="3"/>
  <c r="H23" i="3"/>
  <c r="I24" i="3"/>
  <c r="J24" i="3" s="1"/>
  <c r="K24" i="3" s="1"/>
  <c r="L24" i="3" s="1"/>
  <c r="H24" i="3"/>
  <c r="L21" i="3"/>
  <c r="H21" i="3"/>
  <c r="I22" i="3"/>
  <c r="I21" i="3" s="1"/>
  <c r="J22" i="3"/>
  <c r="K22" i="3" s="1"/>
  <c r="L22" i="3" s="1"/>
  <c r="H22" i="3"/>
  <c r="H19" i="3"/>
  <c r="I20" i="3"/>
  <c r="I19" i="3" s="1"/>
  <c r="H20" i="3"/>
  <c r="L17" i="3"/>
  <c r="H17" i="3"/>
  <c r="I18" i="3"/>
  <c r="J18" i="3" s="1"/>
  <c r="K18" i="3" s="1"/>
  <c r="L18" i="3" s="1"/>
  <c r="H18" i="3"/>
  <c r="H15" i="3"/>
  <c r="I15" i="3"/>
  <c r="J15" i="3"/>
  <c r="K15" i="3"/>
  <c r="K16" i="3" s="1"/>
  <c r="L15" i="3"/>
  <c r="H16" i="3"/>
  <c r="I16" i="3"/>
  <c r="J16" i="3"/>
  <c r="L16" i="3"/>
  <c r="H13" i="3"/>
  <c r="I14" i="3"/>
  <c r="I13" i="3" s="1"/>
  <c r="J14" i="3"/>
  <c r="J13" i="3" s="1"/>
  <c r="K14" i="3"/>
  <c r="L14" i="3" s="1"/>
  <c r="L13" i="3" s="1"/>
  <c r="H14" i="3"/>
  <c r="L11" i="3"/>
  <c r="H11" i="3"/>
  <c r="I12" i="3"/>
  <c r="J12" i="3" s="1"/>
  <c r="K12" i="3" s="1"/>
  <c r="L12" i="3" s="1"/>
  <c r="H12" i="3"/>
  <c r="H9" i="3"/>
  <c r="I9" i="3"/>
  <c r="J9" i="3"/>
  <c r="K9" i="3"/>
  <c r="L9" i="3"/>
  <c r="H10" i="3"/>
  <c r="I10" i="3"/>
  <c r="J10" i="3"/>
  <c r="K10" i="3"/>
  <c r="L10" i="3"/>
  <c r="L7" i="3"/>
  <c r="H7" i="3"/>
  <c r="I8" i="3"/>
  <c r="J8" i="3" s="1"/>
  <c r="K8" i="3" s="1"/>
  <c r="L8" i="3" s="1"/>
  <c r="H8" i="3"/>
  <c r="H6" i="3"/>
  <c r="J6" i="3"/>
  <c r="I5" i="3"/>
  <c r="J5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F10" i="47"/>
  <c r="F16" i="47" s="1"/>
  <c r="F17" i="47" s="1"/>
  <c r="F19" i="47" s="1"/>
  <c r="F21" i="47" s="1"/>
  <c r="F23" i="47" s="1"/>
  <c r="F25" i="47" s="1"/>
  <c r="F27" i="47" s="1"/>
  <c r="G7" i="47"/>
  <c r="G10" i="47" s="1"/>
  <c r="G16" i="47" s="1"/>
  <c r="G17" i="47" s="1"/>
  <c r="G19" i="47" s="1"/>
  <c r="G21" i="47" s="1"/>
  <c r="G23" i="47" s="1"/>
  <c r="G25" i="47" s="1"/>
  <c r="G27" i="47" s="1"/>
  <c r="F7" i="47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C9" i="46"/>
  <c r="C21" i="46" s="1"/>
  <c r="G7" i="46"/>
  <c r="F7" i="46"/>
  <c r="E7" i="46"/>
  <c r="D7" i="46"/>
  <c r="C7" i="46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F44" i="4" s="1"/>
  <c r="G44" i="4" s="1"/>
  <c r="G46" i="4" s="1"/>
  <c r="G54" i="4" s="1"/>
  <c r="G6" i="42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E10" i="5" s="1"/>
  <c r="F7" i="5"/>
  <c r="G7" i="5"/>
  <c r="G10" i="5" s="1"/>
  <c r="D7" i="5"/>
  <c r="D33" i="4"/>
  <c r="D155" i="6" s="1"/>
  <c r="E33" i="4"/>
  <c r="E142" i="6" s="1"/>
  <c r="F33" i="4"/>
  <c r="F7" i="30" s="1"/>
  <c r="G33" i="4"/>
  <c r="G8" i="19" s="1"/>
  <c r="D21" i="4"/>
  <c r="E21" i="4"/>
  <c r="E62" i="6" s="1"/>
  <c r="F21" i="4"/>
  <c r="G21" i="4"/>
  <c r="G52" i="6" s="1"/>
  <c r="D9" i="4"/>
  <c r="E9" i="4"/>
  <c r="F9" i="4"/>
  <c r="G9" i="4"/>
  <c r="C72" i="4"/>
  <c r="C46" i="4"/>
  <c r="C54" i="4" s="1"/>
  <c r="C33" i="4"/>
  <c r="C155" i="6" s="1"/>
  <c r="C156" i="6" s="1"/>
  <c r="C21" i="4"/>
  <c r="C9" i="4"/>
  <c r="C13" i="4" s="1"/>
  <c r="D25" i="3"/>
  <c r="D5" i="44" s="1"/>
  <c r="E25" i="3"/>
  <c r="E26" i="3" s="1"/>
  <c r="F25" i="3"/>
  <c r="F26" i="3" s="1"/>
  <c r="G25" i="3"/>
  <c r="G42" i="6" s="1"/>
  <c r="D9" i="3"/>
  <c r="E9" i="3"/>
  <c r="E10" i="3" s="1"/>
  <c r="F9" i="3"/>
  <c r="F10" i="3" s="1"/>
  <c r="G9" i="3"/>
  <c r="G7" i="21" s="1"/>
  <c r="C25" i="3"/>
  <c r="C42" i="6" s="1"/>
  <c r="C9" i="3"/>
  <c r="C7" i="21" s="1"/>
  <c r="H37" i="4" l="1"/>
  <c r="H38" i="4" s="1"/>
  <c r="K10" i="5"/>
  <c r="J38" i="3"/>
  <c r="J41" i="3"/>
  <c r="I41" i="3"/>
  <c r="I38" i="3"/>
  <c r="L38" i="3"/>
  <c r="L41" i="3"/>
  <c r="K37" i="3"/>
  <c r="K45" i="4"/>
  <c r="H41" i="3"/>
  <c r="H38" i="3"/>
  <c r="J45" i="4"/>
  <c r="I45" i="4"/>
  <c r="H45" i="4"/>
  <c r="H54" i="4"/>
  <c r="H55" i="4" s="1"/>
  <c r="H47" i="4"/>
  <c r="J69" i="4"/>
  <c r="K66" i="4"/>
  <c r="J66" i="4"/>
  <c r="I66" i="4"/>
  <c r="K64" i="4"/>
  <c r="J64" i="4"/>
  <c r="I64" i="4"/>
  <c r="J63" i="4"/>
  <c r="K58" i="4"/>
  <c r="J58" i="4"/>
  <c r="I58" i="4"/>
  <c r="K56" i="4"/>
  <c r="J56" i="4"/>
  <c r="I56" i="4"/>
  <c r="K52" i="4"/>
  <c r="J52" i="4"/>
  <c r="I52" i="4"/>
  <c r="J50" i="4"/>
  <c r="I50" i="4"/>
  <c r="K48" i="4"/>
  <c r="J48" i="4"/>
  <c r="I48" i="4"/>
  <c r="K42" i="4"/>
  <c r="J42" i="4"/>
  <c r="I42" i="4"/>
  <c r="I46" i="4" s="1"/>
  <c r="J41" i="4"/>
  <c r="K35" i="4"/>
  <c r="J35" i="4"/>
  <c r="I35" i="4"/>
  <c r="K31" i="4"/>
  <c r="J31" i="4"/>
  <c r="I31" i="4"/>
  <c r="I33" i="4" s="1"/>
  <c r="I34" i="4" s="1"/>
  <c r="J29" i="4"/>
  <c r="I29" i="4"/>
  <c r="K27" i="4"/>
  <c r="J27" i="4"/>
  <c r="I27" i="4"/>
  <c r="J26" i="4"/>
  <c r="K23" i="4"/>
  <c r="K21" i="4"/>
  <c r="J21" i="4"/>
  <c r="I21" i="4"/>
  <c r="K19" i="4"/>
  <c r="J19" i="4"/>
  <c r="I19" i="4"/>
  <c r="K17" i="4"/>
  <c r="J15" i="4"/>
  <c r="I15" i="4"/>
  <c r="K80" i="4"/>
  <c r="L80" i="4" s="1"/>
  <c r="K53" i="3"/>
  <c r="J53" i="3"/>
  <c r="I53" i="3"/>
  <c r="K51" i="3"/>
  <c r="J51" i="3"/>
  <c r="I51" i="3"/>
  <c r="K43" i="3"/>
  <c r="J43" i="3"/>
  <c r="I43" i="3"/>
  <c r="J39" i="3"/>
  <c r="I39" i="3"/>
  <c r="K23" i="3"/>
  <c r="J23" i="3"/>
  <c r="I23" i="3"/>
  <c r="K21" i="3"/>
  <c r="J21" i="3"/>
  <c r="J20" i="3"/>
  <c r="K17" i="3"/>
  <c r="J17" i="3"/>
  <c r="I17" i="3"/>
  <c r="K13" i="3"/>
  <c r="K11" i="3"/>
  <c r="J11" i="3"/>
  <c r="I11" i="3"/>
  <c r="K7" i="3"/>
  <c r="J7" i="3"/>
  <c r="I7" i="3"/>
  <c r="I6" i="3"/>
  <c r="K5" i="3"/>
  <c r="D10" i="5"/>
  <c r="F10" i="5"/>
  <c r="G26" i="3"/>
  <c r="C26" i="3"/>
  <c r="D26" i="3"/>
  <c r="F38" i="6"/>
  <c r="E8" i="12"/>
  <c r="G10" i="3"/>
  <c r="G15" i="3" s="1"/>
  <c r="G16" i="3" s="1"/>
  <c r="F8" i="30"/>
  <c r="F8" i="12"/>
  <c r="F15" i="3"/>
  <c r="F6" i="44" s="1"/>
  <c r="G8" i="21"/>
  <c r="G43" i="6"/>
  <c r="D156" i="6"/>
  <c r="E105" i="6"/>
  <c r="E110" i="6"/>
  <c r="E115" i="6"/>
  <c r="D125" i="6"/>
  <c r="G135" i="6"/>
  <c r="C135" i="6"/>
  <c r="G140" i="6"/>
  <c r="C140" i="6"/>
  <c r="F149" i="6"/>
  <c r="D8" i="25"/>
  <c r="D8" i="26"/>
  <c r="D8" i="27"/>
  <c r="G8" i="29"/>
  <c r="C8" i="29"/>
  <c r="F8" i="31"/>
  <c r="F8" i="32"/>
  <c r="E8" i="33"/>
  <c r="C10" i="3"/>
  <c r="C15" i="3" s="1"/>
  <c r="C16" i="3" s="1"/>
  <c r="D10" i="3"/>
  <c r="D15" i="3" s="1"/>
  <c r="E38" i="6"/>
  <c r="F110" i="6"/>
  <c r="F115" i="6"/>
  <c r="E125" i="6"/>
  <c r="D135" i="6"/>
  <c r="D140" i="6"/>
  <c r="G149" i="6"/>
  <c r="C149" i="6"/>
  <c r="E8" i="25"/>
  <c r="E8" i="26"/>
  <c r="E8" i="27"/>
  <c r="D8" i="29"/>
  <c r="G8" i="31"/>
  <c r="C8" i="31"/>
  <c r="G8" i="32"/>
  <c r="C8" i="32"/>
  <c r="F8" i="33"/>
  <c r="D8" i="12"/>
  <c r="D7" i="21"/>
  <c r="D8" i="21" s="1"/>
  <c r="D38" i="6"/>
  <c r="G84" i="6"/>
  <c r="G85" i="6" s="1"/>
  <c r="D105" i="6"/>
  <c r="D110" i="6"/>
  <c r="D115" i="6"/>
  <c r="G125" i="6"/>
  <c r="C125" i="6"/>
  <c r="F135" i="6"/>
  <c r="F140" i="6"/>
  <c r="E149" i="6"/>
  <c r="G8" i="12"/>
  <c r="C8" i="12"/>
  <c r="D7" i="13"/>
  <c r="D8" i="13" s="1"/>
  <c r="F8" i="25"/>
  <c r="F8" i="26"/>
  <c r="F8" i="27"/>
  <c r="E8" i="29"/>
  <c r="D8" i="31"/>
  <c r="D8" i="32"/>
  <c r="G8" i="33"/>
  <c r="C8" i="33"/>
  <c r="E7" i="21"/>
  <c r="E8" i="21" s="1"/>
  <c r="E84" i="6"/>
  <c r="E85" i="6" s="1"/>
  <c r="E15" i="3"/>
  <c r="E16" i="3" s="1"/>
  <c r="E7" i="13"/>
  <c r="E8" i="13" s="1"/>
  <c r="E42" i="6"/>
  <c r="E43" i="6" s="1"/>
  <c r="G38" i="6"/>
  <c r="C38" i="6"/>
  <c r="C43" i="6"/>
  <c r="D84" i="6"/>
  <c r="D85" i="6" s="1"/>
  <c r="C8" i="21"/>
  <c r="F7" i="21"/>
  <c r="F8" i="21" s="1"/>
  <c r="F84" i="6"/>
  <c r="F85" i="6" s="1"/>
  <c r="C5" i="44"/>
  <c r="C7" i="13"/>
  <c r="C8" i="13" s="1"/>
  <c r="C84" i="6"/>
  <c r="C85" i="6" s="1"/>
  <c r="F105" i="6"/>
  <c r="E5" i="44"/>
  <c r="F5" i="44"/>
  <c r="F7" i="13"/>
  <c r="F8" i="13" s="1"/>
  <c r="F42" i="6"/>
  <c r="F43" i="6" s="1"/>
  <c r="G5" i="44"/>
  <c r="G7" i="13"/>
  <c r="G8" i="13" s="1"/>
  <c r="D42" i="6"/>
  <c r="D43" i="6" s="1"/>
  <c r="C90" i="6"/>
  <c r="G105" i="6"/>
  <c r="C105" i="6"/>
  <c r="G110" i="6"/>
  <c r="C110" i="6"/>
  <c r="G115" i="6"/>
  <c r="C115" i="6"/>
  <c r="F125" i="6"/>
  <c r="E135" i="6"/>
  <c r="E140" i="6"/>
  <c r="D149" i="6"/>
  <c r="C8" i="22"/>
  <c r="G8" i="25"/>
  <c r="C8" i="25"/>
  <c r="G8" i="26"/>
  <c r="C8" i="26"/>
  <c r="G8" i="27"/>
  <c r="C8" i="27"/>
  <c r="F8" i="29"/>
  <c r="E8" i="31"/>
  <c r="E8" i="32"/>
  <c r="D8" i="33"/>
  <c r="C35" i="47"/>
  <c r="C30" i="47"/>
  <c r="G35" i="47"/>
  <c r="G30" i="47"/>
  <c r="D30" i="47"/>
  <c r="D35" i="47"/>
  <c r="F35" i="47"/>
  <c r="F30" i="47"/>
  <c r="E30" i="47"/>
  <c r="E35" i="47"/>
  <c r="D46" i="4"/>
  <c r="D47" i="5"/>
  <c r="G47" i="5"/>
  <c r="E143" i="6"/>
  <c r="F35" i="5"/>
  <c r="E129" i="6"/>
  <c r="E130" i="6" s="1"/>
  <c r="D142" i="6"/>
  <c r="D143" i="6" s="1"/>
  <c r="E6" i="17"/>
  <c r="E10" i="32"/>
  <c r="E11" i="32" s="1"/>
  <c r="E12" i="32" s="1"/>
  <c r="F46" i="4"/>
  <c r="E35" i="5"/>
  <c r="G35" i="5"/>
  <c r="E68" i="6"/>
  <c r="C74" i="6"/>
  <c r="C119" i="6"/>
  <c r="C120" i="6" s="1"/>
  <c r="E46" i="4"/>
  <c r="C74" i="4"/>
  <c r="C71" i="4" s="1"/>
  <c r="C6" i="42"/>
  <c r="F6" i="40"/>
  <c r="F6" i="17"/>
  <c r="F7" i="15"/>
  <c r="C6" i="43"/>
  <c r="C6" i="19"/>
  <c r="C5" i="36"/>
  <c r="C72" i="6"/>
  <c r="C6" i="18"/>
  <c r="G119" i="6"/>
  <c r="G120" i="6" s="1"/>
  <c r="C37" i="4"/>
  <c r="C5" i="34"/>
  <c r="C8" i="15"/>
  <c r="C7" i="17"/>
  <c r="C6" i="9"/>
  <c r="C7" i="16"/>
  <c r="C53" i="6"/>
  <c r="C63" i="6"/>
  <c r="C16" i="6"/>
  <c r="F10" i="32"/>
  <c r="F11" i="32" s="1"/>
  <c r="F6" i="41"/>
  <c r="F10" i="33"/>
  <c r="F11" i="33" s="1"/>
  <c r="F7" i="28"/>
  <c r="F8" i="28" s="1"/>
  <c r="F8" i="19"/>
  <c r="F155" i="6"/>
  <c r="F156" i="6" s="1"/>
  <c r="F6" i="36"/>
  <c r="F142" i="6"/>
  <c r="F143" i="6" s="1"/>
  <c r="F7" i="18"/>
  <c r="F119" i="6"/>
  <c r="F120" i="6" s="1"/>
  <c r="F74" i="6"/>
  <c r="C6" i="17"/>
  <c r="C7" i="15"/>
  <c r="C62" i="6"/>
  <c r="G74" i="6"/>
  <c r="F151" i="6"/>
  <c r="F152" i="6" s="1"/>
  <c r="D6" i="40"/>
  <c r="D7" i="15"/>
  <c r="D6" i="17"/>
  <c r="D52" i="6"/>
  <c r="D62" i="6"/>
  <c r="D6" i="36"/>
  <c r="D14" i="33"/>
  <c r="D15" i="33" s="1"/>
  <c r="D7" i="30"/>
  <c r="D8" i="30" s="1"/>
  <c r="D7" i="18"/>
  <c r="D151" i="6"/>
  <c r="D152" i="6" s="1"/>
  <c r="D10" i="32"/>
  <c r="D11" i="32" s="1"/>
  <c r="D10" i="33"/>
  <c r="D11" i="33" s="1"/>
  <c r="D8" i="19"/>
  <c r="D129" i="6"/>
  <c r="D130" i="6" s="1"/>
  <c r="D68" i="6"/>
  <c r="D6" i="41"/>
  <c r="D35" i="5"/>
  <c r="F47" i="5"/>
  <c r="F52" i="6"/>
  <c r="F68" i="6"/>
  <c r="C67" i="6"/>
  <c r="D74" i="6"/>
  <c r="D119" i="6"/>
  <c r="D120" i="6" s="1"/>
  <c r="D7" i="28"/>
  <c r="D8" i="28" s="1"/>
  <c r="F14" i="33"/>
  <c r="F15" i="33" s="1"/>
  <c r="G6" i="17"/>
  <c r="G6" i="40"/>
  <c r="G62" i="6"/>
  <c r="G14" i="33"/>
  <c r="G15" i="33" s="1"/>
  <c r="G7" i="30"/>
  <c r="G8" i="30" s="1"/>
  <c r="G7" i="18"/>
  <c r="G151" i="6"/>
  <c r="G152" i="6" s="1"/>
  <c r="G10" i="32"/>
  <c r="G11" i="32" s="1"/>
  <c r="G6" i="41"/>
  <c r="G10" i="33"/>
  <c r="G11" i="33" s="1"/>
  <c r="G7" i="28"/>
  <c r="G8" i="28" s="1"/>
  <c r="G155" i="6"/>
  <c r="G156" i="6" s="1"/>
  <c r="G129" i="6"/>
  <c r="G130" i="6" s="1"/>
  <c r="G68" i="6"/>
  <c r="G6" i="36"/>
  <c r="G142" i="6"/>
  <c r="G143" i="6" s="1"/>
  <c r="E47" i="5"/>
  <c r="C52" i="6"/>
  <c r="C58" i="6"/>
  <c r="F62" i="6"/>
  <c r="G7" i="15"/>
  <c r="F129" i="6"/>
  <c r="F130" i="6" s="1"/>
  <c r="C6" i="40"/>
  <c r="C14" i="33"/>
  <c r="C15" i="33" s="1"/>
  <c r="C7" i="30"/>
  <c r="C8" i="30" s="1"/>
  <c r="C7" i="18"/>
  <c r="C151" i="6"/>
  <c r="C152" i="6" s="1"/>
  <c r="C10" i="32"/>
  <c r="C11" i="32" s="1"/>
  <c r="C6" i="41"/>
  <c r="C10" i="33"/>
  <c r="C11" i="33" s="1"/>
  <c r="C7" i="28"/>
  <c r="C8" i="28" s="1"/>
  <c r="E6" i="40"/>
  <c r="E7" i="15"/>
  <c r="E6" i="41"/>
  <c r="E10" i="33"/>
  <c r="E11" i="33" s="1"/>
  <c r="E7" i="28"/>
  <c r="E8" i="28" s="1"/>
  <c r="E8" i="19"/>
  <c r="E155" i="6"/>
  <c r="E156" i="6" s="1"/>
  <c r="E6" i="36"/>
  <c r="E14" i="33"/>
  <c r="E15" i="33" s="1"/>
  <c r="E7" i="30"/>
  <c r="E8" i="30" s="1"/>
  <c r="E52" i="6"/>
  <c r="C142" i="6"/>
  <c r="C143" i="6" s="1"/>
  <c r="E151" i="6"/>
  <c r="E152" i="6" s="1"/>
  <c r="C68" i="6"/>
  <c r="E74" i="6"/>
  <c r="E119" i="6"/>
  <c r="E120" i="6" s="1"/>
  <c r="C129" i="6"/>
  <c r="C130" i="6" s="1"/>
  <c r="E7" i="18"/>
  <c r="C8" i="19"/>
  <c r="C6" i="36"/>
  <c r="E25" i="46"/>
  <c r="K38" i="3" l="1"/>
  <c r="K41" i="3"/>
  <c r="J42" i="3"/>
  <c r="J45" i="3"/>
  <c r="L45" i="3"/>
  <c r="L42" i="3"/>
  <c r="I42" i="3"/>
  <c r="I45" i="3"/>
  <c r="H45" i="3"/>
  <c r="H42" i="3"/>
  <c r="I47" i="4"/>
  <c r="I54" i="4"/>
  <c r="I55" i="4" s="1"/>
  <c r="I37" i="4"/>
  <c r="I38" i="4" s="1"/>
  <c r="J37" i="4"/>
  <c r="J38" i="4" s="1"/>
  <c r="K69" i="4"/>
  <c r="J68" i="4"/>
  <c r="K63" i="4"/>
  <c r="J62" i="4"/>
  <c r="K41" i="4"/>
  <c r="J40" i="4"/>
  <c r="J46" i="4" s="1"/>
  <c r="K26" i="4"/>
  <c r="J25" i="4"/>
  <c r="J33" i="4" s="1"/>
  <c r="J34" i="4" s="1"/>
  <c r="K20" i="3"/>
  <c r="J19" i="3"/>
  <c r="L5" i="3"/>
  <c r="L6" i="3" s="1"/>
  <c r="K6" i="3"/>
  <c r="C144" i="6"/>
  <c r="F12" i="33"/>
  <c r="F12" i="32"/>
  <c r="C12" i="32"/>
  <c r="G144" i="6"/>
  <c r="C153" i="6"/>
  <c r="C157" i="6" s="1"/>
  <c r="F144" i="6"/>
  <c r="F6" i="39"/>
  <c r="F16" i="3"/>
  <c r="D6" i="44"/>
  <c r="D16" i="3"/>
  <c r="G12" i="32"/>
  <c r="G12" i="33"/>
  <c r="G16" i="33" s="1"/>
  <c r="D144" i="6"/>
  <c r="G153" i="6"/>
  <c r="G157" i="6" s="1"/>
  <c r="D12" i="32"/>
  <c r="F27" i="3"/>
  <c r="D27" i="3"/>
  <c r="D6" i="39"/>
  <c r="E12" i="33"/>
  <c r="E16" i="33" s="1"/>
  <c r="F153" i="6"/>
  <c r="F157" i="6" s="1"/>
  <c r="C12" i="33"/>
  <c r="C16" i="33" s="1"/>
  <c r="E153" i="6"/>
  <c r="E157" i="6" s="1"/>
  <c r="D12" i="33"/>
  <c r="D16" i="33" s="1"/>
  <c r="E144" i="6"/>
  <c r="C6" i="44"/>
  <c r="C27" i="3"/>
  <c r="C6" i="39"/>
  <c r="G6" i="44"/>
  <c r="G6" i="39"/>
  <c r="G27" i="3"/>
  <c r="E6" i="44"/>
  <c r="E6" i="39"/>
  <c r="E27" i="3"/>
  <c r="D153" i="6"/>
  <c r="D157" i="6" s="1"/>
  <c r="C73" i="4"/>
  <c r="C67" i="4"/>
  <c r="C69" i="4"/>
  <c r="C63" i="4"/>
  <c r="C65" i="4"/>
  <c r="C59" i="4"/>
  <c r="C61" i="4"/>
  <c r="C55" i="4"/>
  <c r="C57" i="4"/>
  <c r="C51" i="4"/>
  <c r="C53" i="4"/>
  <c r="C45" i="4"/>
  <c r="C49" i="4"/>
  <c r="E54" i="4"/>
  <c r="D54" i="4"/>
  <c r="F54" i="4"/>
  <c r="C47" i="4"/>
  <c r="C38" i="4"/>
  <c r="C41" i="4"/>
  <c r="C43" i="4"/>
  <c r="C34" i="4"/>
  <c r="C36" i="4"/>
  <c r="C30" i="4"/>
  <c r="C32" i="4"/>
  <c r="C26" i="4"/>
  <c r="C28" i="4"/>
  <c r="C22" i="4"/>
  <c r="C24" i="4"/>
  <c r="C18" i="4"/>
  <c r="C20" i="4"/>
  <c r="C14" i="4"/>
  <c r="C16" i="4"/>
  <c r="C10" i="4"/>
  <c r="C12" i="4"/>
  <c r="C8" i="17"/>
  <c r="C6" i="4"/>
  <c r="C8" i="4"/>
  <c r="C64" i="6"/>
  <c r="C75" i="6"/>
  <c r="F16" i="33"/>
  <c r="C5" i="41"/>
  <c r="C6" i="34"/>
  <c r="C5" i="40"/>
  <c r="C9" i="19"/>
  <c r="C69" i="6"/>
  <c r="C8" i="18"/>
  <c r="C5" i="42"/>
  <c r="C7" i="24"/>
  <c r="C8" i="24" s="1"/>
  <c r="C5" i="43"/>
  <c r="C47" i="6"/>
  <c r="C99" i="6"/>
  <c r="C100" i="6" s="1"/>
  <c r="C7" i="14"/>
  <c r="E26" i="46"/>
  <c r="E30" i="46" s="1"/>
  <c r="F25" i="46"/>
  <c r="J5" i="5" l="1"/>
  <c r="J27" i="5" s="1"/>
  <c r="J48" i="5" s="1"/>
  <c r="J49" i="3"/>
  <c r="J46" i="3"/>
  <c r="I46" i="3"/>
  <c r="I5" i="5"/>
  <c r="I27" i="5" s="1"/>
  <c r="I48" i="5" s="1"/>
  <c r="I49" i="3"/>
  <c r="K42" i="3"/>
  <c r="K45" i="3"/>
  <c r="L5" i="5"/>
  <c r="L27" i="5" s="1"/>
  <c r="L48" i="5" s="1"/>
  <c r="L49" i="3"/>
  <c r="L46" i="3"/>
  <c r="H5" i="5"/>
  <c r="H27" i="5" s="1"/>
  <c r="H48" i="5" s="1"/>
  <c r="H70" i="4" s="1"/>
  <c r="H46" i="3"/>
  <c r="H49" i="3"/>
  <c r="J47" i="4"/>
  <c r="J54" i="4"/>
  <c r="J55" i="4" s="1"/>
  <c r="L69" i="4"/>
  <c r="L68" i="4" s="1"/>
  <c r="K68" i="4"/>
  <c r="L63" i="4"/>
  <c r="L62" i="4" s="1"/>
  <c r="K62" i="4"/>
  <c r="L41" i="4"/>
  <c r="L40" i="4" s="1"/>
  <c r="L46" i="4" s="1"/>
  <c r="K40" i="4"/>
  <c r="K46" i="4" s="1"/>
  <c r="L26" i="4"/>
  <c r="L25" i="4" s="1"/>
  <c r="L33" i="4" s="1"/>
  <c r="K25" i="4"/>
  <c r="K33" i="4" s="1"/>
  <c r="L20" i="3"/>
  <c r="L19" i="3" s="1"/>
  <c r="K19" i="3"/>
  <c r="G29" i="3"/>
  <c r="G30" i="3" s="1"/>
  <c r="G28" i="3"/>
  <c r="C29" i="3"/>
  <c r="C30" i="3" s="1"/>
  <c r="C28" i="3"/>
  <c r="E29" i="3"/>
  <c r="E30" i="3" s="1"/>
  <c r="E28" i="3"/>
  <c r="D29" i="3"/>
  <c r="D28" i="3"/>
  <c r="F29" i="3"/>
  <c r="F30" i="3" s="1"/>
  <c r="F28" i="3"/>
  <c r="D5" i="35"/>
  <c r="G5" i="35"/>
  <c r="G33" i="3"/>
  <c r="G34" i="3" s="1"/>
  <c r="F6" i="42"/>
  <c r="D6" i="42"/>
  <c r="E6" i="42"/>
  <c r="F26" i="46"/>
  <c r="F30" i="46" s="1"/>
  <c r="G25" i="46"/>
  <c r="G26" i="46" s="1"/>
  <c r="G30" i="46" s="1"/>
  <c r="K46" i="3" l="1"/>
  <c r="K5" i="5"/>
  <c r="K27" i="5" s="1"/>
  <c r="K48" i="5" s="1"/>
  <c r="K49" i="3"/>
  <c r="L50" i="3"/>
  <c r="L55" i="3"/>
  <c r="L56" i="3" s="1"/>
  <c r="I55" i="3"/>
  <c r="I56" i="3" s="1"/>
  <c r="I50" i="3"/>
  <c r="J50" i="3"/>
  <c r="J55" i="3"/>
  <c r="J56" i="3" s="1"/>
  <c r="H50" i="3"/>
  <c r="H55" i="3"/>
  <c r="H56" i="3" s="1"/>
  <c r="I70" i="4"/>
  <c r="H71" i="4"/>
  <c r="H72" i="4"/>
  <c r="H73" i="4" s="1"/>
  <c r="L54" i="4"/>
  <c r="L55" i="4" s="1"/>
  <c r="L47" i="4"/>
  <c r="K34" i="4"/>
  <c r="K37" i="4"/>
  <c r="K38" i="4" s="1"/>
  <c r="K54" i="4"/>
  <c r="K55" i="4" s="1"/>
  <c r="K47" i="4"/>
  <c r="L34" i="4"/>
  <c r="L37" i="4"/>
  <c r="L38" i="4" s="1"/>
  <c r="C33" i="3"/>
  <c r="C34" i="3" s="1"/>
  <c r="E33" i="3"/>
  <c r="E34" i="3" s="1"/>
  <c r="E5" i="35"/>
  <c r="C5" i="35"/>
  <c r="D33" i="3"/>
  <c r="D34" i="3" s="1"/>
  <c r="D30" i="3"/>
  <c r="F33" i="3"/>
  <c r="F34" i="3" s="1"/>
  <c r="F5" i="35"/>
  <c r="C6" i="35"/>
  <c r="C6" i="15"/>
  <c r="C9" i="15" s="1"/>
  <c r="C51" i="6"/>
  <c r="C54" i="6" s="1"/>
  <c r="C6" i="20"/>
  <c r="C8" i="20" s="1"/>
  <c r="C78" i="6"/>
  <c r="C80" i="6" s="1"/>
  <c r="C37" i="3"/>
  <c r="G6" i="35"/>
  <c r="G6" i="15"/>
  <c r="G9" i="15" s="1"/>
  <c r="G51" i="6"/>
  <c r="G54" i="6" s="1"/>
  <c r="G6" i="20"/>
  <c r="G8" i="20" s="1"/>
  <c r="G37" i="3"/>
  <c r="G78" i="6"/>
  <c r="G80" i="6" s="1"/>
  <c r="E6" i="20"/>
  <c r="E8" i="20" s="1"/>
  <c r="E78" i="6"/>
  <c r="E80" i="6" s="1"/>
  <c r="E51" i="6"/>
  <c r="E54" i="6" s="1"/>
  <c r="E6" i="35"/>
  <c r="E6" i="15"/>
  <c r="E9" i="15" s="1"/>
  <c r="E37" i="3"/>
  <c r="K50" i="3" l="1"/>
  <c r="K55" i="3"/>
  <c r="K56" i="3" s="1"/>
  <c r="J70" i="4"/>
  <c r="I71" i="4"/>
  <c r="I72" i="4"/>
  <c r="I73" i="4" s="1"/>
  <c r="G41" i="3"/>
  <c r="G38" i="3"/>
  <c r="E41" i="3"/>
  <c r="E38" i="3"/>
  <c r="C41" i="3"/>
  <c r="C38" i="3"/>
  <c r="D37" i="3"/>
  <c r="D6" i="20"/>
  <c r="D8" i="20" s="1"/>
  <c r="D51" i="6"/>
  <c r="D54" i="6" s="1"/>
  <c r="D78" i="6"/>
  <c r="D80" i="6" s="1"/>
  <c r="D6" i="35"/>
  <c r="D6" i="15"/>
  <c r="D9" i="15" s="1"/>
  <c r="F6" i="15"/>
  <c r="F9" i="15" s="1"/>
  <c r="F37" i="3"/>
  <c r="F51" i="6"/>
  <c r="F54" i="6" s="1"/>
  <c r="F78" i="6"/>
  <c r="F80" i="6" s="1"/>
  <c r="F6" i="20"/>
  <c r="F8" i="20" s="1"/>
  <c r="F6" i="35"/>
  <c r="K70" i="4" l="1"/>
  <c r="J71" i="4"/>
  <c r="J72" i="4"/>
  <c r="J73" i="4" s="1"/>
  <c r="E45" i="3"/>
  <c r="E46" i="3" s="1"/>
  <c r="E42" i="3"/>
  <c r="C45" i="3"/>
  <c r="C42" i="3"/>
  <c r="G45" i="3"/>
  <c r="G46" i="3" s="1"/>
  <c r="G42" i="3"/>
  <c r="D41" i="3"/>
  <c r="D38" i="3"/>
  <c r="F41" i="3"/>
  <c r="F38" i="3"/>
  <c r="L70" i="4" l="1"/>
  <c r="K71" i="4"/>
  <c r="K72" i="4"/>
  <c r="K73" i="4" s="1"/>
  <c r="C49" i="3"/>
  <c r="C50" i="3" s="1"/>
  <c r="C46" i="3"/>
  <c r="D45" i="3"/>
  <c r="D46" i="3" s="1"/>
  <c r="D42" i="3"/>
  <c r="C6" i="7"/>
  <c r="C6" i="16"/>
  <c r="C8" i="16" s="1"/>
  <c r="C24" i="6"/>
  <c r="C46" i="6"/>
  <c r="C48" i="6" s="1"/>
  <c r="C6" i="6"/>
  <c r="C6" i="45"/>
  <c r="C9" i="10"/>
  <c r="C55" i="3"/>
  <c r="C5" i="45" s="1"/>
  <c r="C6" i="14"/>
  <c r="C8" i="14" s="1"/>
  <c r="C57" i="6"/>
  <c r="C59" i="6" s="1"/>
  <c r="C61" i="3"/>
  <c r="F45" i="3"/>
  <c r="F46" i="3" s="1"/>
  <c r="F42" i="3"/>
  <c r="G5" i="5"/>
  <c r="G27" i="5" s="1"/>
  <c r="G48" i="5" s="1"/>
  <c r="G49" i="3"/>
  <c r="G50" i="3" s="1"/>
  <c r="E5" i="5"/>
  <c r="E27" i="5" s="1"/>
  <c r="E48" i="5" s="1"/>
  <c r="E49" i="3"/>
  <c r="E50" i="3" s="1"/>
  <c r="L71" i="4" l="1"/>
  <c r="L72" i="4"/>
  <c r="L73" i="4" s="1"/>
  <c r="E24" i="6"/>
  <c r="E6" i="6"/>
  <c r="E6" i="7"/>
  <c r="E6" i="45"/>
  <c r="E46" i="6"/>
  <c r="E6" i="16"/>
  <c r="E61" i="3"/>
  <c r="E9" i="10"/>
  <c r="E6" i="14"/>
  <c r="E57" i="6"/>
  <c r="E55" i="3"/>
  <c r="E5" i="45" s="1"/>
  <c r="F5" i="5"/>
  <c r="F27" i="5" s="1"/>
  <c r="F48" i="5" s="1"/>
  <c r="F49" i="3"/>
  <c r="F50" i="3" s="1"/>
  <c r="G6" i="14"/>
  <c r="G57" i="6"/>
  <c r="G6" i="6"/>
  <c r="G6" i="7"/>
  <c r="G24" i="6"/>
  <c r="G9" i="10"/>
  <c r="G46" i="6"/>
  <c r="G55" i="3"/>
  <c r="G5" i="45" s="1"/>
  <c r="G6" i="16"/>
  <c r="G6" i="45"/>
  <c r="G61" i="3"/>
  <c r="C7" i="11"/>
  <c r="C8" i="11" s="1"/>
  <c r="C9" i="11" s="1"/>
  <c r="C7" i="6"/>
  <c r="C8" i="6" s="1"/>
  <c r="C7" i="9"/>
  <c r="C8" i="9" s="1"/>
  <c r="C12" i="6"/>
  <c r="C13" i="6" s="1"/>
  <c r="C31" i="6"/>
  <c r="C32" i="6" s="1"/>
  <c r="C33" i="6" s="1"/>
  <c r="C10" i="10"/>
  <c r="C11" i="10" s="1"/>
  <c r="C22" i="6"/>
  <c r="C23" i="6" s="1"/>
  <c r="C17" i="6"/>
  <c r="C18" i="6" s="1"/>
  <c r="C7" i="10"/>
  <c r="C8" i="10" s="1"/>
  <c r="C12" i="10" s="1"/>
  <c r="C7" i="7"/>
  <c r="C8" i="7" s="1"/>
  <c r="C7" i="8"/>
  <c r="C8" i="8" s="1"/>
  <c r="C25" i="6"/>
  <c r="C26" i="6" s="1"/>
  <c r="D49" i="3"/>
  <c r="D50" i="3" s="1"/>
  <c r="D5" i="5"/>
  <c r="D27" i="5" s="1"/>
  <c r="D48" i="5" s="1"/>
  <c r="C27" i="6" l="1"/>
  <c r="E7" i="10"/>
  <c r="E8" i="10" s="1"/>
  <c r="E22" i="6"/>
  <c r="E23" i="6" s="1"/>
  <c r="E7" i="6"/>
  <c r="E8" i="6" s="1"/>
  <c r="E10" i="10"/>
  <c r="E11" i="10" s="1"/>
  <c r="E12" i="6"/>
  <c r="E13" i="6" s="1"/>
  <c r="E7" i="11"/>
  <c r="E8" i="11" s="1"/>
  <c r="E9" i="11" s="1"/>
  <c r="E25" i="6"/>
  <c r="E26" i="6" s="1"/>
  <c r="E31" i="6"/>
  <c r="E32" i="6" s="1"/>
  <c r="E33" i="6" s="1"/>
  <c r="E7" i="8"/>
  <c r="E8" i="8" s="1"/>
  <c r="E7" i="9"/>
  <c r="E7" i="7"/>
  <c r="E8" i="7" s="1"/>
  <c r="E17" i="6"/>
  <c r="G7" i="11"/>
  <c r="G8" i="11" s="1"/>
  <c r="G9" i="11" s="1"/>
  <c r="G7" i="6"/>
  <c r="G8" i="6" s="1"/>
  <c r="G25" i="6"/>
  <c r="G26" i="6" s="1"/>
  <c r="G7" i="10"/>
  <c r="G8" i="10" s="1"/>
  <c r="G12" i="6"/>
  <c r="G13" i="6" s="1"/>
  <c r="G7" i="8"/>
  <c r="G8" i="8" s="1"/>
  <c r="G10" i="10"/>
  <c r="G11" i="10" s="1"/>
  <c r="G7" i="7"/>
  <c r="G8" i="7" s="1"/>
  <c r="G22" i="6"/>
  <c r="G23" i="6" s="1"/>
  <c r="G17" i="6"/>
  <c r="G31" i="6"/>
  <c r="G32" i="6" s="1"/>
  <c r="G33" i="6" s="1"/>
  <c r="G7" i="9"/>
  <c r="D70" i="4"/>
  <c r="D38" i="46"/>
  <c r="D9" i="10"/>
  <c r="D24" i="6"/>
  <c r="D57" i="6"/>
  <c r="D46" i="6"/>
  <c r="D6" i="16"/>
  <c r="D61" i="3"/>
  <c r="D6" i="7"/>
  <c r="D55" i="3"/>
  <c r="D6" i="14"/>
  <c r="D6" i="45"/>
  <c r="D6" i="6"/>
  <c r="F46" i="6"/>
  <c r="F55" i="3"/>
  <c r="F5" i="45" s="1"/>
  <c r="F6" i="45"/>
  <c r="F24" i="6"/>
  <c r="F9" i="10"/>
  <c r="F6" i="7"/>
  <c r="F6" i="6"/>
  <c r="F6" i="14"/>
  <c r="F61" i="3"/>
  <c r="F57" i="6"/>
  <c r="F6" i="16"/>
  <c r="F17" i="6" l="1"/>
  <c r="F10" i="10"/>
  <c r="F11" i="10" s="1"/>
  <c r="F7" i="9"/>
  <c r="F7" i="10"/>
  <c r="F8" i="10" s="1"/>
  <c r="F12" i="10" s="1"/>
  <c r="F22" i="6"/>
  <c r="F23" i="6" s="1"/>
  <c r="F31" i="6"/>
  <c r="F32" i="6" s="1"/>
  <c r="F33" i="6" s="1"/>
  <c r="F7" i="8"/>
  <c r="F8" i="8" s="1"/>
  <c r="F25" i="6"/>
  <c r="F26" i="6" s="1"/>
  <c r="F7" i="7"/>
  <c r="F8" i="7" s="1"/>
  <c r="F7" i="6"/>
  <c r="F8" i="6" s="1"/>
  <c r="F12" i="6"/>
  <c r="F13" i="6" s="1"/>
  <c r="F7" i="11"/>
  <c r="F8" i="11" s="1"/>
  <c r="F9" i="11" s="1"/>
  <c r="D8" i="46"/>
  <c r="D11" i="4"/>
  <c r="D5" i="45"/>
  <c r="E38" i="46"/>
  <c r="D39" i="46"/>
  <c r="D40" i="46" s="1"/>
  <c r="E27" i="6"/>
  <c r="E70" i="4"/>
  <c r="D72" i="4"/>
  <c r="D88" i="6"/>
  <c r="D90" i="6" s="1"/>
  <c r="D93" i="6"/>
  <c r="D95" i="6" s="1"/>
  <c r="D6" i="23"/>
  <c r="D8" i="23" s="1"/>
  <c r="D6" i="22"/>
  <c r="D8" i="22" s="1"/>
  <c r="G27" i="6"/>
  <c r="E12" i="10"/>
  <c r="D7" i="7"/>
  <c r="D8" i="7" s="1"/>
  <c r="D10" i="10"/>
  <c r="D11" i="10" s="1"/>
  <c r="D22" i="6"/>
  <c r="D23" i="6" s="1"/>
  <c r="D7" i="10"/>
  <c r="D8" i="10" s="1"/>
  <c r="D7" i="6"/>
  <c r="D8" i="6" s="1"/>
  <c r="D7" i="8"/>
  <c r="D8" i="8" s="1"/>
  <c r="D17" i="6"/>
  <c r="D31" i="6"/>
  <c r="D32" i="6" s="1"/>
  <c r="D33" i="6" s="1"/>
  <c r="D25" i="6"/>
  <c r="D26" i="6" s="1"/>
  <c r="D12" i="6"/>
  <c r="D13" i="6" s="1"/>
  <c r="D7" i="11"/>
  <c r="D8" i="11" s="1"/>
  <c r="D9" i="11" s="1"/>
  <c r="D7" i="9"/>
  <c r="G12" i="10"/>
  <c r="F70" i="4" l="1"/>
  <c r="E6" i="22"/>
  <c r="E8" i="22" s="1"/>
  <c r="E88" i="6"/>
  <c r="E90" i="6" s="1"/>
  <c r="E6" i="23"/>
  <c r="E8" i="23" s="1"/>
  <c r="E72" i="4"/>
  <c r="E93" i="6"/>
  <c r="E95" i="6" s="1"/>
  <c r="D12" i="10"/>
  <c r="F38" i="46"/>
  <c r="E39" i="46"/>
  <c r="E40" i="46" s="1"/>
  <c r="D27" i="6"/>
  <c r="E11" i="4"/>
  <c r="D13" i="4"/>
  <c r="D5" i="36"/>
  <c r="D74" i="4"/>
  <c r="D72" i="6"/>
  <c r="D75" i="6" s="1"/>
  <c r="D6" i="19"/>
  <c r="D9" i="19" s="1"/>
  <c r="D6" i="43"/>
  <c r="D67" i="6"/>
  <c r="D69" i="6" s="1"/>
  <c r="D6" i="18"/>
  <c r="D8" i="18" s="1"/>
  <c r="D9" i="46"/>
  <c r="D21" i="46" s="1"/>
  <c r="E8" i="46"/>
  <c r="F27" i="6"/>
  <c r="E13" i="4" l="1"/>
  <c r="F11" i="4"/>
  <c r="D63" i="6"/>
  <c r="D64" i="6" s="1"/>
  <c r="D37" i="4"/>
  <c r="D7" i="16"/>
  <c r="D8" i="16" s="1"/>
  <c r="D53" i="6"/>
  <c r="D5" i="34"/>
  <c r="D16" i="6"/>
  <c r="D18" i="6" s="1"/>
  <c r="D7" i="17"/>
  <c r="D8" i="17" s="1"/>
  <c r="D14" i="4"/>
  <c r="D6" i="9"/>
  <c r="D8" i="9" s="1"/>
  <c r="D58" i="6"/>
  <c r="D59" i="6" s="1"/>
  <c r="D8" i="15"/>
  <c r="G38" i="46"/>
  <c r="G39" i="46" s="1"/>
  <c r="G40" i="46" s="1"/>
  <c r="F39" i="46"/>
  <c r="F40" i="46" s="1"/>
  <c r="D73" i="4"/>
  <c r="D69" i="4"/>
  <c r="D99" i="6"/>
  <c r="D100" i="6" s="1"/>
  <c r="D53" i="4"/>
  <c r="D71" i="4"/>
  <c r="D5" i="43"/>
  <c r="D28" i="4"/>
  <c r="D32" i="4"/>
  <c r="D6" i="4"/>
  <c r="D47" i="4"/>
  <c r="D43" i="4"/>
  <c r="D24" i="4"/>
  <c r="D65" i="4"/>
  <c r="D12" i="4"/>
  <c r="D36" i="4"/>
  <c r="D41" i="4"/>
  <c r="D55" i="4"/>
  <c r="D10" i="4"/>
  <c r="D67" i="4"/>
  <c r="D63" i="4"/>
  <c r="D47" i="6"/>
  <c r="D48" i="6" s="1"/>
  <c r="D18" i="4"/>
  <c r="D49" i="4"/>
  <c r="D59" i="4"/>
  <c r="D61" i="4"/>
  <c r="D20" i="4"/>
  <c r="D75" i="4"/>
  <c r="D7" i="24"/>
  <c r="D8" i="24" s="1"/>
  <c r="D8" i="4"/>
  <c r="D57" i="4"/>
  <c r="D5" i="42"/>
  <c r="D34" i="4"/>
  <c r="D22" i="4"/>
  <c r="D26" i="4"/>
  <c r="D51" i="4"/>
  <c r="D16" i="4"/>
  <c r="D30" i="4"/>
  <c r="D7" i="14"/>
  <c r="D8" i="14" s="1"/>
  <c r="D45" i="4"/>
  <c r="F8" i="46"/>
  <c r="E9" i="46"/>
  <c r="E21" i="46" s="1"/>
  <c r="E72" i="6"/>
  <c r="E75" i="6" s="1"/>
  <c r="E67" i="6"/>
  <c r="E69" i="6" s="1"/>
  <c r="E5" i="36"/>
  <c r="E6" i="18"/>
  <c r="E8" i="18" s="1"/>
  <c r="E74" i="4"/>
  <c r="E6" i="19"/>
  <c r="E9" i="19" s="1"/>
  <c r="E6" i="43"/>
  <c r="F88" i="6"/>
  <c r="F90" i="6" s="1"/>
  <c r="F93" i="6"/>
  <c r="F95" i="6" s="1"/>
  <c r="F72" i="4"/>
  <c r="F6" i="23"/>
  <c r="F8" i="23" s="1"/>
  <c r="G70" i="4"/>
  <c r="F6" i="22"/>
  <c r="F8" i="22" s="1"/>
  <c r="D5" i="41" l="1"/>
  <c r="D5" i="40"/>
  <c r="D38" i="4"/>
  <c r="D6" i="34"/>
  <c r="F6" i="18"/>
  <c r="F8" i="18" s="1"/>
  <c r="F6" i="43"/>
  <c r="F67" i="6"/>
  <c r="F69" i="6" s="1"/>
  <c r="F6" i="19"/>
  <c r="F9" i="19" s="1"/>
  <c r="F74" i="4"/>
  <c r="F73" i="4" s="1"/>
  <c r="F5" i="36"/>
  <c r="F72" i="6"/>
  <c r="F75" i="6" s="1"/>
  <c r="F13" i="4"/>
  <c r="G11" i="4"/>
  <c r="G13" i="4" s="1"/>
  <c r="G93" i="6"/>
  <c r="G95" i="6" s="1"/>
  <c r="G88" i="6"/>
  <c r="G90" i="6" s="1"/>
  <c r="G6" i="23"/>
  <c r="G8" i="23" s="1"/>
  <c r="G72" i="4"/>
  <c r="G6" i="22"/>
  <c r="G8" i="22" s="1"/>
  <c r="F9" i="46"/>
  <c r="F21" i="46" s="1"/>
  <c r="G8" i="46"/>
  <c r="G9" i="46" s="1"/>
  <c r="G21" i="46" s="1"/>
  <c r="E71" i="4"/>
  <c r="E34" i="4"/>
  <c r="E30" i="4"/>
  <c r="E5" i="42"/>
  <c r="E36" i="4"/>
  <c r="E43" i="4"/>
  <c r="E75" i="4"/>
  <c r="E26" i="4"/>
  <c r="E22" i="4"/>
  <c r="E61" i="4"/>
  <c r="E49" i="4"/>
  <c r="E7" i="24"/>
  <c r="E8" i="24" s="1"/>
  <c r="E7" i="14"/>
  <c r="E8" i="14" s="1"/>
  <c r="E51" i="4"/>
  <c r="E55" i="4"/>
  <c r="E10" i="4"/>
  <c r="E41" i="4"/>
  <c r="E99" i="6"/>
  <c r="E100" i="6" s="1"/>
  <c r="E12" i="4"/>
  <c r="E47" i="4"/>
  <c r="E73" i="4"/>
  <c r="E20" i="4"/>
  <c r="E69" i="4"/>
  <c r="E5" i="43"/>
  <c r="E47" i="6"/>
  <c r="E48" i="6" s="1"/>
  <c r="E16" i="4"/>
  <c r="E53" i="4"/>
  <c r="E65" i="4"/>
  <c r="E18" i="4"/>
  <c r="E6" i="4"/>
  <c r="E28" i="4"/>
  <c r="E8" i="4"/>
  <c r="E45" i="4"/>
  <c r="E57" i="4"/>
  <c r="E67" i="4"/>
  <c r="E32" i="4"/>
  <c r="E24" i="4"/>
  <c r="E59" i="4"/>
  <c r="E63" i="4"/>
  <c r="E6" i="9"/>
  <c r="E8" i="9" s="1"/>
  <c r="E7" i="16"/>
  <c r="E8" i="16" s="1"/>
  <c r="E7" i="17"/>
  <c r="E8" i="17" s="1"/>
  <c r="E53" i="6"/>
  <c r="E14" i="4"/>
  <c r="E37" i="4"/>
  <c r="E63" i="6"/>
  <c r="E64" i="6" s="1"/>
  <c r="E58" i="6"/>
  <c r="E59" i="6" s="1"/>
  <c r="E16" i="6"/>
  <c r="E18" i="6" s="1"/>
  <c r="E5" i="34"/>
  <c r="E8" i="15"/>
  <c r="E5" i="40" l="1"/>
  <c r="E5" i="41"/>
  <c r="E38" i="4"/>
  <c r="E6" i="34"/>
  <c r="G6" i="43"/>
  <c r="G74" i="4"/>
  <c r="G6" i="18"/>
  <c r="G8" i="18" s="1"/>
  <c r="G67" i="6"/>
  <c r="G69" i="6" s="1"/>
  <c r="G5" i="36"/>
  <c r="G6" i="19"/>
  <c r="G9" i="19" s="1"/>
  <c r="G72" i="6"/>
  <c r="G75" i="6" s="1"/>
  <c r="G37" i="4"/>
  <c r="G7" i="16"/>
  <c r="G8" i="16" s="1"/>
  <c r="G8" i="15"/>
  <c r="G53" i="6"/>
  <c r="G58" i="6"/>
  <c r="G59" i="6" s="1"/>
  <c r="G16" i="6"/>
  <c r="G18" i="6" s="1"/>
  <c r="G63" i="6"/>
  <c r="G64" i="6" s="1"/>
  <c r="G5" i="34"/>
  <c r="G7" i="17"/>
  <c r="G8" i="17" s="1"/>
  <c r="G6" i="9"/>
  <c r="G8" i="9" s="1"/>
  <c r="F58" i="6"/>
  <c r="F59" i="6" s="1"/>
  <c r="F7" i="17"/>
  <c r="F8" i="17" s="1"/>
  <c r="F63" i="6"/>
  <c r="F64" i="6" s="1"/>
  <c r="F6" i="9"/>
  <c r="F8" i="9" s="1"/>
  <c r="F37" i="4"/>
  <c r="F7" i="16"/>
  <c r="F8" i="16" s="1"/>
  <c r="F16" i="6"/>
  <c r="F18" i="6" s="1"/>
  <c r="F14" i="4"/>
  <c r="F8" i="15"/>
  <c r="F53" i="6"/>
  <c r="F5" i="34"/>
  <c r="F8" i="4"/>
  <c r="F53" i="4"/>
  <c r="F47" i="4"/>
  <c r="F65" i="4"/>
  <c r="F34" i="4"/>
  <c r="F6" i="4"/>
  <c r="F71" i="4"/>
  <c r="F57" i="4"/>
  <c r="F49" i="4"/>
  <c r="F51" i="4"/>
  <c r="F18" i="4"/>
  <c r="F99" i="6"/>
  <c r="F100" i="6" s="1"/>
  <c r="F10" i="4"/>
  <c r="F20" i="4"/>
  <c r="F5" i="43"/>
  <c r="F12" i="4"/>
  <c r="F47" i="6"/>
  <c r="F48" i="6" s="1"/>
  <c r="F63" i="4"/>
  <c r="F16" i="4"/>
  <c r="F32" i="4"/>
  <c r="F7" i="24"/>
  <c r="F8" i="24" s="1"/>
  <c r="F59" i="4"/>
  <c r="F28" i="4"/>
  <c r="F24" i="4"/>
  <c r="F61" i="4"/>
  <c r="F75" i="4"/>
  <c r="F43" i="4"/>
  <c r="F22" i="4"/>
  <c r="F5" i="42"/>
  <c r="F69" i="4"/>
  <c r="F7" i="14"/>
  <c r="F8" i="14" s="1"/>
  <c r="F26" i="4"/>
  <c r="F55" i="4"/>
  <c r="F30" i="4"/>
  <c r="F45" i="4"/>
  <c r="F41" i="4"/>
  <c r="F67" i="4"/>
  <c r="F36" i="4"/>
  <c r="F5" i="40" l="1"/>
  <c r="F6" i="34"/>
  <c r="F38" i="4"/>
  <c r="F5" i="41"/>
  <c r="G38" i="4"/>
  <c r="G75" i="4"/>
  <c r="G67" i="4"/>
  <c r="G99" i="6"/>
  <c r="G100" i="6" s="1"/>
  <c r="G18" i="4"/>
  <c r="G47" i="6"/>
  <c r="G48" i="6" s="1"/>
  <c r="G5" i="42"/>
  <c r="G61" i="4"/>
  <c r="G65" i="4"/>
  <c r="G24" i="4"/>
  <c r="G71" i="4"/>
  <c r="G5" i="43"/>
  <c r="G47" i="4"/>
  <c r="G7" i="24"/>
  <c r="G8" i="24" s="1"/>
  <c r="G43" i="4"/>
  <c r="G73" i="4"/>
  <c r="G36" i="4"/>
  <c r="G10" i="4"/>
  <c r="G26" i="4"/>
  <c r="G8" i="4"/>
  <c r="G30" i="4"/>
  <c r="G34" i="4"/>
  <c r="G12" i="4"/>
  <c r="G20" i="4"/>
  <c r="G14" i="4"/>
  <c r="G41" i="4"/>
  <c r="G28" i="4"/>
  <c r="G51" i="4"/>
  <c r="G57" i="4"/>
  <c r="G16" i="4"/>
  <c r="G6" i="4"/>
  <c r="G63" i="4"/>
  <c r="G59" i="4"/>
  <c r="G53" i="4"/>
  <c r="G45" i="4"/>
  <c r="G49" i="4"/>
  <c r="G32" i="4"/>
  <c r="G22" i="4"/>
  <c r="G55" i="4"/>
  <c r="G7" i="14"/>
  <c r="G8" i="14" s="1"/>
  <c r="G69" i="4"/>
  <c r="G5" i="40"/>
  <c r="G5" i="41"/>
  <c r="G6" i="34"/>
</calcChain>
</file>

<file path=xl/sharedStrings.xml><?xml version="1.0" encoding="utf-8"?>
<sst xmlns="http://schemas.openxmlformats.org/spreadsheetml/2006/main" count="720" uniqueCount="288">
  <si>
    <t>Balance Sheet of Wockhardt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</si>
  <si>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</si>
  <si>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</si>
  <si>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</si>
  <si>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</si>
  <si>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</si>
  <si>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</si>
  <si>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</si>
  <si>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</si>
  <si>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</si>
  <si>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</si>
  <si>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</si>
  <si>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</si>
  <si>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</si>
  <si>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</si>
  <si>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</si>
  <si>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</si>
  <si>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</si>
  <si>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</si>
  <si>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</si>
  <si>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</si>
  <si>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</si>
  <si>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</si>
  <si>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</si>
  <si>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</si>
  <si>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</si>
  <si>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</si>
  <si>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</si>
  <si>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</si>
  <si>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</si>
  <si>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</si>
  <si>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</si>
  <si>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</si>
  <si>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</si>
  <si>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</si>
  <si>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</si>
  <si>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</si>
  <si>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</si>
  <si>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</si>
  <si>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</si>
  <si>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</si>
  <si>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</si>
  <si>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</si>
  <si>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</si>
  <si>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</si>
  <si>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</si>
  <si>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</si>
  <si>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</si>
  <si>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</si>
  <si>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</si>
  <si>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</si>
  <si>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</si>
  <si>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</si>
  <si>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</si>
  <si>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</si>
  <si>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Wockhardt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</si>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</sst>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0" fontId="1" fillId="8" borderId="0" xfId="0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2" fillId="8" borderId="0" xfId="0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4" fontId="1" fillId="8" borderId="0" xfId="0" applyNumberFormat="1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190-4A64-B208-4867BB13E4ED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190-4A64-B208-4867BB13E4E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190-4A64-B208-4867BB13E4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-55</c:v>
                </c:pt>
                <c:pt idx="1">
                  <c:v>-18</c:v>
                </c:pt>
                <c:pt idx="2">
                  <c:v>-6</c:v>
                </c:pt>
                <c:pt idx="3">
                  <c:v>62</c:v>
                </c:pt>
                <c:pt idx="4">
                  <c:v>-20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90-4A64-B208-4867BB13E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503248"/>
        <c:axId val="452504232"/>
      </c:lineChart>
      <c:catAx>
        <c:axId val="45250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504232"/>
        <c:crosses val="autoZero"/>
        <c:auto val="0"/>
        <c:lblAlgn val="ctr"/>
        <c:lblOffset val="100"/>
        <c:noMultiLvlLbl val="0"/>
      </c:catAx>
      <c:valAx>
        <c:axId val="452504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5032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577-4256-9046-8C649ACA466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577-4256-9046-8C649ACA46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0.04</c:v>
                </c:pt>
                <c:pt idx="1">
                  <c:v>0.1</c:v>
                </c:pt>
                <c:pt idx="2">
                  <c:v>0.05</c:v>
                </c:pt>
                <c:pt idx="3">
                  <c:v>0.14000000000000001</c:v>
                </c:pt>
                <c:pt idx="4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577-4256-9046-8C649ACA4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454824"/>
        <c:axId val="547455152"/>
      </c:lineChart>
      <c:catAx>
        <c:axId val="547454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455152"/>
        <c:crosses val="autoZero"/>
        <c:auto val="0"/>
        <c:lblAlgn val="ctr"/>
        <c:lblOffset val="100"/>
        <c:noMultiLvlLbl val="0"/>
      </c:catAx>
      <c:valAx>
        <c:axId val="547455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474548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2DE-4D50-B81F-CDAA08CA50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0.93</c:v>
                </c:pt>
                <c:pt idx="1">
                  <c:v>0.63</c:v>
                </c:pt>
                <c:pt idx="2">
                  <c:v>0.54</c:v>
                </c:pt>
                <c:pt idx="3">
                  <c:v>0.28000000000000003</c:v>
                </c:pt>
                <c:pt idx="4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2DE-4D50-B81F-CDAA08CA5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051184"/>
        <c:axId val="547049544"/>
      </c:lineChart>
      <c:catAx>
        <c:axId val="54705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049544"/>
        <c:crosses val="autoZero"/>
        <c:auto val="0"/>
        <c:lblAlgn val="ctr"/>
        <c:lblOffset val="100"/>
        <c:noMultiLvlLbl val="0"/>
      </c:catAx>
      <c:valAx>
        <c:axId val="547049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70511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27D-4406-B6B6-7BC1DE4CED3B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27D-4406-B6B6-7BC1DE4CED3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27D-4406-B6B6-7BC1DE4CED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1.56</c:v>
                </c:pt>
                <c:pt idx="1">
                  <c:v>2.36</c:v>
                </c:pt>
                <c:pt idx="2">
                  <c:v>2.19</c:v>
                </c:pt>
                <c:pt idx="3">
                  <c:v>3.16</c:v>
                </c:pt>
                <c:pt idx="4">
                  <c:v>3.44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7D-4406-B6B6-7BC1DE4CE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7024"/>
        <c:axId val="364042760"/>
      </c:lineChart>
      <c:catAx>
        <c:axId val="36404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2760"/>
        <c:crosses val="autoZero"/>
        <c:auto val="0"/>
        <c:lblAlgn val="ctr"/>
        <c:lblOffset val="100"/>
        <c:noMultiLvlLbl val="0"/>
      </c:catAx>
      <c:valAx>
        <c:axId val="364042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70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F85-4F46-92B6-6E056F307AB3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F85-4F46-92B6-6E056F307AB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F85-4F46-92B6-6E056F307AB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1.2</c:v>
                </c:pt>
                <c:pt idx="1">
                  <c:v>2.0099999999999998</c:v>
                </c:pt>
                <c:pt idx="2">
                  <c:v>1.95</c:v>
                </c:pt>
                <c:pt idx="3">
                  <c:v>2.82</c:v>
                </c:pt>
                <c:pt idx="4">
                  <c:v>3.08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F85-4F46-92B6-6E056F307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986688"/>
        <c:axId val="453989968"/>
      </c:lineChart>
      <c:catAx>
        <c:axId val="4539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9968"/>
        <c:crosses val="autoZero"/>
        <c:auto val="0"/>
        <c:lblAlgn val="ctr"/>
        <c:lblOffset val="100"/>
        <c:noMultiLvlLbl val="0"/>
      </c:catAx>
      <c:valAx>
        <c:axId val="453989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9866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5D-429A-99B2-16D72F38E1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3.47</c:v>
                </c:pt>
                <c:pt idx="1">
                  <c:v>3.43</c:v>
                </c:pt>
                <c:pt idx="2">
                  <c:v>1.83</c:v>
                </c:pt>
                <c:pt idx="3">
                  <c:v>1.08</c:v>
                </c:pt>
                <c:pt idx="4">
                  <c:v>2.4300000000000002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5D-429A-99B2-16D72F38E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988984"/>
        <c:axId val="453987672"/>
      </c:lineChart>
      <c:catAx>
        <c:axId val="453988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7672"/>
        <c:crosses val="autoZero"/>
        <c:auto val="0"/>
        <c:lblAlgn val="ctr"/>
        <c:lblOffset val="100"/>
        <c:noMultiLvlLbl val="0"/>
      </c:catAx>
      <c:valAx>
        <c:axId val="453987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9889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35-4EAA-A059-BE32ED746F1B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635-4EAA-A059-BE32ED746F1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0.22</c:v>
                </c:pt>
                <c:pt idx="1">
                  <c:v>0.21</c:v>
                </c:pt>
                <c:pt idx="2">
                  <c:v>0.22</c:v>
                </c:pt>
                <c:pt idx="3">
                  <c:v>0.25</c:v>
                </c:pt>
                <c:pt idx="4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635-4EAA-A059-BE32ED746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995240"/>
        <c:axId val="452994912"/>
      </c:lineChart>
      <c:catAx>
        <c:axId val="45299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994912"/>
        <c:crosses val="autoZero"/>
        <c:auto val="0"/>
        <c:lblAlgn val="ctr"/>
        <c:lblOffset val="100"/>
        <c:noMultiLvlLbl val="0"/>
      </c:catAx>
      <c:valAx>
        <c:axId val="452994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995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CD3-4375-9F8B-6E3099ED941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CD3-4375-9F8B-6E3099ED941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CD3-4375-9F8B-6E3099ED9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455.34</c:v>
                </c:pt>
                <c:pt idx="1">
                  <c:v>1132.71</c:v>
                </c:pt>
                <c:pt idx="2">
                  <c:v>2126.77</c:v>
                </c:pt>
                <c:pt idx="3">
                  <c:v>2600.6799999999998</c:v>
                </c:pt>
                <c:pt idx="4">
                  <c:v>2597.84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D3-4375-9F8B-6E3099ED9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549472"/>
        <c:axId val="546549800"/>
      </c:lineChart>
      <c:catAx>
        <c:axId val="54654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549800"/>
        <c:crosses val="autoZero"/>
        <c:auto val="0"/>
        <c:lblAlgn val="ctr"/>
        <c:lblOffset val="100"/>
        <c:noMultiLvlLbl val="0"/>
      </c:catAx>
      <c:valAx>
        <c:axId val="546549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65494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E62-4810-A36B-51B5372A05BE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E62-4810-A36B-51B5372A05B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E62-4810-A36B-51B5372A05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1082.25</c:v>
                </c:pt>
                <c:pt idx="1">
                  <c:v>2650.79</c:v>
                </c:pt>
                <c:pt idx="2">
                  <c:v>3622.62</c:v>
                </c:pt>
                <c:pt idx="3">
                  <c:v>4862.41</c:v>
                </c:pt>
                <c:pt idx="4">
                  <c:v>4355.83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62-4810-A36B-51B5372A0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993600"/>
        <c:axId val="453214824"/>
      </c:lineChart>
      <c:catAx>
        <c:axId val="45299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214824"/>
        <c:crosses val="autoZero"/>
        <c:auto val="0"/>
        <c:lblAlgn val="ctr"/>
        <c:lblOffset val="100"/>
        <c:noMultiLvlLbl val="0"/>
      </c:catAx>
      <c:valAx>
        <c:axId val="453214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9936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833-4102-8AFC-8A46EAAD3594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833-4102-8AFC-8A46EAAD359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0.48</c:v>
                </c:pt>
                <c:pt idx="1">
                  <c:v>0.49</c:v>
                </c:pt>
                <c:pt idx="2">
                  <c:v>0.3</c:v>
                </c:pt>
                <c:pt idx="3">
                  <c:v>0.27</c:v>
                </c:pt>
                <c:pt idx="4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833-4102-8AFC-8A46EAAD3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217120"/>
        <c:axId val="453216464"/>
      </c:lineChart>
      <c:catAx>
        <c:axId val="45321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216464"/>
        <c:crosses val="autoZero"/>
        <c:auto val="0"/>
        <c:lblAlgn val="ctr"/>
        <c:lblOffset val="100"/>
        <c:noMultiLvlLbl val="0"/>
      </c:catAx>
      <c:valAx>
        <c:axId val="453216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2171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681-41C1-97F5-385F5308D2B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681-41C1-97F5-385F5308D2B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4.58</c:v>
                </c:pt>
                <c:pt idx="1">
                  <c:v>5.05</c:v>
                </c:pt>
                <c:pt idx="2">
                  <c:v>4.1100000000000003</c:v>
                </c:pt>
                <c:pt idx="3">
                  <c:v>3.38</c:v>
                </c:pt>
                <c:pt idx="4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681-41C1-97F5-385F5308D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622784"/>
        <c:axId val="547623440"/>
      </c:lineChart>
      <c:catAx>
        <c:axId val="54762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623440"/>
        <c:crosses val="autoZero"/>
        <c:auto val="0"/>
        <c:lblAlgn val="ctr"/>
        <c:lblOffset val="100"/>
        <c:noMultiLvlLbl val="0"/>
      </c:catAx>
      <c:valAx>
        <c:axId val="547623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76227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B8D-4591-98CB-223839AB7874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B8D-4591-98CB-223839AB787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B8D-4591-98CB-223839AB7874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B8D-4591-98CB-223839AB787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B8D-4591-98CB-223839AB7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319496"/>
        <c:axId val="452318184"/>
      </c:lineChart>
      <c:catAx>
        <c:axId val="452319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318184"/>
        <c:crosses val="autoZero"/>
        <c:auto val="0"/>
        <c:lblAlgn val="ctr"/>
        <c:lblOffset val="100"/>
        <c:noMultiLvlLbl val="0"/>
      </c:catAx>
      <c:valAx>
        <c:axId val="452318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3194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27B-435A-8B2A-5566016D353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27B-435A-8B2A-5566016D353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4.07</c:v>
                </c:pt>
                <c:pt idx="1">
                  <c:v>3.28</c:v>
                </c:pt>
                <c:pt idx="2">
                  <c:v>2.2799999999999998</c:v>
                </c:pt>
                <c:pt idx="3">
                  <c:v>2.94</c:v>
                </c:pt>
                <c:pt idx="4">
                  <c:v>3.52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27B-435A-8B2A-5566016D3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351248"/>
        <c:axId val="453348296"/>
      </c:lineChart>
      <c:catAx>
        <c:axId val="45335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348296"/>
        <c:crosses val="autoZero"/>
        <c:auto val="0"/>
        <c:lblAlgn val="ctr"/>
        <c:lblOffset val="100"/>
        <c:noMultiLvlLbl val="0"/>
      </c:catAx>
      <c:valAx>
        <c:axId val="453348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3512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CBA-4CEF-8EDF-C4D0B29243A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2.0099999999999998</c:v>
                </c:pt>
                <c:pt idx="1">
                  <c:v>1.95</c:v>
                </c:pt>
                <c:pt idx="2">
                  <c:v>1.1399999999999999</c:v>
                </c:pt>
                <c:pt idx="3">
                  <c:v>1.17</c:v>
                </c:pt>
                <c:pt idx="4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BA-4CEF-8EDF-C4D0B2924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349608"/>
        <c:axId val="453350264"/>
      </c:lineChart>
      <c:catAx>
        <c:axId val="45334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350264"/>
        <c:crosses val="autoZero"/>
        <c:auto val="0"/>
        <c:lblAlgn val="ctr"/>
        <c:lblOffset val="100"/>
        <c:noMultiLvlLbl val="0"/>
      </c:catAx>
      <c:valAx>
        <c:axId val="453350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349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CA5-45CD-B5B9-AF4C3AC5FCB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CA5-45CD-B5B9-AF4C3AC5FCB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0.37</c:v>
                </c:pt>
                <c:pt idx="1">
                  <c:v>0.36</c:v>
                </c:pt>
                <c:pt idx="2">
                  <c:v>0.21</c:v>
                </c:pt>
                <c:pt idx="3">
                  <c:v>0.28000000000000003</c:v>
                </c:pt>
                <c:pt idx="4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A5-45CD-B5B9-AF4C3AC5F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93120"/>
        <c:axId val="274096520"/>
      </c:lineChart>
      <c:catAx>
        <c:axId val="43979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4096520"/>
        <c:crosses val="autoZero"/>
        <c:auto val="0"/>
        <c:lblAlgn val="ctr"/>
        <c:lblOffset val="100"/>
        <c:noMultiLvlLbl val="0"/>
      </c:catAx>
      <c:valAx>
        <c:axId val="274096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97931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581-43BC-AEA4-39EA4EBD207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581-43BC-AEA4-39EA4EBD207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79.67</c:v>
                </c:pt>
                <c:pt idx="1">
                  <c:v>72.239999999999995</c:v>
                </c:pt>
                <c:pt idx="2">
                  <c:v>88.88</c:v>
                </c:pt>
                <c:pt idx="3">
                  <c:v>108.03</c:v>
                </c:pt>
                <c:pt idx="4">
                  <c:v>86.9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81-43BC-AEA4-39EA4EBD2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049648"/>
        <c:axId val="548049976"/>
      </c:lineChart>
      <c:catAx>
        <c:axId val="54804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049976"/>
        <c:crosses val="autoZero"/>
        <c:auto val="0"/>
        <c:lblAlgn val="ctr"/>
        <c:lblOffset val="100"/>
        <c:noMultiLvlLbl val="0"/>
      </c:catAx>
      <c:valAx>
        <c:axId val="548049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8049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BC1-4319-A638-BBA519E1FD16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BC1-4319-A638-BBA519E1FD1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975.9</c:v>
                </c:pt>
                <c:pt idx="1">
                  <c:v>1000.85</c:v>
                </c:pt>
                <c:pt idx="2">
                  <c:v>1729.21</c:v>
                </c:pt>
                <c:pt idx="3">
                  <c:v>1291.69</c:v>
                </c:pt>
                <c:pt idx="4">
                  <c:v>1282.8699999999999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C1-4319-A638-BBA519E1F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051288"/>
        <c:axId val="548051944"/>
      </c:lineChart>
      <c:catAx>
        <c:axId val="548051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051944"/>
        <c:crosses val="autoZero"/>
        <c:auto val="0"/>
        <c:lblAlgn val="ctr"/>
        <c:lblOffset val="100"/>
        <c:noMultiLvlLbl val="0"/>
      </c:catAx>
      <c:valAx>
        <c:axId val="5480519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80512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81B-4B14-9683-40C68541C883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81B-4B14-9683-40C68541C88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89.61</c:v>
                </c:pt>
                <c:pt idx="1">
                  <c:v>111.15</c:v>
                </c:pt>
                <c:pt idx="2">
                  <c:v>160.1</c:v>
                </c:pt>
                <c:pt idx="3">
                  <c:v>124.09</c:v>
                </c:pt>
                <c:pt idx="4">
                  <c:v>103.74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1B-4B14-9683-40C68541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309848"/>
        <c:axId val="548312800"/>
      </c:lineChart>
      <c:catAx>
        <c:axId val="54830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12800"/>
        <c:crosses val="autoZero"/>
        <c:auto val="0"/>
        <c:lblAlgn val="ctr"/>
        <c:lblOffset val="100"/>
        <c:noMultiLvlLbl val="0"/>
      </c:catAx>
      <c:valAx>
        <c:axId val="548312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8309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A33B-49DA-9600-B098D1120356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33B-49DA-9600-B098D11203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1055.57</c:v>
                </c:pt>
                <c:pt idx="1">
                  <c:v>1073.0899999999999</c:v>
                </c:pt>
                <c:pt idx="2">
                  <c:v>1818.09</c:v>
                </c:pt>
                <c:pt idx="3">
                  <c:v>1399.72</c:v>
                </c:pt>
                <c:pt idx="4">
                  <c:v>1369.77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3B-49DA-9600-B098D1120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220368"/>
        <c:axId val="548222992"/>
      </c:lineChart>
      <c:catAx>
        <c:axId val="54822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222992"/>
        <c:crosses val="autoZero"/>
        <c:auto val="0"/>
        <c:lblAlgn val="ctr"/>
        <c:lblOffset val="100"/>
        <c:noMultiLvlLbl val="0"/>
      </c:catAx>
      <c:valAx>
        <c:axId val="548222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8220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B4D-4CE2-BA48-4212004AE64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B4D-4CE2-BA48-4212004AE64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-79.67</c:v>
                </c:pt>
                <c:pt idx="1">
                  <c:v>-72.239999999999995</c:v>
                </c:pt>
                <c:pt idx="2">
                  <c:v>-88.88</c:v>
                </c:pt>
                <c:pt idx="3">
                  <c:v>-108.03</c:v>
                </c:pt>
                <c:pt idx="4">
                  <c:v>-86.9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4D-4CE2-BA48-4212004AE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321824"/>
        <c:axId val="548322152"/>
      </c:lineChart>
      <c:catAx>
        <c:axId val="54832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2152"/>
        <c:crosses val="autoZero"/>
        <c:auto val="0"/>
        <c:lblAlgn val="ctr"/>
        <c:lblOffset val="100"/>
        <c:noMultiLvlLbl val="0"/>
      </c:catAx>
      <c:valAx>
        <c:axId val="548322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83218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2852.15</c:v>
                </c:pt>
                <c:pt idx="1">
                  <c:v>3578.5250773682715</c:v>
                </c:pt>
                <c:pt idx="2">
                  <c:v>4012.388776481941</c:v>
                </c:pt>
                <c:pt idx="3">
                  <c:v>5631.0177797088118</c:v>
                </c:pt>
                <c:pt idx="4">
                  <c:v>6024.6339716592756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B6-4494-8FA9-A05CC8AEC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8133648"/>
        <c:axId val="548134304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8162.0400000000009</c:v>
                </c:pt>
                <c:pt idx="1">
                  <c:v>8500.8750773682714</c:v>
                </c:pt>
                <c:pt idx="2">
                  <c:v>9519.6287764819426</c:v>
                </c:pt>
                <c:pt idx="3">
                  <c:v>10026.947779708811</c:v>
                </c:pt>
                <c:pt idx="4">
                  <c:v>10418.633971659276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B6-4494-8FA9-A05CC8AEC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133648"/>
        <c:axId val="548134304"/>
      </c:lineChart>
      <c:catAx>
        <c:axId val="54813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134304"/>
        <c:crosses val="autoZero"/>
        <c:auto val="1"/>
        <c:lblAlgn val="ctr"/>
        <c:lblOffset val="100"/>
        <c:noMultiLvlLbl val="0"/>
      </c:catAx>
      <c:valAx>
        <c:axId val="5481343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1336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1036.3606695883091</c:v>
                </c:pt>
                <c:pt idx="1">
                  <c:v>1073.6250773682714</c:v>
                </c:pt>
                <c:pt idx="2">
                  <c:v>729.62369911366977</c:v>
                </c:pt>
                <c:pt idx="3">
                  <c:v>514.25900322686994</c:v>
                </c:pt>
                <c:pt idx="4">
                  <c:v>974.0061919504642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54-4382-A4C5-B1FEDF5D8716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886.83066958830909</c:v>
                </c:pt>
                <c:pt idx="1">
                  <c:v>907.58507736827141</c:v>
                </c:pt>
                <c:pt idx="2">
                  <c:v>505.48369911366979</c:v>
                </c:pt>
                <c:pt idx="3">
                  <c:v>268.23900322686995</c:v>
                </c:pt>
                <c:pt idx="4">
                  <c:v>727.0061919504642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54-4382-A4C5-B1FEDF5D8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217448"/>
        <c:axId val="549433408"/>
      </c:barChart>
      <c:catAx>
        <c:axId val="45321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433408"/>
        <c:crosses val="autoZero"/>
        <c:auto val="1"/>
        <c:lblAlgn val="ctr"/>
        <c:lblOffset val="100"/>
        <c:noMultiLvlLbl val="0"/>
      </c:catAx>
      <c:valAx>
        <c:axId val="549433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2174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23C-49FE-98B2-29C9548526D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23C-49FE-98B2-29C9548526D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23C-49FE-98B2-29C9548526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-633.94000000000005</c:v>
                </c:pt>
                <c:pt idx="1">
                  <c:v>-88.68</c:v>
                </c:pt>
                <c:pt idx="2">
                  <c:v>-55.49</c:v>
                </c:pt>
                <c:pt idx="3">
                  <c:v>215.69</c:v>
                </c:pt>
                <c:pt idx="4">
                  <c:v>-319.60000000000002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23C-49FE-98B2-29C954852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5512"/>
        <c:axId val="450787152"/>
      </c:lineChart>
      <c:catAx>
        <c:axId val="450785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787152"/>
        <c:crosses val="autoZero"/>
        <c:auto val="0"/>
        <c:lblAlgn val="ctr"/>
        <c:lblOffset val="100"/>
        <c:noMultiLvlLbl val="0"/>
      </c:catAx>
      <c:valAx>
        <c:axId val="450787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7855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3627.8100000000004</c:v>
                </c:pt>
                <c:pt idx="1">
                  <c:v>5529.3750773682714</c:v>
                </c:pt>
                <c:pt idx="2">
                  <c:v>6445.7987764819409</c:v>
                </c:pt>
                <c:pt idx="3">
                  <c:v>7620.7977797088115</c:v>
                </c:pt>
                <c:pt idx="4">
                  <c:v>7388.8339716592754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8-40B9-8D51-7DB7B1F2B2D0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2319.5100000000002</c:v>
                </c:pt>
                <c:pt idx="1">
                  <c:v>2342.2199999999998</c:v>
                </c:pt>
                <c:pt idx="2">
                  <c:v>2945.44</c:v>
                </c:pt>
                <c:pt idx="3">
                  <c:v>2415.0299999999997</c:v>
                </c:pt>
                <c:pt idx="4">
                  <c:v>2151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48-40B9-8D51-7DB7B1F2B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8221680"/>
        <c:axId val="548222336"/>
      </c:barChart>
      <c:catAx>
        <c:axId val="54822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222336"/>
        <c:crosses val="autoZero"/>
        <c:auto val="1"/>
        <c:lblAlgn val="ctr"/>
        <c:lblOffset val="100"/>
        <c:noMultiLvlLbl val="0"/>
      </c:catAx>
      <c:valAx>
        <c:axId val="548222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2216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64.89</c:v>
                </c:pt>
                <c:pt idx="1">
                  <c:v>53.48</c:v>
                </c:pt>
                <c:pt idx="2">
                  <c:v>45.6</c:v>
                </c:pt>
                <c:pt idx="3">
                  <c:v>84.37</c:v>
                </c:pt>
                <c:pt idx="4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27-4324-99A3-9597E6EA4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135944"/>
        <c:axId val="548136600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44.58</c:v>
                </c:pt>
                <c:pt idx="1">
                  <c:v>41.93</c:v>
                </c:pt>
                <c:pt idx="2">
                  <c:v>117.28</c:v>
                </c:pt>
                <c:pt idx="3">
                  <c:v>59.79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27-4324-99A3-9597E6EA4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541696"/>
        <c:axId val="549539400"/>
      </c:lineChart>
      <c:catAx>
        <c:axId val="548135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136600"/>
        <c:crosses val="autoZero"/>
        <c:auto val="1"/>
        <c:lblAlgn val="ctr"/>
        <c:lblOffset val="100"/>
        <c:noMultiLvlLbl val="0"/>
      </c:catAx>
      <c:valAx>
        <c:axId val="548136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135944"/>
        <c:crosses val="autoZero"/>
        <c:crossBetween val="between"/>
      </c:valAx>
      <c:valAx>
        <c:axId val="54953940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9541696"/>
        <c:crosses val="max"/>
        <c:crossBetween val="between"/>
      </c:valAx>
      <c:catAx>
        <c:axId val="549541696"/>
        <c:scaling>
          <c:orientation val="minMax"/>
        </c:scaling>
        <c:delete val="1"/>
        <c:axPos val="b"/>
        <c:majorTickMark val="out"/>
        <c:minorTickMark val="none"/>
        <c:tickLblPos val="nextTo"/>
        <c:crossAx val="549539400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867.53</c:v>
                </c:pt>
                <c:pt idx="1">
                  <c:v>854.18</c:v>
                </c:pt>
                <c:pt idx="2">
                  <c:v>621.72</c:v>
                </c:pt>
                <c:pt idx="3">
                  <c:v>682.43</c:v>
                </c:pt>
                <c:pt idx="4">
                  <c:v>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C6-413F-ADAE-9F907819A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989312"/>
        <c:axId val="548049320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C6-413F-ADAE-9F907819A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309520"/>
        <c:axId val="549417472"/>
      </c:lineChart>
      <c:catAx>
        <c:axId val="45398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049320"/>
        <c:crosses val="autoZero"/>
        <c:auto val="1"/>
        <c:lblAlgn val="ctr"/>
        <c:lblOffset val="100"/>
        <c:noMultiLvlLbl val="0"/>
      </c:catAx>
      <c:valAx>
        <c:axId val="548049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9312"/>
        <c:crosses val="autoZero"/>
        <c:crossBetween val="between"/>
      </c:valAx>
      <c:valAx>
        <c:axId val="5494174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8309520"/>
        <c:crosses val="max"/>
        <c:crossBetween val="between"/>
      </c:valAx>
      <c:catAx>
        <c:axId val="548309520"/>
        <c:scaling>
          <c:orientation val="minMax"/>
        </c:scaling>
        <c:delete val="1"/>
        <c:axPos val="b"/>
        <c:majorTickMark val="out"/>
        <c:minorTickMark val="none"/>
        <c:tickLblPos val="nextTo"/>
        <c:crossAx val="549417472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3920.17</c:v>
                </c:pt>
                <c:pt idx="1">
                  <c:v>4139.9399999999996</c:v>
                </c:pt>
                <c:pt idx="2">
                  <c:v>2833.03</c:v>
                </c:pt>
                <c:pt idx="3">
                  <c:v>2699.21</c:v>
                </c:pt>
                <c:pt idx="4">
                  <c:v>3230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A9-42DC-BE4A-7CD51B33B547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4041.4306695883088</c:v>
                </c:pt>
                <c:pt idx="1">
                  <c:v>4161.9650773682715</c:v>
                </c:pt>
                <c:pt idx="2">
                  <c:v>2872.8536991136698</c:v>
                </c:pt>
                <c:pt idx="3">
                  <c:v>2832.5290032268699</c:v>
                </c:pt>
                <c:pt idx="4">
                  <c:v>3251.0061919504642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A9-42DC-BE4A-7CD51B33B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410912"/>
        <c:axId val="549408616"/>
      </c:barChart>
      <c:catAx>
        <c:axId val="54941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408616"/>
        <c:crosses val="autoZero"/>
        <c:auto val="1"/>
        <c:lblAlgn val="ctr"/>
        <c:lblOffset val="100"/>
        <c:noMultiLvlLbl val="0"/>
      </c:catAx>
      <c:valAx>
        <c:axId val="5494086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4109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8162.0400000000009</c:v>
                </c:pt>
                <c:pt idx="1">
                  <c:v>8500.8750773682714</c:v>
                </c:pt>
                <c:pt idx="2">
                  <c:v>9519.6287764819426</c:v>
                </c:pt>
                <c:pt idx="3">
                  <c:v>10026.947779708811</c:v>
                </c:pt>
                <c:pt idx="4">
                  <c:v>10418.633971659276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8E-4EC6-9F25-9B2FD42B3A54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2644.65</c:v>
                </c:pt>
                <c:pt idx="1">
                  <c:v>2250.3000000000002</c:v>
                </c:pt>
                <c:pt idx="2">
                  <c:v>2176.0100000000002</c:v>
                </c:pt>
                <c:pt idx="3">
                  <c:v>1597.4099999999999</c:v>
                </c:pt>
                <c:pt idx="4">
                  <c:v>1890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8E-4EC6-9F25-9B2FD42B3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434064"/>
        <c:axId val="549430784"/>
      </c:barChart>
      <c:catAx>
        <c:axId val="54943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430784"/>
        <c:crosses val="autoZero"/>
        <c:auto val="1"/>
        <c:lblAlgn val="ctr"/>
        <c:lblOffset val="100"/>
        <c:noMultiLvlLbl val="0"/>
      </c:catAx>
      <c:valAx>
        <c:axId val="549430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43406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8162.0400000000009</c:v>
                </c:pt>
                <c:pt idx="1">
                  <c:v>8500.8750773682714</c:v>
                </c:pt>
                <c:pt idx="2">
                  <c:v>9519.6287764819426</c:v>
                </c:pt>
                <c:pt idx="3">
                  <c:v>10026.947779708811</c:v>
                </c:pt>
                <c:pt idx="4">
                  <c:v>10418.633971659276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66-4E7C-A607-12ED10CA4DC6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2319.5100000000002</c:v>
                </c:pt>
                <c:pt idx="1">
                  <c:v>2342.2199999999998</c:v>
                </c:pt>
                <c:pt idx="2">
                  <c:v>2945.44</c:v>
                </c:pt>
                <c:pt idx="3">
                  <c:v>2415.0299999999997</c:v>
                </c:pt>
                <c:pt idx="4">
                  <c:v>2151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66-4E7C-A607-12ED10CA4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1830616"/>
        <c:axId val="451834224"/>
      </c:barChart>
      <c:catAx>
        <c:axId val="45183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834224"/>
        <c:crosses val="autoZero"/>
        <c:auto val="1"/>
        <c:lblAlgn val="ctr"/>
        <c:lblOffset val="100"/>
        <c:noMultiLvlLbl val="0"/>
      </c:catAx>
      <c:valAx>
        <c:axId val="451834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8306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8162.04</c:v>
                </c:pt>
                <c:pt idx="1">
                  <c:v>8500.8750773682714</c:v>
                </c:pt>
                <c:pt idx="2">
                  <c:v>9519.6287764819408</c:v>
                </c:pt>
                <c:pt idx="3">
                  <c:v>10026.947779708811</c:v>
                </c:pt>
                <c:pt idx="4">
                  <c:v>10418.633971659276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12-4F28-9756-238A78A67C4F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4534.2299999999996</c:v>
                </c:pt>
                <c:pt idx="1">
                  <c:v>2971.5</c:v>
                </c:pt>
                <c:pt idx="2">
                  <c:v>3073.83</c:v>
                </c:pt>
                <c:pt idx="3">
                  <c:v>2406.15</c:v>
                </c:pt>
                <c:pt idx="4">
                  <c:v>3029.8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12-4F28-9756-238A78A67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637600"/>
        <c:axId val="549637928"/>
      </c:barChart>
      <c:catAx>
        <c:axId val="54963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637928"/>
        <c:crosses val="autoZero"/>
        <c:auto val="1"/>
        <c:lblAlgn val="ctr"/>
        <c:lblOffset val="100"/>
        <c:noMultiLvlLbl val="0"/>
      </c:catAx>
      <c:valAx>
        <c:axId val="5496379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63760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8162.04</c:v>
                </c:pt>
                <c:pt idx="1">
                  <c:v>8500.8750773682714</c:v>
                </c:pt>
                <c:pt idx="2">
                  <c:v>9519.6287764819408</c:v>
                </c:pt>
                <c:pt idx="3">
                  <c:v>10026.947779708811</c:v>
                </c:pt>
                <c:pt idx="4">
                  <c:v>10418.633971659276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A-4DB6-8C80-786CA1478172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3627.8100000000004</c:v>
                </c:pt>
                <c:pt idx="1">
                  <c:v>5529.3750773682714</c:v>
                </c:pt>
                <c:pt idx="2">
                  <c:v>6445.7987764819409</c:v>
                </c:pt>
                <c:pt idx="3">
                  <c:v>7620.7977797088115</c:v>
                </c:pt>
                <c:pt idx="4">
                  <c:v>7388.8339716592754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AA-4DB6-8C80-786CA1478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3376896"/>
        <c:axId val="553373944"/>
      </c:barChart>
      <c:catAx>
        <c:axId val="55337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373944"/>
        <c:crosses val="autoZero"/>
        <c:auto val="1"/>
        <c:lblAlgn val="ctr"/>
        <c:lblOffset val="100"/>
        <c:noMultiLvlLbl val="0"/>
      </c:catAx>
      <c:valAx>
        <c:axId val="5533739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37689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3005.0699999999997</c:v>
                </c:pt>
                <c:pt idx="1">
                  <c:v>3088.34</c:v>
                </c:pt>
                <c:pt idx="2">
                  <c:v>2143.23</c:v>
                </c:pt>
                <c:pt idx="3">
                  <c:v>2318.27</c:v>
                </c:pt>
                <c:pt idx="4">
                  <c:v>2277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56-4557-9FE6-2D0F211EB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3815568"/>
        <c:axId val="553817536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4041.4306695883088</c:v>
                </c:pt>
                <c:pt idx="1">
                  <c:v>4161.9650773682715</c:v>
                </c:pt>
                <c:pt idx="2">
                  <c:v>2872.8536991136698</c:v>
                </c:pt>
                <c:pt idx="3">
                  <c:v>2832.5290032268699</c:v>
                </c:pt>
                <c:pt idx="4">
                  <c:v>3251.0061919504642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56-4557-9FE6-2D0F211EB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593624"/>
        <c:axId val="553592968"/>
      </c:lineChart>
      <c:catAx>
        <c:axId val="55381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7536"/>
        <c:crosses val="autoZero"/>
        <c:auto val="1"/>
        <c:lblAlgn val="ctr"/>
        <c:lblOffset val="100"/>
        <c:noMultiLvlLbl val="0"/>
      </c:catAx>
      <c:valAx>
        <c:axId val="553817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568"/>
        <c:crosses val="autoZero"/>
        <c:crossBetween val="between"/>
      </c:valAx>
      <c:valAx>
        <c:axId val="5535929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3593624"/>
        <c:crosses val="max"/>
        <c:crossBetween val="between"/>
      </c:valAx>
      <c:catAx>
        <c:axId val="553593624"/>
        <c:scaling>
          <c:orientation val="minMax"/>
        </c:scaling>
        <c:delete val="1"/>
        <c:axPos val="b"/>
        <c:majorTickMark val="out"/>
        <c:minorTickMark val="none"/>
        <c:tickLblPos val="nextTo"/>
        <c:crossAx val="55359296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247.4506695883091</c:v>
                </c:pt>
                <c:pt idx="1">
                  <c:v>726.3550773682714</c:v>
                </c:pt>
                <c:pt idx="2">
                  <c:v>433.83369911366981</c:v>
                </c:pt>
                <c:pt idx="3">
                  <c:v>1618.6090032268698</c:v>
                </c:pt>
                <c:pt idx="4">
                  <c:v>377.0061919504642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8E-46F7-BE73-09CE80409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3595264"/>
        <c:axId val="553596576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247.4506695883091</c:v>
                </c:pt>
                <c:pt idx="1">
                  <c:v>726.3550773682714</c:v>
                </c:pt>
                <c:pt idx="2">
                  <c:v>433.83369911366981</c:v>
                </c:pt>
                <c:pt idx="3">
                  <c:v>1618.6090032268698</c:v>
                </c:pt>
                <c:pt idx="4">
                  <c:v>377.0061919504642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8E-46F7-BE73-09CE80409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646240"/>
        <c:axId val="553648864"/>
      </c:lineChart>
      <c:catAx>
        <c:axId val="55359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6576"/>
        <c:crosses val="autoZero"/>
        <c:auto val="1"/>
        <c:lblAlgn val="ctr"/>
        <c:lblOffset val="100"/>
        <c:noMultiLvlLbl val="0"/>
      </c:catAx>
      <c:valAx>
        <c:axId val="553596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5264"/>
        <c:crosses val="autoZero"/>
        <c:crossBetween val="between"/>
      </c:valAx>
      <c:valAx>
        <c:axId val="55364886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3646240"/>
        <c:crosses val="max"/>
        <c:crossBetween val="between"/>
      </c:valAx>
      <c:catAx>
        <c:axId val="553646240"/>
        <c:scaling>
          <c:orientation val="minMax"/>
        </c:scaling>
        <c:delete val="1"/>
        <c:axPos val="b"/>
        <c:majorTickMark val="out"/>
        <c:minorTickMark val="none"/>
        <c:tickLblPos val="nextTo"/>
        <c:crossAx val="55364886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C77-459E-8A10-E838A94EAC4E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C77-459E-8A10-E838A94EAC4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FC77-459E-8A10-E838A94EAC4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C77-459E-8A10-E838A94EAC4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77-459E-8A10-E838A94EA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531032"/>
        <c:axId val="452529720"/>
      </c:lineChart>
      <c:catAx>
        <c:axId val="452531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529720"/>
        <c:crosses val="autoZero"/>
        <c:auto val="0"/>
        <c:lblAlgn val="ctr"/>
        <c:lblOffset val="100"/>
        <c:noMultiLvlLbl val="0"/>
      </c:catAx>
      <c:valAx>
        <c:axId val="4525297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531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0FC-4613-8873-919D16C598F8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0FC-4613-8873-919D16C598F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0FC-4613-8873-919D16C598F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0FC-4613-8873-919D16C598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0FC-4613-8873-919D16C59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44672"/>
        <c:axId val="447585608"/>
      </c:lineChart>
      <c:catAx>
        <c:axId val="44664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585608"/>
        <c:crosses val="autoZero"/>
        <c:auto val="0"/>
        <c:lblAlgn val="ctr"/>
        <c:lblOffset val="100"/>
        <c:noMultiLvlLbl val="0"/>
      </c:catAx>
      <c:valAx>
        <c:axId val="447585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66446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523-48DE-A0ED-269A63070F4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523-48DE-A0ED-269A63070F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3052.64</c:v>
                </c:pt>
                <c:pt idx="1">
                  <c:v>3285.76</c:v>
                </c:pt>
                <c:pt idx="2">
                  <c:v>2211.31</c:v>
                </c:pt>
                <c:pt idx="3">
                  <c:v>2016.78</c:v>
                </c:pt>
                <c:pt idx="4">
                  <c:v>2618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23-48DE-A0ED-269A63070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585280"/>
        <c:axId val="452317528"/>
      </c:lineChart>
      <c:catAx>
        <c:axId val="44758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317528"/>
        <c:crosses val="autoZero"/>
        <c:auto val="0"/>
        <c:lblAlgn val="ctr"/>
        <c:lblOffset val="100"/>
        <c:noMultiLvlLbl val="0"/>
      </c:catAx>
      <c:valAx>
        <c:axId val="452317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75852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407-41F7-ACA4-20DD2EAF0D7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407-41F7-ACA4-20DD2EAF0D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915.1</c:v>
                </c:pt>
                <c:pt idx="1">
                  <c:v>1051.5999999999999</c:v>
                </c:pt>
                <c:pt idx="2">
                  <c:v>689.8</c:v>
                </c:pt>
                <c:pt idx="3">
                  <c:v>380.94</c:v>
                </c:pt>
                <c:pt idx="4">
                  <c:v>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07-41F7-ACA4-20DD2EAF0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532552"/>
        <c:axId val="452533208"/>
      </c:lineChart>
      <c:catAx>
        <c:axId val="452532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533208"/>
        <c:crosses val="autoZero"/>
        <c:auto val="0"/>
        <c:lblAlgn val="ctr"/>
        <c:lblOffset val="100"/>
        <c:noMultiLvlLbl val="0"/>
      </c:catAx>
      <c:valAx>
        <c:axId val="452533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525325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5FC-4F63-AAF4-9E697B8A51A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5FC-4F63-AAF4-9E697B8A51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0.03</c:v>
                </c:pt>
                <c:pt idx="1">
                  <c:v>0.09</c:v>
                </c:pt>
                <c:pt idx="2">
                  <c:v>0.05</c:v>
                </c:pt>
                <c:pt idx="3">
                  <c:v>0.16</c:v>
                </c:pt>
                <c:pt idx="4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5FC-4F63-AAF4-9E697B8A5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992944"/>
        <c:axId val="452994256"/>
      </c:lineChart>
      <c:catAx>
        <c:axId val="45299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994256"/>
        <c:crosses val="autoZero"/>
        <c:auto val="0"/>
        <c:lblAlgn val="ctr"/>
        <c:lblOffset val="100"/>
        <c:noMultiLvlLbl val="0"/>
      </c:catAx>
      <c:valAx>
        <c:axId val="452994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29929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D0C-475A-AEE0-A810AA17C391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D0C-475A-AEE0-A810AA17C3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0.17</c:v>
                </c:pt>
                <c:pt idx="1">
                  <c:v>0.2</c:v>
                </c:pt>
                <c:pt idx="2">
                  <c:v>0.12</c:v>
                </c:pt>
                <c:pt idx="3">
                  <c:v>0.08</c:v>
                </c:pt>
                <c:pt idx="4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D0C-475A-AEE0-A810AA17C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504888"/>
        <c:axId val="446860480"/>
      </c:lineChart>
      <c:catAx>
        <c:axId val="452504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860480"/>
        <c:crosses val="autoZero"/>
        <c:auto val="0"/>
        <c:lblAlgn val="ctr"/>
        <c:lblOffset val="100"/>
        <c:noMultiLvlLbl val="0"/>
      </c:catAx>
      <c:valAx>
        <c:axId val="446860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25048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F27901-6759-2098-3B6F-313441F889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0BF0C4-3F57-B707-5706-23658E22D0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DB0E8B-44D7-BCD8-4C8D-04DA8EBD4E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FF9FCD-96AF-8AAC-000C-BDED75E02D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32C41C-A08E-BCF5-E0C1-E313C10418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58C28A-F4D4-CEC4-BED1-8441D25D9C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5A4068-9092-A8FC-254F-454FF6C4CB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1D5D21-2E6F-5A41-AD90-B672F0EC7E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2ACCB5-939F-9DDF-9194-3399DF1D10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1E991C-33D1-8B93-D544-87DA92AF6A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D72B79-E13F-9590-6558-7EED27E1A3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28FF4C-8C3B-4C91-63AC-5851C39C27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F879EC-248D-42DD-570D-80B532998E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1B54A2-73A4-B66B-ED8D-E02EBF5B43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447940-896A-C579-8D72-981B392D93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5589B9-95A7-9FC5-D2A6-632D0CBD00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7B38FF-4751-1D79-E62C-492A05D370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328BDE-099B-9BEC-5E97-1C24EBC228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6CF864-D1D1-936C-81B6-68734F8B50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866F56-8726-345A-DAA2-14AC0DBDC6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6922DB4F-56B4-EFE1-5E58-450E28008D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86D3B386-FFAA-3FBA-45CF-D9FAFB9E6E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D5C395-D20A-F06D-C39D-AF750C5900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1FD86DE5-42B8-F94D-E745-848A3A0DB9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C89CCB3D-B3FA-114B-B665-4846320E4D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2FC3C2F4-0992-E697-F7EA-015829FB52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C9A40520-AA13-283E-B8AC-F644E3DD4A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ABCF3E59-47BE-87B6-CAC4-A71F66A950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170A8AD7-FBEE-B2D5-A5C9-6391CC2C1B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7F3FBA47-93F3-4BFC-7BBE-38ED12C4C7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EB570A71-E80F-BEBB-6160-F155E057D5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2AD02760-A7BA-8C1E-0E75-5A0FAD9CA0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F0BAC219-8B06-EFF6-504D-6EDB9C91D7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15C060-9DE5-39B8-270D-B22BDDC9F3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995F01-5DD2-3186-D06D-76F4F96CC6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46D60B-926A-EFC4-0DCF-7CF76D3845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A935AA-839C-D9F1-0CF7-35AF462DBA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11D402-29CF-47B7-16BB-92A09E0D89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FC29A2-C5EA-805B-728A-F7DD58CD98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04BCC-30FC-4415-BB6D-723DE54FACE5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>
        <v>55.32</v>
      </c>
      <c r="D6">
        <v>55.34</v>
      </c>
      <c r="E6">
        <v>55.37</v>
      </c>
      <c r="F6">
        <v>55.39</v>
      </c>
      <c r="G6">
        <v>72</v>
      </c>
      <c r="H6" t="s">
        <v>1</v>
      </c>
    </row>
    <row r="7" spans="1:15" x14ac:dyDescent="0.25">
      <c r="B7" t="s">
        <v>6</v>
      </c>
      <c r="C7">
        <v>55.32</v>
      </c>
      <c r="D7">
        <v>289.29000000000002</v>
      </c>
      <c r="E7">
        <v>55.37</v>
      </c>
      <c r="F7">
        <v>55.39</v>
      </c>
      <c r="G7">
        <v>72</v>
      </c>
      <c r="H7" t="s">
        <v>1</v>
      </c>
    </row>
    <row r="8" spans="1:15" x14ac:dyDescent="0.25">
      <c r="A8" t="s">
        <v>90</v>
      </c>
      <c r="B8" t="s">
        <v>7</v>
      </c>
      <c r="C8" s="2">
        <v>2796.83</v>
      </c>
      <c r="D8" s="2">
        <v>2619.46</v>
      </c>
      <c r="E8" s="2">
        <v>2616.3000000000002</v>
      </c>
      <c r="F8" s="2">
        <v>3321.37</v>
      </c>
      <c r="G8" s="2">
        <v>3777</v>
      </c>
      <c r="H8" t="s">
        <v>1</v>
      </c>
    </row>
    <row r="9" spans="1:15" x14ac:dyDescent="0.25">
      <c r="B9" t="s">
        <v>8</v>
      </c>
      <c r="C9" s="2">
        <v>2796.83</v>
      </c>
      <c r="D9" s="2">
        <v>2619.46</v>
      </c>
      <c r="E9" s="2">
        <v>2616.3000000000002</v>
      </c>
      <c r="F9" s="2">
        <v>3321.37</v>
      </c>
      <c r="G9" s="2">
        <v>3777</v>
      </c>
      <c r="H9" t="s">
        <v>1</v>
      </c>
    </row>
    <row r="10" spans="1:15" x14ac:dyDescent="0.25">
      <c r="B10" t="s">
        <v>9</v>
      </c>
      <c r="C10" s="2">
        <v>2852.15</v>
      </c>
      <c r="D10" s="2">
        <v>2908.75</v>
      </c>
      <c r="E10" s="2">
        <v>2671.67</v>
      </c>
      <c r="F10" s="2">
        <v>3376.76</v>
      </c>
      <c r="G10" s="2">
        <v>3849</v>
      </c>
      <c r="H10" t="s">
        <v>1</v>
      </c>
    </row>
    <row r="11" spans="1:15" x14ac:dyDescent="0.25">
      <c r="A11" t="s">
        <v>10</v>
      </c>
      <c r="B11" t="s">
        <v>10</v>
      </c>
      <c r="C11">
        <v>345.73</v>
      </c>
      <c r="D11">
        <v>329.83</v>
      </c>
      <c r="E11">
        <v>385.79</v>
      </c>
      <c r="F11">
        <v>383.49</v>
      </c>
      <c r="G11">
        <v>353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>
        <v>2173.11</v>
      </c>
      <c r="D13">
        <v>1657.52</v>
      </c>
      <c r="E13" s="2">
        <v>1240.9000000000001</v>
      </c>
      <c r="F13" s="2">
        <v>502.85</v>
      </c>
      <c r="G13" s="2">
        <v>355</v>
      </c>
      <c r="H13" t="s">
        <v>1</v>
      </c>
    </row>
    <row r="14" spans="1:15" x14ac:dyDescent="0.25">
      <c r="A14" t="s">
        <v>91</v>
      </c>
      <c r="B14" t="s">
        <v>13</v>
      </c>
      <c r="C14">
        <v>34.450000000000003</v>
      </c>
      <c r="D14">
        <v>31.07</v>
      </c>
      <c r="E14">
        <v>31.25</v>
      </c>
      <c r="F14">
        <v>28.45</v>
      </c>
      <c r="G14">
        <v>28</v>
      </c>
      <c r="H14" t="s">
        <v>1</v>
      </c>
    </row>
    <row r="15" spans="1:15" x14ac:dyDescent="0.25">
      <c r="A15" t="s">
        <v>92</v>
      </c>
      <c r="B15" t="s">
        <v>14</v>
      </c>
      <c r="C15">
        <v>0</v>
      </c>
      <c r="D15">
        <v>0</v>
      </c>
      <c r="E15">
        <v>306.52</v>
      </c>
      <c r="F15">
        <v>278.55</v>
      </c>
      <c r="G15">
        <v>419</v>
      </c>
      <c r="H15" t="s">
        <v>1</v>
      </c>
    </row>
    <row r="16" spans="1:15" x14ac:dyDescent="0.25">
      <c r="A16" t="s">
        <v>93</v>
      </c>
      <c r="B16" t="s">
        <v>15</v>
      </c>
      <c r="C16">
        <v>64.89</v>
      </c>
      <c r="D16">
        <v>53.48</v>
      </c>
      <c r="E16">
        <v>45.6</v>
      </c>
      <c r="F16">
        <v>84.37</v>
      </c>
      <c r="G16">
        <v>32</v>
      </c>
      <c r="H16" t="s">
        <v>1</v>
      </c>
    </row>
    <row r="17" spans="1:8" x14ac:dyDescent="0.25">
      <c r="B17" t="s">
        <v>16</v>
      </c>
      <c r="C17">
        <v>2272.4499999999998</v>
      </c>
      <c r="D17">
        <v>1742.07</v>
      </c>
      <c r="E17" s="2">
        <v>1624.27</v>
      </c>
      <c r="F17" s="2">
        <v>894.22</v>
      </c>
      <c r="G17" s="2">
        <v>834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437.09</v>
      </c>
      <c r="D19" s="2">
        <v>561.71</v>
      </c>
      <c r="E19">
        <v>903.86</v>
      </c>
      <c r="F19">
        <v>1066.1099999999999</v>
      </c>
      <c r="G19">
        <v>1507</v>
      </c>
      <c r="H19" t="s">
        <v>1</v>
      </c>
    </row>
    <row r="20" spans="1:8" x14ac:dyDescent="0.25">
      <c r="A20" t="s">
        <v>92</v>
      </c>
      <c r="B20" t="s">
        <v>19</v>
      </c>
      <c r="C20">
        <v>601.78</v>
      </c>
      <c r="D20">
        <v>840.24</v>
      </c>
      <c r="E20">
        <v>895.27</v>
      </c>
      <c r="F20">
        <v>577.97</v>
      </c>
      <c r="G20">
        <v>921</v>
      </c>
      <c r="H20" t="s">
        <v>1</v>
      </c>
    </row>
    <row r="21" spans="1:8" x14ac:dyDescent="0.25">
      <c r="A21" t="s">
        <v>92</v>
      </c>
      <c r="B21" t="s">
        <v>20</v>
      </c>
      <c r="C21">
        <v>1608.26</v>
      </c>
      <c r="D21" s="2">
        <v>1406.57</v>
      </c>
      <c r="E21" s="2">
        <v>1580.77</v>
      </c>
      <c r="F21" s="2">
        <v>1414.35</v>
      </c>
      <c r="G21" s="2">
        <v>742</v>
      </c>
      <c r="H21" t="s">
        <v>1</v>
      </c>
    </row>
    <row r="22" spans="1:8" x14ac:dyDescent="0.25">
      <c r="A22" t="s">
        <v>93</v>
      </c>
      <c r="B22" t="s">
        <v>21</v>
      </c>
      <c r="C22">
        <v>44.58</v>
      </c>
      <c r="D22">
        <v>41.93</v>
      </c>
      <c r="E22">
        <v>117.28</v>
      </c>
      <c r="F22">
        <v>59.79</v>
      </c>
      <c r="G22">
        <v>37</v>
      </c>
      <c r="H22" t="s">
        <v>1</v>
      </c>
    </row>
    <row r="23" spans="1:8" x14ac:dyDescent="0.25">
      <c r="B23" t="s">
        <v>22</v>
      </c>
      <c r="C23" s="2">
        <v>2691.71</v>
      </c>
      <c r="D23" s="2">
        <v>2850.45</v>
      </c>
      <c r="E23" s="2">
        <v>3497.18</v>
      </c>
      <c r="F23" s="2">
        <v>3118.22</v>
      </c>
      <c r="G23" s="2">
        <v>3207</v>
      </c>
      <c r="H23" t="s">
        <v>1</v>
      </c>
    </row>
    <row r="24" spans="1:8" x14ac:dyDescent="0.25">
      <c r="B24" t="s">
        <v>23</v>
      </c>
      <c r="C24" s="2">
        <v>8162.04</v>
      </c>
      <c r="D24" s="2">
        <v>7831.1</v>
      </c>
      <c r="E24" s="2">
        <v>8178.91</v>
      </c>
      <c r="F24" s="2">
        <v>7772.69</v>
      </c>
      <c r="G24" s="2">
        <v>8243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1947.92</v>
      </c>
      <c r="D27" s="2">
        <v>2124.5</v>
      </c>
      <c r="E27" s="2">
        <v>2478.89</v>
      </c>
      <c r="F27" s="2">
        <v>2311.4499999999998</v>
      </c>
      <c r="G27" s="2">
        <v>3913</v>
      </c>
      <c r="H27" t="s">
        <v>1</v>
      </c>
    </row>
    <row r="28" spans="1:8" x14ac:dyDescent="0.25">
      <c r="A28" t="s">
        <v>29</v>
      </c>
      <c r="B28" t="s">
        <v>27</v>
      </c>
      <c r="C28">
        <v>99.46</v>
      </c>
      <c r="D28">
        <v>112.87</v>
      </c>
      <c r="E28">
        <v>148.21</v>
      </c>
      <c r="F28">
        <v>127.63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1039.1300000000001</v>
      </c>
      <c r="D29">
        <v>899.72</v>
      </c>
      <c r="E29">
        <v>836.46</v>
      </c>
      <c r="F29">
        <v>602.82000000000005</v>
      </c>
      <c r="G29" s="2">
        <v>0</v>
      </c>
      <c r="H29" t="s">
        <v>1</v>
      </c>
    </row>
    <row r="30" spans="1:8" x14ac:dyDescent="0.25">
      <c r="B30" t="s">
        <v>29</v>
      </c>
      <c r="C30" s="2">
        <v>3479.95</v>
      </c>
      <c r="D30" s="2">
        <v>3682.85</v>
      </c>
      <c r="E30" s="2">
        <v>4211.63</v>
      </c>
      <c r="F30" s="2">
        <v>3818.02</v>
      </c>
      <c r="G30" s="2">
        <v>3913</v>
      </c>
      <c r="H30" t="s">
        <v>1</v>
      </c>
    </row>
    <row r="31" spans="1:8" x14ac:dyDescent="0.25">
      <c r="A31" t="s">
        <v>94</v>
      </c>
      <c r="B31" t="s">
        <v>30</v>
      </c>
      <c r="C31">
        <v>0.45</v>
      </c>
      <c r="D31">
        <v>0.45</v>
      </c>
      <c r="E31">
        <v>0.45</v>
      </c>
      <c r="F31">
        <v>0.45</v>
      </c>
      <c r="G31">
        <v>0</v>
      </c>
      <c r="H31" t="s">
        <v>1</v>
      </c>
    </row>
    <row r="32" spans="1:8" x14ac:dyDescent="0.25">
      <c r="A32" t="s">
        <v>95</v>
      </c>
      <c r="B32" t="s">
        <v>31</v>
      </c>
      <c r="C32">
        <v>183.56</v>
      </c>
      <c r="D32">
        <v>273.27</v>
      </c>
      <c r="E32">
        <v>429.42</v>
      </c>
      <c r="F32">
        <v>397.5</v>
      </c>
      <c r="G32">
        <v>573</v>
      </c>
      <c r="H32" t="s">
        <v>1</v>
      </c>
    </row>
    <row r="33" spans="1:8" x14ac:dyDescent="0.25">
      <c r="A33" t="s">
        <v>95</v>
      </c>
      <c r="B33" t="s">
        <v>32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A34" t="s">
        <v>95</v>
      </c>
      <c r="B34" t="s">
        <v>33</v>
      </c>
      <c r="C34">
        <v>277.89999999999998</v>
      </c>
      <c r="D34">
        <v>252.53</v>
      </c>
      <c r="E34">
        <v>232.39</v>
      </c>
      <c r="F34">
        <v>228.3</v>
      </c>
      <c r="G34">
        <v>277</v>
      </c>
      <c r="H34" t="s">
        <v>1</v>
      </c>
    </row>
    <row r="35" spans="1:8" x14ac:dyDescent="0.25">
      <c r="B35" t="s">
        <v>34</v>
      </c>
      <c r="C35" s="2">
        <v>4782.4399999999996</v>
      </c>
      <c r="D35" s="2">
        <v>5029.66</v>
      </c>
      <c r="E35" s="2">
        <v>5749.08</v>
      </c>
      <c r="F35" s="2">
        <v>5348.31</v>
      </c>
      <c r="G35" s="2">
        <v>5654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213.25</v>
      </c>
      <c r="D37">
        <v>0</v>
      </c>
      <c r="E37">
        <v>0</v>
      </c>
      <c r="F37">
        <v>0</v>
      </c>
      <c r="G37">
        <v>0</v>
      </c>
      <c r="H37" t="s">
        <v>1</v>
      </c>
    </row>
    <row r="38" spans="1:8" x14ac:dyDescent="0.25">
      <c r="A38" t="s">
        <v>96</v>
      </c>
      <c r="B38" t="s">
        <v>37</v>
      </c>
      <c r="C38">
        <v>855.71</v>
      </c>
      <c r="D38">
        <v>819.36</v>
      </c>
      <c r="E38">
        <v>689.83</v>
      </c>
      <c r="F38">
        <v>798.88</v>
      </c>
      <c r="G38">
        <v>769</v>
      </c>
      <c r="H38" t="s">
        <v>1</v>
      </c>
    </row>
    <row r="39" spans="1:8" x14ac:dyDescent="0.25">
      <c r="A39" t="s">
        <v>96</v>
      </c>
      <c r="B39" t="s">
        <v>38</v>
      </c>
      <c r="C39">
        <v>962.45</v>
      </c>
      <c r="D39">
        <v>1260.69</v>
      </c>
      <c r="E39" s="2">
        <v>1242.69</v>
      </c>
      <c r="F39" s="2">
        <v>917.65</v>
      </c>
      <c r="G39">
        <v>918</v>
      </c>
      <c r="H39" t="s">
        <v>1</v>
      </c>
    </row>
    <row r="40" spans="1:8" x14ac:dyDescent="0.25">
      <c r="A40" t="s">
        <v>96</v>
      </c>
      <c r="B40" t="s">
        <v>39</v>
      </c>
      <c r="C40">
        <v>1082.25</v>
      </c>
      <c r="D40">
        <v>448.65</v>
      </c>
      <c r="E40">
        <v>268.45999999999998</v>
      </c>
      <c r="F40">
        <v>291.79000000000002</v>
      </c>
      <c r="G40" s="2">
        <v>406</v>
      </c>
      <c r="H40" t="s">
        <v>1</v>
      </c>
    </row>
    <row r="41" spans="1:8" x14ac:dyDescent="0.25">
      <c r="A41" t="s">
        <v>95</v>
      </c>
      <c r="B41" t="s">
        <v>40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  <row r="42" spans="1:8" x14ac:dyDescent="0.25">
      <c r="A42" t="s">
        <v>95</v>
      </c>
      <c r="B42" t="s">
        <v>41</v>
      </c>
      <c r="C42">
        <v>265.94</v>
      </c>
      <c r="D42">
        <v>272.74</v>
      </c>
      <c r="E42">
        <v>228.85</v>
      </c>
      <c r="F42">
        <v>416.06</v>
      </c>
      <c r="G42">
        <v>496</v>
      </c>
      <c r="H42" t="s">
        <v>1</v>
      </c>
    </row>
    <row r="43" spans="1:8" x14ac:dyDescent="0.25">
      <c r="B43" t="s">
        <v>42</v>
      </c>
      <c r="C43" s="2">
        <v>3379.6</v>
      </c>
      <c r="D43" s="2">
        <v>2801.44</v>
      </c>
      <c r="E43" s="2">
        <v>2429.83</v>
      </c>
      <c r="F43" s="2">
        <v>2424.38</v>
      </c>
      <c r="G43" s="2">
        <v>2589</v>
      </c>
      <c r="H43" t="s">
        <v>1</v>
      </c>
    </row>
    <row r="44" spans="1:8" x14ac:dyDescent="0.25">
      <c r="B44" t="s">
        <v>43</v>
      </c>
      <c r="C44" s="2">
        <v>8162.04</v>
      </c>
      <c r="D44" s="2">
        <v>7831.1</v>
      </c>
      <c r="E44" s="2">
        <v>8178.91</v>
      </c>
      <c r="F44" s="2">
        <v>7772.69</v>
      </c>
      <c r="G44" s="2">
        <v>8243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576.97</v>
      </c>
      <c r="D47">
        <v>428.09</v>
      </c>
      <c r="E47">
        <v>641.08000000000004</v>
      </c>
      <c r="F47">
        <v>567.64</v>
      </c>
      <c r="G47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18.21</v>
      </c>
      <c r="D49">
        <v>18.21</v>
      </c>
      <c r="E49">
        <v>18.21</v>
      </c>
      <c r="F49">
        <v>18.23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0</v>
      </c>
      <c r="D51">
        <v>0</v>
      </c>
      <c r="E51">
        <v>0</v>
      </c>
      <c r="F51">
        <v>0</v>
      </c>
      <c r="G51">
        <v>0</v>
      </c>
      <c r="H51" t="s">
        <v>1</v>
      </c>
    </row>
    <row r="52" spans="2:8" x14ac:dyDescent="0.25">
      <c r="B52" t="s">
        <v>51</v>
      </c>
      <c r="C52">
        <v>0.45</v>
      </c>
      <c r="D52">
        <v>0.45</v>
      </c>
      <c r="E52">
        <v>0.45</v>
      </c>
      <c r="F52">
        <v>0.45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213.25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0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hyperlinks>
    <hyperlink ref="F1" location="Index_Data!A1" tooltip="Hi click here To return Index page" display="Index_Data!A1" xr:uid="{EC27EDB1-2A01-434F-B777-8DEDD2A6BC8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71987-BE17-4800-979F-62CD8390BD2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1.7109375" bestFit="1" customWidth="1"/>
    <col min="4" max="6" width="11.5703125" bestFit="1" customWidth="1"/>
    <col min="7" max="7" width="11.71093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149</v>
      </c>
      <c r="C5" s="44"/>
      <c r="D5" s="44"/>
      <c r="E5" s="44"/>
      <c r="F5" s="44"/>
      <c r="G5" s="44"/>
    </row>
    <row r="6" spans="2:15" ht="18.75" x14ac:dyDescent="0.25">
      <c r="B6" s="12" t="str">
        <f>Balance_Sheet!B13</f>
        <v>Net Worth</v>
      </c>
      <c r="C6" s="13">
        <f>Balance_Sheet!C13</f>
        <v>2852.15</v>
      </c>
      <c r="D6" s="13">
        <f>Balance_Sheet!D13</f>
        <v>3578.5250773682715</v>
      </c>
      <c r="E6" s="13">
        <f>Balance_Sheet!E13</f>
        <v>4012.388776481941</v>
      </c>
      <c r="F6" s="13">
        <f>Balance_Sheet!F13</f>
        <v>5631.0177797088118</v>
      </c>
      <c r="G6" s="13">
        <f>Balance_Sheet!G13</f>
        <v>6024.6339716592756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-4.4991030834238019</v>
      </c>
      <c r="D7" s="13">
        <f>Income_Statement!D61</f>
        <v>-40.353059853792857</v>
      </c>
      <c r="E7" s="13">
        <f>Income_Statement!E61</f>
        <v>-72.305616518944973</v>
      </c>
      <c r="F7" s="13">
        <f>Income_Statement!F61</f>
        <v>26.106596826239837</v>
      </c>
      <c r="G7" s="13">
        <f>Income_Statement!G61</f>
        <v>-18.850309597523211</v>
      </c>
    </row>
    <row r="8" spans="2:15" ht="18.75" x14ac:dyDescent="0.25">
      <c r="B8" s="14" t="s">
        <v>150</v>
      </c>
      <c r="C8" s="14">
        <f>ROUND(C6/C7, 2)</f>
        <v>-633.94000000000005</v>
      </c>
      <c r="D8" s="14">
        <f t="shared" ref="D8:G8" si="0">ROUND(D6/D7, 2)</f>
        <v>-88.68</v>
      </c>
      <c r="E8" s="14">
        <f t="shared" si="0"/>
        <v>-55.49</v>
      </c>
      <c r="F8" s="14">
        <f t="shared" si="0"/>
        <v>215.69</v>
      </c>
      <c r="G8" s="14">
        <f t="shared" si="0"/>
        <v>-319.60000000000002</v>
      </c>
    </row>
  </sheetData>
  <mergeCells count="1">
    <mergeCell ref="B5:G5"/>
  </mergeCells>
  <hyperlinks>
    <hyperlink ref="F1" location="Index_Data!A1" tooltip="Hi click here To return Index page" display="Index_Data!A1" xr:uid="{E108E542-68F2-4D89-A0DA-682EB8967692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2F703-3AA5-4BDF-9C19-49659752AFC6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5" width="10" bestFit="1" customWidth="1"/>
    <col min="6" max="6" width="11.5703125" bestFit="1" customWidth="1"/>
    <col min="7" max="7" width="10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151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0</v>
      </c>
      <c r="D6" s="13">
        <f>Income_Statement!D51</f>
        <v>0</v>
      </c>
      <c r="E6" s="13">
        <f>Income_Statement!E51</f>
        <v>0</v>
      </c>
      <c r="F6" s="13">
        <f>Income_Statement!F51</f>
        <v>0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-4.4991030834238019</v>
      </c>
      <c r="D7" s="13">
        <f>Income_Statement!D61</f>
        <v>-40.353059853792857</v>
      </c>
      <c r="E7" s="13">
        <f>Income_Statement!E61</f>
        <v>-72.305616518944973</v>
      </c>
      <c r="F7" s="13">
        <f>Income_Statement!F61</f>
        <v>26.106596826239837</v>
      </c>
      <c r="G7" s="13">
        <f>Income_Statement!G61</f>
        <v>-18.850309597523211</v>
      </c>
    </row>
    <row r="8" spans="2:15" ht="18.75" x14ac:dyDescent="0.25">
      <c r="B8" s="12" t="s">
        <v>148</v>
      </c>
      <c r="C8" s="13">
        <f>ROUND(C6/C7, 2)</f>
        <v>0</v>
      </c>
      <c r="D8" s="13">
        <f t="shared" ref="D8:G8" si="0">ROUND(D6/D7, 2)</f>
        <v>0</v>
      </c>
      <c r="E8" s="13">
        <f t="shared" si="0"/>
        <v>0</v>
      </c>
      <c r="F8" s="13">
        <f t="shared" si="0"/>
        <v>0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247.4506695883091</v>
      </c>
      <c r="D9" s="13">
        <f>Income_Statement!D49</f>
        <v>726.3550773682714</v>
      </c>
      <c r="E9" s="13">
        <f>Income_Statement!E49</f>
        <v>433.83369911366981</v>
      </c>
      <c r="F9" s="13">
        <f>Income_Statement!F49</f>
        <v>1618.6090032268698</v>
      </c>
      <c r="G9" s="13">
        <f>Income_Statement!G49</f>
        <v>377.0061919504642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-4.4991030834238019</v>
      </c>
      <c r="D10" s="13">
        <f>Income_Statement!D61</f>
        <v>-40.353059853792857</v>
      </c>
      <c r="E10" s="13">
        <f>Income_Statement!E61</f>
        <v>-72.305616518944973</v>
      </c>
      <c r="F10" s="13">
        <f>Income_Statement!F61</f>
        <v>26.106596826239837</v>
      </c>
      <c r="G10" s="13">
        <f>Income_Statement!G61</f>
        <v>-18.850309597523211</v>
      </c>
    </row>
    <row r="11" spans="2:15" ht="18.75" x14ac:dyDescent="0.25">
      <c r="B11" s="12" t="s">
        <v>146</v>
      </c>
      <c r="C11" s="13">
        <f>C9/C10</f>
        <v>-55</v>
      </c>
      <c r="D11" s="13">
        <f t="shared" ref="D11:G11" si="1">D9/D10</f>
        <v>-18</v>
      </c>
      <c r="E11" s="13">
        <f t="shared" si="1"/>
        <v>-6</v>
      </c>
      <c r="F11" s="13">
        <f t="shared" si="1"/>
        <v>62</v>
      </c>
      <c r="G11" s="13">
        <f t="shared" si="1"/>
        <v>-20</v>
      </c>
    </row>
    <row r="12" spans="2:15" ht="18.75" x14ac:dyDescent="0.25">
      <c r="B12" s="14" t="s">
        <v>152</v>
      </c>
      <c r="C12" s="14">
        <f>ROUND(C8/C11, 2)</f>
        <v>0</v>
      </c>
      <c r="D12" s="14">
        <f t="shared" ref="D12:G12" si="2">ROUND(D8/D11, 2)</f>
        <v>0</v>
      </c>
      <c r="E12" s="14">
        <f t="shared" si="2"/>
        <v>0</v>
      </c>
      <c r="F12" s="14">
        <f t="shared" si="2"/>
        <v>0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6495533F-7116-470C-B4C7-D75A1F3703A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ECD99-FD99-4D32-9C85-E7F4E06D0295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7" width="12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153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0</v>
      </c>
      <c r="D6" s="13">
        <f>Income_Statement!D51</f>
        <v>0</v>
      </c>
      <c r="E6" s="13">
        <f>Income_Statement!E51</f>
        <v>0</v>
      </c>
      <c r="F6" s="13">
        <f>Income_Statement!F51</f>
        <v>0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-4.4991030834238019</v>
      </c>
      <c r="D7" s="13">
        <f>Income_Statement!D61</f>
        <v>-40.353059853792857</v>
      </c>
      <c r="E7" s="13">
        <f>Income_Statement!E61</f>
        <v>-72.305616518944973</v>
      </c>
      <c r="F7" s="13">
        <f>Income_Statement!F61</f>
        <v>26.106596826239837</v>
      </c>
      <c r="G7" s="13">
        <f>Income_Statement!G61</f>
        <v>-18.850309597523211</v>
      </c>
    </row>
    <row r="8" spans="2:15" ht="18.75" x14ac:dyDescent="0.25">
      <c r="B8" s="12" t="s">
        <v>154</v>
      </c>
      <c r="C8" s="13">
        <f>ROUND(C6/C7, 2)</f>
        <v>0</v>
      </c>
      <c r="D8" s="13">
        <f t="shared" ref="D8:G8" si="0">ROUND(D6/D7, 2)</f>
        <v>0</v>
      </c>
      <c r="E8" s="13">
        <f t="shared" si="0"/>
        <v>0</v>
      </c>
      <c r="F8" s="13">
        <f t="shared" si="0"/>
        <v>0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1</v>
      </c>
      <c r="D9" s="15">
        <f t="shared" ref="D9:G9" si="1">1-D8</f>
        <v>1</v>
      </c>
      <c r="E9" s="15">
        <f t="shared" si="1"/>
        <v>1</v>
      </c>
      <c r="F9" s="15">
        <f t="shared" si="1"/>
        <v>1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9439CEEE-8681-4804-A1CF-81DD866287F8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99AE0-3FCE-43EF-99CF-46088E8D306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156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3920.17</v>
      </c>
      <c r="D6" s="13">
        <f>Income_Statement!D5</f>
        <v>4139.9399999999996</v>
      </c>
      <c r="E6" s="13">
        <f>Income_Statement!E5</f>
        <v>2833.03</v>
      </c>
      <c r="F6" s="13">
        <f>Income_Statement!F5</f>
        <v>2699.21</v>
      </c>
      <c r="G6" s="13">
        <f>Income_Statement!G5</f>
        <v>3230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867.53</v>
      </c>
      <c r="D7" s="13">
        <f>Income_Statement!D17</f>
        <v>854.18</v>
      </c>
      <c r="E7" s="13">
        <f>Income_Statement!E17</f>
        <v>621.72</v>
      </c>
      <c r="F7" s="13">
        <f>Income_Statement!F17</f>
        <v>682.43</v>
      </c>
      <c r="G7" s="13">
        <f>Income_Statement!G17</f>
        <v>612</v>
      </c>
    </row>
    <row r="8" spans="2:15" ht="18.75" x14ac:dyDescent="0.25">
      <c r="B8" s="14" t="s">
        <v>157</v>
      </c>
      <c r="C8" s="16">
        <f>ROUND(C6- C7, 2)</f>
        <v>3052.64</v>
      </c>
      <c r="D8" s="16">
        <f t="shared" ref="D8:G8" si="0">ROUND(D6- D7, 2)</f>
        <v>3285.76</v>
      </c>
      <c r="E8" s="16">
        <f t="shared" si="0"/>
        <v>2211.31</v>
      </c>
      <c r="F8" s="16">
        <f t="shared" si="0"/>
        <v>2016.78</v>
      </c>
      <c r="G8" s="16">
        <f t="shared" si="0"/>
        <v>2618</v>
      </c>
    </row>
  </sheetData>
  <mergeCells count="1">
    <mergeCell ref="B5:G5"/>
  </mergeCells>
  <hyperlinks>
    <hyperlink ref="F1" location="Index_Data!A1" tooltip="Hi click here To return Index page" display="Index_Data!A1" xr:uid="{28C7D051-8C21-4209-A0AC-14DA1363F8C1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C1184-85A6-433C-9BDC-6AAE36F4D815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158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3920.17</v>
      </c>
      <c r="D6" s="13">
        <f>Income_Statement!D5</f>
        <v>4139.9399999999996</v>
      </c>
      <c r="E6" s="13">
        <f>Income_Statement!E5</f>
        <v>2833.03</v>
      </c>
      <c r="F6" s="13">
        <f>Income_Statement!F5</f>
        <v>2699.21</v>
      </c>
      <c r="G6" s="13">
        <f>Income_Statement!G5</f>
        <v>3230</v>
      </c>
    </row>
    <row r="7" spans="2:15" ht="18.75" x14ac:dyDescent="0.25">
      <c r="B7" s="12" t="str">
        <f>Income_Statement!B25</f>
        <v>Total Expenditure</v>
      </c>
      <c r="C7" s="13">
        <f>Income_Statement!C25</f>
        <v>3005.0699999999997</v>
      </c>
      <c r="D7" s="13">
        <f>Income_Statement!D25</f>
        <v>3088.34</v>
      </c>
      <c r="E7" s="13">
        <f>Income_Statement!E25</f>
        <v>2143.23</v>
      </c>
      <c r="F7" s="13">
        <f>Income_Statement!F25</f>
        <v>2318.27</v>
      </c>
      <c r="G7" s="13">
        <f>Income_Statement!G25</f>
        <v>2277</v>
      </c>
    </row>
    <row r="8" spans="2:15" ht="18.75" x14ac:dyDescent="0.25">
      <c r="B8" s="14" t="s">
        <v>159</v>
      </c>
      <c r="C8" s="16">
        <f>ROUND(C6- C7, 2)</f>
        <v>915.1</v>
      </c>
      <c r="D8" s="16">
        <f t="shared" ref="D8:G8" si="0">ROUND(D6- D7, 2)</f>
        <v>1051.5999999999999</v>
      </c>
      <c r="E8" s="16">
        <f t="shared" si="0"/>
        <v>689.8</v>
      </c>
      <c r="F8" s="16">
        <f t="shared" si="0"/>
        <v>380.94</v>
      </c>
      <c r="G8" s="16">
        <f t="shared" si="0"/>
        <v>953</v>
      </c>
    </row>
  </sheetData>
  <mergeCells count="1">
    <mergeCell ref="B5:G5"/>
  </mergeCells>
  <hyperlinks>
    <hyperlink ref="F1" location="Index_Data!A1" tooltip="Hi click here To return Index page" display="Index_Data!A1" xr:uid="{F243DDE3-40FA-4FEF-9AEF-86AE67C98CAE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1D2F7-2432-455D-9967-ADB83542A3F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5" width="11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160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247.4506695883091</v>
      </c>
      <c r="D6" s="13">
        <f>Income_Statement!D49</f>
        <v>726.3550773682714</v>
      </c>
      <c r="E6" s="13">
        <f>Income_Statement!E49</f>
        <v>433.83369911366981</v>
      </c>
      <c r="F6" s="13">
        <f>Income_Statement!F49</f>
        <v>1618.6090032268698</v>
      </c>
      <c r="G6" s="13">
        <f>Income_Statement!G49</f>
        <v>377.0061919504642</v>
      </c>
    </row>
    <row r="7" spans="2:15" ht="18.75" x14ac:dyDescent="0.25">
      <c r="B7" s="12" t="str">
        <f>Balance_Sheet!B74</f>
        <v>Total Assets</v>
      </c>
      <c r="C7" s="13">
        <f>Balance_Sheet!C74</f>
        <v>8162.04</v>
      </c>
      <c r="D7" s="13">
        <f>Balance_Sheet!D74</f>
        <v>8500.8750773682714</v>
      </c>
      <c r="E7" s="13">
        <f>Balance_Sheet!E74</f>
        <v>9519.6287764819408</v>
      </c>
      <c r="F7" s="13">
        <f>Balance_Sheet!F74</f>
        <v>10026.947779708811</v>
      </c>
      <c r="G7" s="13">
        <f>Balance_Sheet!G74</f>
        <v>10418.633971659276</v>
      </c>
    </row>
    <row r="8" spans="2:15" ht="18.75" x14ac:dyDescent="0.25">
      <c r="B8" s="14" t="s">
        <v>161</v>
      </c>
      <c r="C8" s="15">
        <f>ROUND(C6/ C7, 2)</f>
        <v>0.03</v>
      </c>
      <c r="D8" s="15">
        <f t="shared" ref="D8:G8" si="0">ROUND(D6/ D7, 2)</f>
        <v>0.09</v>
      </c>
      <c r="E8" s="15">
        <f t="shared" si="0"/>
        <v>0.05</v>
      </c>
      <c r="F8" s="15">
        <f t="shared" si="0"/>
        <v>0.16</v>
      </c>
      <c r="G8" s="15">
        <f t="shared" si="0"/>
        <v>0.04</v>
      </c>
    </row>
  </sheetData>
  <mergeCells count="1">
    <mergeCell ref="B5:G5"/>
  </mergeCells>
  <hyperlinks>
    <hyperlink ref="F1" location="Index_Data!A1" tooltip="Hi click here To return Index page" display="Index_Data!A1" xr:uid="{AFE5592D-F771-429F-B053-EB677DACAA88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DB1F9-B4C4-430C-9F05-0E0E3D5F9A68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886.83066958830909</v>
      </c>
      <c r="D6" s="13">
        <f>Income_Statement!D33</f>
        <v>907.58507736827141</v>
      </c>
      <c r="E6" s="13">
        <f>Income_Statement!E33</f>
        <v>505.48369911366979</v>
      </c>
      <c r="F6" s="13">
        <f>Income_Statement!F33</f>
        <v>268.23900322686995</v>
      </c>
      <c r="G6" s="13">
        <f>Income_Statement!G33</f>
        <v>727.0061919504642</v>
      </c>
    </row>
    <row r="7" spans="2:15" ht="18.75" x14ac:dyDescent="0.25">
      <c r="B7" s="12" t="str">
        <f>Balance_Sheet!B21</f>
        <v>Total Debt</v>
      </c>
      <c r="C7" s="13">
        <f>Balance_Sheet!C21</f>
        <v>2644.65</v>
      </c>
      <c r="D7" s="13">
        <f>Balance_Sheet!D21</f>
        <v>2250.3000000000002</v>
      </c>
      <c r="E7" s="13">
        <f>Balance_Sheet!E21</f>
        <v>2176.0100000000002</v>
      </c>
      <c r="F7" s="13">
        <f>Balance_Sheet!F21</f>
        <v>1597.4099999999999</v>
      </c>
      <c r="G7" s="13">
        <f>Balance_Sheet!G21</f>
        <v>1890</v>
      </c>
    </row>
    <row r="8" spans="2:15" ht="18.75" x14ac:dyDescent="0.25">
      <c r="B8" s="12" t="str">
        <f>Balance_Sheet!B13</f>
        <v>Net Worth</v>
      </c>
      <c r="C8" s="13">
        <f>Balance_Sheet!C13</f>
        <v>2852.15</v>
      </c>
      <c r="D8" s="13">
        <f>Balance_Sheet!D13</f>
        <v>3578.5250773682715</v>
      </c>
      <c r="E8" s="13">
        <f>Balance_Sheet!E13</f>
        <v>4012.388776481941</v>
      </c>
      <c r="F8" s="13">
        <f>Balance_Sheet!F13</f>
        <v>5631.0177797088118</v>
      </c>
      <c r="G8" s="13">
        <f>Balance_Sheet!G13</f>
        <v>6024.6339716592756</v>
      </c>
    </row>
    <row r="9" spans="2:15" ht="18.75" x14ac:dyDescent="0.25">
      <c r="B9" s="14" t="s">
        <v>163</v>
      </c>
      <c r="C9" s="15">
        <f>ROUND(C6/ (C7+ C7), 2)</f>
        <v>0.17</v>
      </c>
      <c r="D9" s="15">
        <f t="shared" ref="D9:G9" si="0">ROUND(D6/ (D7+ D7), 2)</f>
        <v>0.2</v>
      </c>
      <c r="E9" s="15">
        <f t="shared" si="0"/>
        <v>0.12</v>
      </c>
      <c r="F9" s="15">
        <f t="shared" si="0"/>
        <v>0.08</v>
      </c>
      <c r="G9" s="15">
        <f t="shared" si="0"/>
        <v>0.19</v>
      </c>
    </row>
  </sheetData>
  <mergeCells count="1">
    <mergeCell ref="B5:G5"/>
  </mergeCells>
  <hyperlinks>
    <hyperlink ref="F1" location="Index_Data!A1" tooltip="Hi click here To return Index page" display="Index_Data!A1" xr:uid="{608CB8F9-69E2-4566-ACB1-AE0B1D05CC04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D0A0D-BD16-4947-9C9C-F8D0022F7B1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164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247.4506695883091</v>
      </c>
      <c r="D6" s="13">
        <f>Income_Statement!D49</f>
        <v>726.3550773682714</v>
      </c>
      <c r="E6" s="13">
        <f>Income_Statement!E49</f>
        <v>433.83369911366981</v>
      </c>
      <c r="F6" s="13">
        <f>Income_Statement!F49</f>
        <v>1618.6090032268698</v>
      </c>
      <c r="G6" s="13">
        <f>Income_Statement!G49</f>
        <v>377.0061919504642</v>
      </c>
    </row>
    <row r="7" spans="2:15" ht="18.75" x14ac:dyDescent="0.25">
      <c r="B7" s="12" t="str">
        <f>Balance_Sheet!B13</f>
        <v>Net Worth</v>
      </c>
      <c r="C7" s="13">
        <f>Balance_Sheet!C13</f>
        <v>2852.15</v>
      </c>
      <c r="D7" s="13">
        <f>Balance_Sheet!D13</f>
        <v>3578.5250773682715</v>
      </c>
      <c r="E7" s="13">
        <f>Balance_Sheet!E13</f>
        <v>4012.388776481941</v>
      </c>
      <c r="F7" s="13">
        <f>Balance_Sheet!F13</f>
        <v>5631.0177797088118</v>
      </c>
      <c r="G7" s="13">
        <f>Balance_Sheet!G13</f>
        <v>6024.6339716592756</v>
      </c>
    </row>
    <row r="8" spans="2:15" ht="18.75" x14ac:dyDescent="0.25">
      <c r="B8" s="14" t="s">
        <v>165</v>
      </c>
      <c r="C8" s="15">
        <f>ROUND(C6/ (C7+ C7), 2)</f>
        <v>0.04</v>
      </c>
      <c r="D8" s="15">
        <f t="shared" ref="D8:G8" si="0">ROUND(D6/ (D7+ D7), 2)</f>
        <v>0.1</v>
      </c>
      <c r="E8" s="15">
        <f t="shared" si="0"/>
        <v>0.05</v>
      </c>
      <c r="F8" s="15">
        <f t="shared" si="0"/>
        <v>0.14000000000000001</v>
      </c>
      <c r="G8" s="15">
        <f t="shared" si="0"/>
        <v>0.03</v>
      </c>
    </row>
  </sheetData>
  <mergeCells count="1">
    <mergeCell ref="B5:G5"/>
  </mergeCells>
  <hyperlinks>
    <hyperlink ref="F1" location="Index_Data!A1" tooltip="Hi click here To return Index page" display="Index_Data!A1" xr:uid="{C06BCD98-611C-492D-8912-3725E4357CFC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284A7-348D-4D3B-8083-2DA56E66DCB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166</v>
      </c>
      <c r="C5" s="44"/>
      <c r="D5" s="44"/>
      <c r="E5" s="44"/>
      <c r="F5" s="44"/>
      <c r="G5" s="44"/>
    </row>
    <row r="6" spans="2:15" ht="18.75" x14ac:dyDescent="0.25">
      <c r="B6" s="12" t="str">
        <f>Balance_Sheet!B21</f>
        <v>Total Debt</v>
      </c>
      <c r="C6" s="13">
        <f>Balance_Sheet!C21</f>
        <v>2644.65</v>
      </c>
      <c r="D6" s="13">
        <f>Balance_Sheet!D21</f>
        <v>2250.3000000000002</v>
      </c>
      <c r="E6" s="13">
        <f>Balance_Sheet!E21</f>
        <v>2176.0100000000002</v>
      </c>
      <c r="F6" s="13">
        <f>Balance_Sheet!F21</f>
        <v>1597.4099999999999</v>
      </c>
      <c r="G6" s="13">
        <f>Balance_Sheet!G21</f>
        <v>1890</v>
      </c>
    </row>
    <row r="7" spans="2:15" ht="18.75" x14ac:dyDescent="0.25">
      <c r="B7" s="12" t="str">
        <f>Balance_Sheet!B13</f>
        <v>Net Worth</v>
      </c>
      <c r="C7" s="13">
        <f>Balance_Sheet!C13</f>
        <v>2852.15</v>
      </c>
      <c r="D7" s="13">
        <f>Balance_Sheet!D13</f>
        <v>3578.5250773682715</v>
      </c>
      <c r="E7" s="13">
        <f>Balance_Sheet!E13</f>
        <v>4012.388776481941</v>
      </c>
      <c r="F7" s="13">
        <f>Balance_Sheet!F13</f>
        <v>5631.0177797088118</v>
      </c>
      <c r="G7" s="13">
        <f>Balance_Sheet!G13</f>
        <v>6024.6339716592756</v>
      </c>
    </row>
    <row r="8" spans="2:15" ht="18.75" x14ac:dyDescent="0.25">
      <c r="B8" s="14" t="s">
        <v>167</v>
      </c>
      <c r="C8" s="14">
        <f>ROUND(C6/ C7, 2)</f>
        <v>0.93</v>
      </c>
      <c r="D8" s="14">
        <f t="shared" ref="D8:G8" si="0">ROUND(D6/ D7, 2)</f>
        <v>0.63</v>
      </c>
      <c r="E8" s="14">
        <f t="shared" si="0"/>
        <v>0.54</v>
      </c>
      <c r="F8" s="14">
        <f t="shared" si="0"/>
        <v>0.28000000000000003</v>
      </c>
      <c r="G8" s="14">
        <f t="shared" si="0"/>
        <v>0.31</v>
      </c>
    </row>
  </sheetData>
  <mergeCells count="1">
    <mergeCell ref="B5:G5"/>
  </mergeCells>
  <hyperlinks>
    <hyperlink ref="F1" location="Index_Data!A1" tooltip="Hi click here To return Index page" display="Index_Data!A1" xr:uid="{D1101964-805D-4145-87D1-EA5A81AEB8D1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1877-8202-47EB-BC36-C8391F01147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168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3627.8100000000004</v>
      </c>
      <c r="D6" s="13">
        <f>Balance_Sheet!D72</f>
        <v>5529.3750773682714</v>
      </c>
      <c r="E6" s="13">
        <f>Balance_Sheet!E72</f>
        <v>6445.7987764819409</v>
      </c>
      <c r="F6" s="13">
        <f>Balance_Sheet!F72</f>
        <v>7620.7977797088115</v>
      </c>
      <c r="G6" s="13">
        <f>Balance_Sheet!G72</f>
        <v>7388.8339716592754</v>
      </c>
    </row>
    <row r="7" spans="2:15" ht="18.75" x14ac:dyDescent="0.25">
      <c r="B7" s="12" t="str">
        <f>Balance_Sheet!B33</f>
        <v>Total Current Liabilities</v>
      </c>
      <c r="C7" s="13">
        <f>Balance_Sheet!C33</f>
        <v>2319.5100000000002</v>
      </c>
      <c r="D7" s="13">
        <f>Balance_Sheet!D33</f>
        <v>2342.2199999999998</v>
      </c>
      <c r="E7" s="13">
        <f>Balance_Sheet!E33</f>
        <v>2945.44</v>
      </c>
      <c r="F7" s="13">
        <f>Balance_Sheet!F33</f>
        <v>2415.0299999999997</v>
      </c>
      <c r="G7" s="13">
        <f>Balance_Sheet!G33</f>
        <v>2151</v>
      </c>
    </row>
    <row r="8" spans="2:15" ht="18.75" x14ac:dyDescent="0.25">
      <c r="B8" s="14" t="s">
        <v>169</v>
      </c>
      <c r="C8" s="14">
        <f>ROUND(C6/ C7, 2)</f>
        <v>1.56</v>
      </c>
      <c r="D8" s="14">
        <f t="shared" ref="D8:G8" si="0">ROUND(D6/ D7, 2)</f>
        <v>2.36</v>
      </c>
      <c r="E8" s="14">
        <f t="shared" si="0"/>
        <v>2.19</v>
      </c>
      <c r="F8" s="14">
        <f t="shared" si="0"/>
        <v>3.16</v>
      </c>
      <c r="G8" s="14">
        <f t="shared" si="0"/>
        <v>3.44</v>
      </c>
    </row>
  </sheetData>
  <mergeCells count="1">
    <mergeCell ref="B5:G5"/>
  </mergeCells>
  <hyperlinks>
    <hyperlink ref="F1" location="Index_Data!A1" tooltip="Hi click here To return Index page" display="Index_Data!A1" xr:uid="{9E91DC65-CD09-42D3-B260-DBBCBC4CE7B4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63931-F3DF-44E4-92AD-D645175D02C3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3920.17</v>
      </c>
      <c r="D5" s="2">
        <v>4139.9399999999996</v>
      </c>
      <c r="E5" s="2">
        <v>2833.03</v>
      </c>
      <c r="F5" s="2">
        <v>2699.21</v>
      </c>
      <c r="G5" s="2">
        <v>3230</v>
      </c>
      <c r="H5" t="s">
        <v>1</v>
      </c>
    </row>
    <row r="6" spans="1:15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15" x14ac:dyDescent="0.25">
      <c r="B7" t="s">
        <v>57</v>
      </c>
      <c r="C7" s="2">
        <v>3920.17</v>
      </c>
      <c r="D7" s="2">
        <v>4139.9399999999996</v>
      </c>
      <c r="E7" s="2">
        <v>2833.03</v>
      </c>
      <c r="F7" s="2">
        <v>2699.21</v>
      </c>
      <c r="G7" s="2">
        <v>3230</v>
      </c>
      <c r="H7" t="s">
        <v>1</v>
      </c>
    </row>
    <row r="8" spans="1:15" x14ac:dyDescent="0.25">
      <c r="B8" t="s">
        <v>58</v>
      </c>
      <c r="C8" s="2">
        <v>3936.9</v>
      </c>
      <c r="D8" s="2">
        <v>4158.38</v>
      </c>
      <c r="E8" s="2">
        <v>2843.99</v>
      </c>
      <c r="F8" s="2">
        <v>2708.3</v>
      </c>
      <c r="G8" s="2">
        <v>3230</v>
      </c>
      <c r="H8" t="s">
        <v>1</v>
      </c>
    </row>
    <row r="9" spans="1:15" x14ac:dyDescent="0.25">
      <c r="A9" t="s">
        <v>59</v>
      </c>
      <c r="B9" t="s">
        <v>59</v>
      </c>
      <c r="C9">
        <v>120.23</v>
      </c>
      <c r="D9">
        <v>21.02</v>
      </c>
      <c r="E9">
        <v>38.81</v>
      </c>
      <c r="F9">
        <v>132.27000000000001</v>
      </c>
      <c r="G9">
        <v>20</v>
      </c>
      <c r="H9" t="s">
        <v>1</v>
      </c>
    </row>
    <row r="10" spans="1:15" x14ac:dyDescent="0.25">
      <c r="B10" t="s">
        <v>60</v>
      </c>
      <c r="C10" s="2">
        <v>4057.13</v>
      </c>
      <c r="D10" s="2">
        <v>4179.3999999999996</v>
      </c>
      <c r="E10" s="2">
        <v>2882.8</v>
      </c>
      <c r="F10" s="2">
        <v>2840.57</v>
      </c>
      <c r="G10" s="2">
        <v>3250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>
        <v>867.53</v>
      </c>
      <c r="D12">
        <v>854.18</v>
      </c>
      <c r="E12">
        <v>621.72</v>
      </c>
      <c r="F12">
        <v>682.43</v>
      </c>
      <c r="G12">
        <v>612</v>
      </c>
      <c r="H12" t="s">
        <v>1</v>
      </c>
    </row>
    <row r="13" spans="1:15" x14ac:dyDescent="0.25">
      <c r="B13" t="s">
        <v>63</v>
      </c>
      <c r="C13">
        <v>751.47</v>
      </c>
      <c r="D13">
        <v>919.09</v>
      </c>
      <c r="E13">
        <v>507.7</v>
      </c>
      <c r="F13">
        <v>579.9</v>
      </c>
      <c r="G13">
        <v>568</v>
      </c>
      <c r="H13" t="s">
        <v>1</v>
      </c>
    </row>
    <row r="14" spans="1:15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15" x14ac:dyDescent="0.25">
      <c r="B15" t="s">
        <v>65</v>
      </c>
      <c r="C15">
        <v>178.53</v>
      </c>
      <c r="D15">
        <v>41.36</v>
      </c>
      <c r="E15">
        <v>74.03</v>
      </c>
      <c r="F15">
        <v>-126.84</v>
      </c>
      <c r="G15">
        <v>87</v>
      </c>
      <c r="H15" t="s">
        <v>1</v>
      </c>
    </row>
    <row r="16" spans="1:15" x14ac:dyDescent="0.25">
      <c r="A16" t="s">
        <v>99</v>
      </c>
      <c r="B16" t="s">
        <v>66</v>
      </c>
      <c r="C16">
        <v>937.06</v>
      </c>
      <c r="D16">
        <v>936.9</v>
      </c>
      <c r="E16">
        <v>743.33</v>
      </c>
      <c r="F16">
        <v>762.95</v>
      </c>
      <c r="G16">
        <v>749</v>
      </c>
      <c r="H16" t="s">
        <v>1</v>
      </c>
    </row>
    <row r="17" spans="1:8" x14ac:dyDescent="0.25">
      <c r="A17" t="s">
        <v>100</v>
      </c>
      <c r="B17" t="s">
        <v>67</v>
      </c>
      <c r="C17">
        <v>255.49</v>
      </c>
      <c r="D17">
        <v>264.89</v>
      </c>
      <c r="E17">
        <v>275.74</v>
      </c>
      <c r="F17">
        <v>249.08</v>
      </c>
      <c r="G17">
        <v>299</v>
      </c>
      <c r="H17" t="s">
        <v>1</v>
      </c>
    </row>
    <row r="18" spans="1:8" x14ac:dyDescent="0.25">
      <c r="A18" t="s">
        <v>101</v>
      </c>
      <c r="B18" t="s">
        <v>68</v>
      </c>
      <c r="C18">
        <v>149.53</v>
      </c>
      <c r="D18">
        <v>166.04</v>
      </c>
      <c r="E18">
        <v>224.14</v>
      </c>
      <c r="F18">
        <v>246.02</v>
      </c>
      <c r="G18">
        <v>247</v>
      </c>
      <c r="H18" t="s">
        <v>1</v>
      </c>
    </row>
    <row r="19" spans="1:8" x14ac:dyDescent="0.25">
      <c r="A19" t="s">
        <v>99</v>
      </c>
      <c r="B19" t="s">
        <v>69</v>
      </c>
      <c r="C19">
        <v>1200.48</v>
      </c>
      <c r="D19">
        <v>1297.26</v>
      </c>
      <c r="E19">
        <v>778.18</v>
      </c>
      <c r="F19" s="2">
        <v>872.89</v>
      </c>
      <c r="G19" s="2">
        <v>916</v>
      </c>
      <c r="H19" t="s">
        <v>1</v>
      </c>
    </row>
    <row r="20" spans="1:8" x14ac:dyDescent="0.25">
      <c r="B20" t="s">
        <v>70</v>
      </c>
      <c r="C20" s="2">
        <v>4340.09</v>
      </c>
      <c r="D20" s="2">
        <v>4479.72</v>
      </c>
      <c r="E20" s="2">
        <v>3224.84</v>
      </c>
      <c r="F20" s="2">
        <v>3266.43</v>
      </c>
      <c r="G20" s="2">
        <v>3478</v>
      </c>
      <c r="H20" t="s">
        <v>1</v>
      </c>
    </row>
    <row r="21" spans="1:8" x14ac:dyDescent="0.25">
      <c r="B21" t="s">
        <v>71</v>
      </c>
      <c r="C21">
        <v>-282.95999999999998</v>
      </c>
      <c r="D21">
        <v>-300.32</v>
      </c>
      <c r="E21">
        <v>-342.04</v>
      </c>
      <c r="F21">
        <v>-425.86</v>
      </c>
      <c r="G21">
        <v>-228</v>
      </c>
      <c r="H21" t="s">
        <v>1</v>
      </c>
    </row>
    <row r="22" spans="1:8" x14ac:dyDescent="0.25">
      <c r="A22" t="s">
        <v>102</v>
      </c>
      <c r="B22" t="s">
        <v>72</v>
      </c>
      <c r="C22">
        <v>-358.19</v>
      </c>
      <c r="D22" s="2">
        <v>0</v>
      </c>
      <c r="E22">
        <v>0</v>
      </c>
      <c r="F22">
        <v>1327.84</v>
      </c>
      <c r="G22">
        <v>-183</v>
      </c>
      <c r="H22" t="s">
        <v>1</v>
      </c>
    </row>
    <row r="23" spans="1:8" x14ac:dyDescent="0.25">
      <c r="B23" t="s">
        <v>73</v>
      </c>
      <c r="C23">
        <v>-641.15</v>
      </c>
      <c r="D23">
        <v>-300.32</v>
      </c>
      <c r="E23">
        <v>-342.04</v>
      </c>
      <c r="F23">
        <v>901.98</v>
      </c>
      <c r="G23">
        <v>-411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>
        <v>50.79</v>
      </c>
      <c r="D25">
        <v>9.17</v>
      </c>
      <c r="E25">
        <v>-48.42</v>
      </c>
      <c r="F25">
        <v>-120.82</v>
      </c>
      <c r="G25">
        <v>-132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-25.09</v>
      </c>
      <c r="D27">
        <v>-92.83</v>
      </c>
      <c r="E27">
        <v>-159.36000000000001</v>
      </c>
      <c r="F27">
        <v>-150.79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>
        <v>25.7</v>
      </c>
      <c r="D29">
        <v>-83.66</v>
      </c>
      <c r="E29">
        <v>-204.09</v>
      </c>
      <c r="F29">
        <v>-271.61</v>
      </c>
      <c r="G29">
        <v>-132</v>
      </c>
      <c r="H29" t="s">
        <v>1</v>
      </c>
    </row>
    <row r="30" spans="1:8" x14ac:dyDescent="0.25">
      <c r="B30" t="s">
        <v>80</v>
      </c>
      <c r="C30">
        <v>-666.85</v>
      </c>
      <c r="D30" s="2">
        <v>-216.66</v>
      </c>
      <c r="E30">
        <v>-137.94999999999999</v>
      </c>
      <c r="F30">
        <v>1173.5899999999999</v>
      </c>
      <c r="G30">
        <v>-279</v>
      </c>
      <c r="H30" t="s">
        <v>1</v>
      </c>
    </row>
    <row r="31" spans="1:8" x14ac:dyDescent="0.25">
      <c r="B31" t="s">
        <v>81</v>
      </c>
      <c r="C31">
        <v>-666.85</v>
      </c>
      <c r="D31" s="2">
        <v>-216.66</v>
      </c>
      <c r="E31">
        <v>-137.94999999999999</v>
      </c>
      <c r="F31">
        <v>1173.5899999999999</v>
      </c>
      <c r="G31">
        <v>-279</v>
      </c>
      <c r="H31" t="s">
        <v>1</v>
      </c>
    </row>
    <row r="32" spans="1:8" x14ac:dyDescent="0.25">
      <c r="B32" t="s">
        <v>82</v>
      </c>
      <c r="C32">
        <v>-666.85</v>
      </c>
      <c r="D32">
        <v>-216.66</v>
      </c>
      <c r="E32">
        <v>-43.39</v>
      </c>
      <c r="F32">
        <v>688.6</v>
      </c>
      <c r="G32">
        <v>-279</v>
      </c>
      <c r="H32" t="s">
        <v>1</v>
      </c>
    </row>
    <row r="33" spans="1:8" x14ac:dyDescent="0.25">
      <c r="B33" t="s">
        <v>10</v>
      </c>
      <c r="C33">
        <v>58.55</v>
      </c>
      <c r="D33">
        <v>22.13</v>
      </c>
      <c r="E33">
        <v>-25.83</v>
      </c>
      <c r="F33">
        <v>-2.54</v>
      </c>
      <c r="G33">
        <v>35</v>
      </c>
      <c r="H33" t="s">
        <v>1</v>
      </c>
    </row>
    <row r="34" spans="1:8" x14ac:dyDescent="0.25">
      <c r="B34" t="s">
        <v>83</v>
      </c>
      <c r="C34">
        <v>-608.29999999999995</v>
      </c>
      <c r="D34">
        <v>-194.53</v>
      </c>
      <c r="E34">
        <v>-69.22</v>
      </c>
      <c r="F34">
        <v>686.06</v>
      </c>
      <c r="G34">
        <v>-244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-55</v>
      </c>
      <c r="D37">
        <v>-18</v>
      </c>
      <c r="E37">
        <v>-6</v>
      </c>
      <c r="F37">
        <v>62</v>
      </c>
      <c r="G37">
        <v>-20</v>
      </c>
      <c r="H37" t="s">
        <v>1</v>
      </c>
    </row>
    <row r="38" spans="1:8" x14ac:dyDescent="0.25">
      <c r="B38" t="s">
        <v>86</v>
      </c>
      <c r="C38">
        <v>-55</v>
      </c>
      <c r="D38">
        <v>-18</v>
      </c>
      <c r="E38">
        <v>-6</v>
      </c>
      <c r="F38">
        <v>62</v>
      </c>
      <c r="G38">
        <v>-20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0</v>
      </c>
      <c r="D40">
        <v>0</v>
      </c>
      <c r="E40">
        <v>0</v>
      </c>
      <c r="F40">
        <v>0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387E5072-AE7B-422C-A05D-04C05909A747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91321-BE4F-43A2-8288-58E463C47F7E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170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3627.8100000000004</v>
      </c>
      <c r="D6" s="13">
        <f>Balance_Sheet!D72</f>
        <v>5529.3750773682714</v>
      </c>
      <c r="E6" s="13">
        <f>Balance_Sheet!E72</f>
        <v>6445.7987764819409</v>
      </c>
      <c r="F6" s="13">
        <f>Balance_Sheet!F72</f>
        <v>7620.7977797088115</v>
      </c>
      <c r="G6" s="13">
        <f>Balance_Sheet!G72</f>
        <v>7388.8339716592754</v>
      </c>
    </row>
    <row r="7" spans="2:15" ht="18.75" x14ac:dyDescent="0.25">
      <c r="B7" s="12" t="str">
        <f>Balance_Sheet!B66</f>
        <v>Inventories</v>
      </c>
      <c r="C7" s="13">
        <f>Balance_Sheet!C66</f>
        <v>855.71</v>
      </c>
      <c r="D7" s="13">
        <f>Balance_Sheet!D66</f>
        <v>819.36</v>
      </c>
      <c r="E7" s="13">
        <f>Balance_Sheet!E66</f>
        <v>689.83</v>
      </c>
      <c r="F7" s="13">
        <f>Balance_Sheet!F66</f>
        <v>798.88</v>
      </c>
      <c r="G7" s="13">
        <f>Balance_Sheet!G66</f>
        <v>769</v>
      </c>
    </row>
    <row r="8" spans="2:15" ht="18.75" x14ac:dyDescent="0.25">
      <c r="B8" s="12" t="str">
        <f>Balance_Sheet!B33</f>
        <v>Total Current Liabilities</v>
      </c>
      <c r="C8" s="13">
        <f>Balance_Sheet!C33</f>
        <v>2319.5100000000002</v>
      </c>
      <c r="D8" s="13">
        <f>Balance_Sheet!D33</f>
        <v>2342.2199999999998</v>
      </c>
      <c r="E8" s="13">
        <f>Balance_Sheet!E33</f>
        <v>2945.44</v>
      </c>
      <c r="F8" s="13">
        <f>Balance_Sheet!F33</f>
        <v>2415.0299999999997</v>
      </c>
      <c r="G8" s="13">
        <f>Balance_Sheet!G33</f>
        <v>2151</v>
      </c>
    </row>
    <row r="9" spans="2:15" ht="18.75" x14ac:dyDescent="0.25">
      <c r="B9" s="14" t="s">
        <v>171</v>
      </c>
      <c r="C9" s="14">
        <f>ROUND((C6-C7)/ C8, 2)</f>
        <v>1.2</v>
      </c>
      <c r="D9" s="14">
        <f t="shared" ref="D9:G9" si="0">ROUND((D6-D7)/ D8, 2)</f>
        <v>2.0099999999999998</v>
      </c>
      <c r="E9" s="14">
        <f t="shared" si="0"/>
        <v>1.95</v>
      </c>
      <c r="F9" s="14">
        <f t="shared" si="0"/>
        <v>2.82</v>
      </c>
      <c r="G9" s="14">
        <f t="shared" si="0"/>
        <v>3.08</v>
      </c>
    </row>
  </sheetData>
  <mergeCells count="1">
    <mergeCell ref="B5:G5"/>
  </mergeCells>
  <hyperlinks>
    <hyperlink ref="F1" location="Index_Data!A1" tooltip="Hi click here To return Index page" display="Index_Data!A1" xr:uid="{85373637-6983-4F1C-85EB-D8017AA097B9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BA2A3-F3CA-4E54-9594-CB93A2928935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0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886.83066958830909</v>
      </c>
      <c r="D6" s="13">
        <f>Income_Statement!D33</f>
        <v>907.58507736827141</v>
      </c>
      <c r="E6" s="13">
        <f>Income_Statement!E33</f>
        <v>505.48369911366979</v>
      </c>
      <c r="F6" s="13">
        <f>Income_Statement!F33</f>
        <v>268.23900322686995</v>
      </c>
      <c r="G6" s="13">
        <f>Income_Statement!G33</f>
        <v>727.0061919504642</v>
      </c>
    </row>
    <row r="7" spans="2:15" ht="18.75" x14ac:dyDescent="0.25">
      <c r="B7" s="12" t="str">
        <f>Income_Statement!B35</f>
        <v>Finance Costs</v>
      </c>
      <c r="C7" s="13">
        <f>Income_Statement!C35</f>
        <v>255.49</v>
      </c>
      <c r="D7" s="13">
        <f>Income_Statement!D35</f>
        <v>264.89</v>
      </c>
      <c r="E7" s="13">
        <f>Income_Statement!E35</f>
        <v>275.74</v>
      </c>
      <c r="F7" s="13">
        <f>Income_Statement!F35</f>
        <v>249.08</v>
      </c>
      <c r="G7" s="13">
        <f>Income_Statement!G35</f>
        <v>299</v>
      </c>
    </row>
    <row r="8" spans="2:15" ht="18.75" x14ac:dyDescent="0.25">
      <c r="B8" s="14" t="s">
        <v>173</v>
      </c>
      <c r="C8" s="14">
        <f>ROUND(C6/C7, 2)</f>
        <v>3.47</v>
      </c>
      <c r="D8" s="14">
        <f t="shared" ref="D8:G8" si="0">ROUND(D6/D7, 2)</f>
        <v>3.43</v>
      </c>
      <c r="E8" s="14">
        <f t="shared" si="0"/>
        <v>1.83</v>
      </c>
      <c r="F8" s="14">
        <f t="shared" si="0"/>
        <v>1.08</v>
      </c>
      <c r="G8" s="14">
        <f t="shared" si="0"/>
        <v>2.4300000000000002</v>
      </c>
    </row>
  </sheetData>
  <mergeCells count="1">
    <mergeCell ref="B5:G5"/>
  </mergeCells>
  <hyperlinks>
    <hyperlink ref="F1" location="Index_Data!A1" tooltip="Hi click here To return Index page" display="Index_Data!A1" xr:uid="{B96F108D-F9B2-4D74-90B1-609D2E28A9F0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0D892-F418-498E-B120-3B412C6CB8B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174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867.53</v>
      </c>
      <c r="D6" s="13">
        <f>Income_Statement!D17</f>
        <v>854.18</v>
      </c>
      <c r="E6" s="13">
        <f>Income_Statement!E17</f>
        <v>621.72</v>
      </c>
      <c r="F6" s="13">
        <f>Income_Statement!F17</f>
        <v>682.43</v>
      </c>
      <c r="G6" s="13">
        <f>Income_Statement!G17</f>
        <v>612</v>
      </c>
    </row>
    <row r="7" spans="2:15" ht="18.75" x14ac:dyDescent="0.25">
      <c r="B7" s="12" t="str">
        <f>Income_Statement!B9</f>
        <v>Net Sales</v>
      </c>
      <c r="C7" s="13">
        <f>Income_Statement!C9</f>
        <v>3920.17</v>
      </c>
      <c r="D7" s="13">
        <f>Income_Statement!D9</f>
        <v>4139.9399999999996</v>
      </c>
      <c r="E7" s="13">
        <f>Income_Statement!E9</f>
        <v>2833.03</v>
      </c>
      <c r="F7" s="13">
        <f>Income_Statement!F9</f>
        <v>2699.21</v>
      </c>
      <c r="G7" s="13">
        <f>Income_Statement!G9</f>
        <v>3230</v>
      </c>
    </row>
    <row r="8" spans="2:15" ht="18.75" x14ac:dyDescent="0.25">
      <c r="B8" s="14" t="s">
        <v>175</v>
      </c>
      <c r="C8" s="14">
        <f>ROUND(C6/C7, 2)</f>
        <v>0.22</v>
      </c>
      <c r="D8" s="14">
        <f t="shared" ref="D8:G8" si="0">ROUND(D6/D7, 2)</f>
        <v>0.21</v>
      </c>
      <c r="E8" s="14">
        <f t="shared" si="0"/>
        <v>0.22</v>
      </c>
      <c r="F8" s="14">
        <f t="shared" si="0"/>
        <v>0.25</v>
      </c>
      <c r="G8" s="14">
        <f t="shared" si="0"/>
        <v>0.19</v>
      </c>
    </row>
  </sheetData>
  <mergeCells count="1">
    <mergeCell ref="B5:G5"/>
  </mergeCells>
  <hyperlinks>
    <hyperlink ref="F1" location="Index_Data!A1" tooltip="Hi click here To return Index page" display="Index_Data!A1" xr:uid="{BA128032-A574-4F7E-B117-035F4943AAFE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A049D-592B-492F-BC58-D78A79441AC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7" width="12.28515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176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1082.25</v>
      </c>
      <c r="D6" s="13">
        <f>Balance_Sheet!D70</f>
        <v>2650.7850773682712</v>
      </c>
      <c r="E6" s="13">
        <f>Balance_Sheet!E70</f>
        <v>3622.618776481941</v>
      </c>
      <c r="F6" s="13">
        <f>Balance_Sheet!F70</f>
        <v>4862.4077797088112</v>
      </c>
      <c r="G6" s="13">
        <f>Balance_Sheet!G70</f>
        <v>4355.8339716592754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867.53</v>
      </c>
      <c r="D7" s="13">
        <f>Income_Statement!D17</f>
        <v>854.18</v>
      </c>
      <c r="E7" s="13">
        <f>Income_Statement!E17</f>
        <v>621.72</v>
      </c>
      <c r="F7" s="13">
        <f>Income_Statement!F17</f>
        <v>682.43</v>
      </c>
      <c r="G7" s="13">
        <f>Income_Statement!G17</f>
        <v>612</v>
      </c>
    </row>
    <row r="8" spans="2:15" ht="18.75" x14ac:dyDescent="0.25">
      <c r="B8" s="14" t="s">
        <v>177</v>
      </c>
      <c r="C8" s="14">
        <f>ROUND(C6/C7*365, 2)</f>
        <v>455.34</v>
      </c>
      <c r="D8" s="14">
        <f t="shared" ref="D8:G8" si="0">ROUND(D6/D7*365, 2)</f>
        <v>1132.71</v>
      </c>
      <c r="E8" s="14">
        <f t="shared" si="0"/>
        <v>2126.77</v>
      </c>
      <c r="F8" s="14">
        <f t="shared" si="0"/>
        <v>2600.6799999999998</v>
      </c>
      <c r="G8" s="14">
        <f t="shared" si="0"/>
        <v>2597.84</v>
      </c>
    </row>
  </sheetData>
  <mergeCells count="1">
    <mergeCell ref="B5:G5"/>
  </mergeCells>
  <hyperlinks>
    <hyperlink ref="F1" location="Index_Data!A1" tooltip="Hi click here To return Index page" display="Index_Data!A1" xr:uid="{F7BC9430-61A4-43F7-9DC1-82900A52FE98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633E5-44B6-43A9-98C5-C574A3731C02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4" width="12.28515625" bestFit="1" customWidth="1"/>
    <col min="5" max="5" width="11.5703125" bestFit="1" customWidth="1"/>
    <col min="6" max="7" width="12.28515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178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1082.25</v>
      </c>
      <c r="D6" s="13">
        <f>Balance_Sheet!D70</f>
        <v>2650.7850773682712</v>
      </c>
      <c r="E6" s="13">
        <f>Balance_Sheet!E70</f>
        <v>3622.618776481941</v>
      </c>
      <c r="F6" s="13">
        <f>Balance_Sheet!F70</f>
        <v>4862.4077797088112</v>
      </c>
      <c r="G6" s="13">
        <f>Balance_Sheet!G70</f>
        <v>4355.8339716592754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1082.25</v>
      </c>
      <c r="D8" s="14">
        <f t="shared" ref="D8:G8" si="0">ROUND(D6/D7*365, 2)</f>
        <v>2650.79</v>
      </c>
      <c r="E8" s="14">
        <f t="shared" si="0"/>
        <v>3622.62</v>
      </c>
      <c r="F8" s="14">
        <f t="shared" si="0"/>
        <v>4862.41</v>
      </c>
      <c r="G8" s="14">
        <f t="shared" si="0"/>
        <v>4355.83</v>
      </c>
    </row>
  </sheetData>
  <mergeCells count="1">
    <mergeCell ref="B5:G5"/>
  </mergeCells>
  <hyperlinks>
    <hyperlink ref="F1" location="Index_Data!A1" tooltip="Hi click here To return Index page" display="Index_Data!A1" xr:uid="{9DA32CAC-381A-4504-B8DD-EAB03304EE1D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47863-2B5B-412D-B36E-6CFC2ACABB9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5" width="11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3920.17</v>
      </c>
      <c r="D6" s="13">
        <f>Income_Statement!D5</f>
        <v>4139.9399999999996</v>
      </c>
      <c r="E6" s="13">
        <f>Income_Statement!E5</f>
        <v>2833.03</v>
      </c>
      <c r="F6" s="13">
        <f>Income_Statement!F5</f>
        <v>2699.21</v>
      </c>
      <c r="G6" s="13">
        <f>Income_Statement!G5</f>
        <v>3230</v>
      </c>
    </row>
    <row r="7" spans="2:15" ht="18.75" x14ac:dyDescent="0.25">
      <c r="B7" s="12" t="str">
        <f>Balance_Sheet!B74</f>
        <v>Total Assets</v>
      </c>
      <c r="C7" s="13">
        <f>Balance_Sheet!C74</f>
        <v>8162.04</v>
      </c>
      <c r="D7" s="13">
        <f>Balance_Sheet!D74</f>
        <v>8500.8750773682714</v>
      </c>
      <c r="E7" s="13">
        <f>Balance_Sheet!E74</f>
        <v>9519.6287764819408</v>
      </c>
      <c r="F7" s="13">
        <f>Balance_Sheet!F74</f>
        <v>10026.947779708811</v>
      </c>
      <c r="G7" s="13">
        <f>Balance_Sheet!G74</f>
        <v>10418.633971659276</v>
      </c>
    </row>
    <row r="8" spans="2:15" ht="18.75" x14ac:dyDescent="0.25">
      <c r="B8" s="14" t="s">
        <v>182</v>
      </c>
      <c r="C8" s="14">
        <f>ROUND(C6/C7, 2)</f>
        <v>0.48</v>
      </c>
      <c r="D8" s="14">
        <f t="shared" ref="D8:G8" si="0">ROUND(D6/D7, 2)</f>
        <v>0.49</v>
      </c>
      <c r="E8" s="14">
        <f t="shared" si="0"/>
        <v>0.3</v>
      </c>
      <c r="F8" s="14">
        <f t="shared" si="0"/>
        <v>0.27</v>
      </c>
      <c r="G8" s="14">
        <f t="shared" si="0"/>
        <v>0.31</v>
      </c>
    </row>
  </sheetData>
  <mergeCells count="1">
    <mergeCell ref="B5:G5"/>
  </mergeCells>
  <hyperlinks>
    <hyperlink ref="F1" location="Index_Data!A1" tooltip="Hi click here To return Index page" display="Index_Data!A1" xr:uid="{CC9CB7ED-34E1-4561-8638-55B38D066E60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3C032-6CD4-4C0C-B3AB-0333ECA50E3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183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3920.17</v>
      </c>
      <c r="D6" s="13">
        <f>Income_Statement!D5</f>
        <v>4139.9399999999996</v>
      </c>
      <c r="E6" s="13">
        <f>Income_Statement!E5</f>
        <v>2833.03</v>
      </c>
      <c r="F6" s="13">
        <f>Income_Statement!F5</f>
        <v>2699.21</v>
      </c>
      <c r="G6" s="13">
        <f>Income_Statement!G5</f>
        <v>3230</v>
      </c>
    </row>
    <row r="7" spans="2:15" ht="18.75" x14ac:dyDescent="0.25">
      <c r="B7" s="12" t="str">
        <f>Balance_Sheet!B66</f>
        <v>Inventories</v>
      </c>
      <c r="C7" s="13">
        <f>Balance_Sheet!C66</f>
        <v>855.71</v>
      </c>
      <c r="D7" s="13">
        <f>Balance_Sheet!D66</f>
        <v>819.36</v>
      </c>
      <c r="E7" s="13">
        <f>Balance_Sheet!E66</f>
        <v>689.83</v>
      </c>
      <c r="F7" s="13">
        <f>Balance_Sheet!F66</f>
        <v>798.88</v>
      </c>
      <c r="G7" s="13">
        <f>Balance_Sheet!G66</f>
        <v>769</v>
      </c>
    </row>
    <row r="8" spans="2:15" ht="18.75" x14ac:dyDescent="0.25">
      <c r="B8" s="14" t="s">
        <v>184</v>
      </c>
      <c r="C8" s="14">
        <f>ROUND(C6/C7, 2)</f>
        <v>4.58</v>
      </c>
      <c r="D8" s="14">
        <f t="shared" ref="D8:G8" si="0">ROUND(D6/D7, 2)</f>
        <v>5.05</v>
      </c>
      <c r="E8" s="14">
        <f t="shared" si="0"/>
        <v>4.1100000000000003</v>
      </c>
      <c r="F8" s="14">
        <f t="shared" si="0"/>
        <v>3.38</v>
      </c>
      <c r="G8" s="14">
        <f t="shared" si="0"/>
        <v>4.2</v>
      </c>
    </row>
  </sheetData>
  <mergeCells count="1">
    <mergeCell ref="B5:G5"/>
  </mergeCells>
  <hyperlinks>
    <hyperlink ref="F1" location="Index_Data!A1" tooltip="Hi click here To return Index page" display="Index_Data!A1" xr:uid="{E70CE02B-3322-42DF-8B6B-68342A25BC83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F6469-8BBC-404C-A7BA-4F6A6EA1AD0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3920.17</v>
      </c>
      <c r="D6" s="13">
        <f>Income_Statement!D5</f>
        <v>4139.9399999999996</v>
      </c>
      <c r="E6" s="13">
        <f>Income_Statement!E5</f>
        <v>2833.03</v>
      </c>
      <c r="F6" s="13">
        <f>Income_Statement!F5</f>
        <v>2699.21</v>
      </c>
      <c r="G6" s="13">
        <f>Income_Statement!G5</f>
        <v>3230</v>
      </c>
    </row>
    <row r="7" spans="2:15" ht="18.75" x14ac:dyDescent="0.25">
      <c r="B7" s="12" t="str">
        <f>Balance_Sheet!B68</f>
        <v>Trade Receivables</v>
      </c>
      <c r="C7" s="13">
        <f>Balance_Sheet!C68</f>
        <v>962.45</v>
      </c>
      <c r="D7" s="13">
        <f>Balance_Sheet!D68</f>
        <v>1260.69</v>
      </c>
      <c r="E7" s="13">
        <f>Balance_Sheet!E68</f>
        <v>1242.69</v>
      </c>
      <c r="F7" s="13">
        <f>Balance_Sheet!F68</f>
        <v>917.65</v>
      </c>
      <c r="G7" s="13">
        <f>Balance_Sheet!G68</f>
        <v>918</v>
      </c>
    </row>
    <row r="8" spans="2:15" ht="18.75" x14ac:dyDescent="0.25">
      <c r="B8" s="14" t="s">
        <v>186</v>
      </c>
      <c r="C8" s="14">
        <f>ROUND(C6/C7, 2)</f>
        <v>4.07</v>
      </c>
      <c r="D8" s="14">
        <f t="shared" ref="D8:G8" si="0">ROUND(D6/D7, 2)</f>
        <v>3.28</v>
      </c>
      <c r="E8" s="14">
        <f t="shared" si="0"/>
        <v>2.2799999999999998</v>
      </c>
      <c r="F8" s="14">
        <f t="shared" si="0"/>
        <v>2.94</v>
      </c>
      <c r="G8" s="14">
        <f t="shared" si="0"/>
        <v>3.52</v>
      </c>
    </row>
  </sheetData>
  <mergeCells count="1">
    <mergeCell ref="B5:G5"/>
  </mergeCells>
  <hyperlinks>
    <hyperlink ref="F1" location="Index_Data!A1" tooltip="Hi click here To return Index page" display="Index_Data!A1" xr:uid="{A8E2B7A2-C68A-4C8B-87F4-6205E82F53A9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FEB21-598A-4B32-8E61-8C85B69C135B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3920.17</v>
      </c>
      <c r="D6" s="13">
        <f>Income_Statement!D5</f>
        <v>4139.9399999999996</v>
      </c>
      <c r="E6" s="13">
        <f>Income_Statement!E5</f>
        <v>2833.03</v>
      </c>
      <c r="F6" s="13">
        <f>Income_Statement!F5</f>
        <v>2699.21</v>
      </c>
      <c r="G6" s="13">
        <f>Income_Statement!G5</f>
        <v>3230</v>
      </c>
    </row>
    <row r="7" spans="2:15" ht="18.75" x14ac:dyDescent="0.25">
      <c r="B7" s="12" t="str">
        <f>Balance_Sheet!B40</f>
        <v>Tangible Assets</v>
      </c>
      <c r="C7" s="13">
        <f>Balance_Sheet!C40</f>
        <v>1947.92</v>
      </c>
      <c r="D7" s="13">
        <f>Balance_Sheet!D40</f>
        <v>2124.5</v>
      </c>
      <c r="E7" s="13">
        <f>Balance_Sheet!E40</f>
        <v>2478.89</v>
      </c>
      <c r="F7" s="13">
        <f>Balance_Sheet!F40</f>
        <v>2311.4499999999998</v>
      </c>
      <c r="G7" s="13">
        <f>Balance_Sheet!G40</f>
        <v>3913</v>
      </c>
    </row>
    <row r="8" spans="2:15" ht="18.75" x14ac:dyDescent="0.25">
      <c r="B8" s="14" t="s">
        <v>188</v>
      </c>
      <c r="C8" s="14">
        <f>ROUND(C6/C7, 2)</f>
        <v>2.0099999999999998</v>
      </c>
      <c r="D8" s="14">
        <f t="shared" ref="D8:G8" si="0">ROUND(D6/D7, 2)</f>
        <v>1.95</v>
      </c>
      <c r="E8" s="14">
        <f t="shared" si="0"/>
        <v>1.1399999999999999</v>
      </c>
      <c r="F8" s="14">
        <f t="shared" si="0"/>
        <v>1.17</v>
      </c>
      <c r="G8" s="14">
        <f t="shared" si="0"/>
        <v>0.83</v>
      </c>
    </row>
  </sheetData>
  <mergeCells count="1">
    <mergeCell ref="B5:G5"/>
  </mergeCells>
  <hyperlinks>
    <hyperlink ref="F1" location="Index_Data!A1" tooltip="Hi click here To return Index page" display="Index_Data!A1" xr:uid="{85EB62B5-AA54-4F35-AF58-A83E6EC05A37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E392D-8488-4B83-8126-AC9FE0AE4137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189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867.53</v>
      </c>
      <c r="D6" s="13">
        <f>Income_Statement!D17</f>
        <v>854.18</v>
      </c>
      <c r="E6" s="13">
        <f>Income_Statement!E17</f>
        <v>621.72</v>
      </c>
      <c r="F6" s="13">
        <f>Income_Statement!F17</f>
        <v>682.43</v>
      </c>
      <c r="G6" s="13">
        <f>Income_Statement!G17</f>
        <v>612</v>
      </c>
    </row>
    <row r="7" spans="2:15" ht="18.75" x14ac:dyDescent="0.25">
      <c r="B7" s="12" t="str">
        <f>Balance_Sheet!B33</f>
        <v>Total Current Liabilities</v>
      </c>
      <c r="C7" s="13">
        <f>Balance_Sheet!C33</f>
        <v>2319.5100000000002</v>
      </c>
      <c r="D7" s="13">
        <f>Balance_Sheet!D33</f>
        <v>2342.2199999999998</v>
      </c>
      <c r="E7" s="13">
        <f>Balance_Sheet!E33</f>
        <v>2945.44</v>
      </c>
      <c r="F7" s="13">
        <f>Balance_Sheet!F33</f>
        <v>2415.0299999999997</v>
      </c>
      <c r="G7" s="13">
        <f>Balance_Sheet!G33</f>
        <v>2151</v>
      </c>
    </row>
    <row r="8" spans="2:15" ht="18.75" x14ac:dyDescent="0.25">
      <c r="B8" s="14" t="s">
        <v>190</v>
      </c>
      <c r="C8" s="14">
        <f>ROUND(C6/C7, 2)</f>
        <v>0.37</v>
      </c>
      <c r="D8" s="14">
        <f t="shared" ref="D8:G8" si="0">ROUND(D6/D7, 2)</f>
        <v>0.36</v>
      </c>
      <c r="E8" s="14">
        <f t="shared" si="0"/>
        <v>0.21</v>
      </c>
      <c r="F8" s="14">
        <f t="shared" si="0"/>
        <v>0.28000000000000003</v>
      </c>
      <c r="G8" s="14">
        <f t="shared" si="0"/>
        <v>0.28000000000000003</v>
      </c>
    </row>
  </sheetData>
  <mergeCells count="1">
    <mergeCell ref="B5:G5"/>
  </mergeCells>
  <hyperlinks>
    <hyperlink ref="F1" location="Index_Data!A1" tooltip="Hi click here To return Index page" display="Index_Data!A1" xr:uid="{53FF2E48-71CE-43D5-B5A8-9ECBECCA3420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287BB-7C70-4E72-A6DB-FF7AAA6DAEDA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7" t="s">
        <v>270</v>
      </c>
    </row>
    <row r="2" spans="1:1" x14ac:dyDescent="0.25">
      <c r="A2" s="47" t="s">
        <v>272</v>
      </c>
    </row>
    <row r="3" spans="1:1" x14ac:dyDescent="0.25">
      <c r="A3" s="48"/>
    </row>
    <row r="4" spans="1:1" x14ac:dyDescent="0.25">
      <c r="A4" s="47" t="s">
        <v>120</v>
      </c>
    </row>
    <row r="5" spans="1:1" x14ac:dyDescent="0.25">
      <c r="A5" s="47" t="s">
        <v>128</v>
      </c>
    </row>
    <row r="6" spans="1:1" x14ac:dyDescent="0.25">
      <c r="A6" s="47" t="s">
        <v>143</v>
      </c>
    </row>
    <row r="7" spans="1:1" x14ac:dyDescent="0.25">
      <c r="A7" s="47" t="s">
        <v>273</v>
      </c>
    </row>
    <row r="8" spans="1:1" x14ac:dyDescent="0.25">
      <c r="A8" s="47" t="s">
        <v>146</v>
      </c>
    </row>
    <row r="9" spans="1:1" x14ac:dyDescent="0.25">
      <c r="A9" s="47" t="s">
        <v>148</v>
      </c>
    </row>
    <row r="10" spans="1:1" x14ac:dyDescent="0.25">
      <c r="A10" s="47" t="s">
        <v>150</v>
      </c>
    </row>
    <row r="11" spans="1:1" x14ac:dyDescent="0.25">
      <c r="A11" s="47" t="s">
        <v>152</v>
      </c>
    </row>
    <row r="12" spans="1:1" x14ac:dyDescent="0.25">
      <c r="A12" s="47" t="s">
        <v>155</v>
      </c>
    </row>
    <row r="13" spans="1:1" x14ac:dyDescent="0.25">
      <c r="A13" s="47" t="s">
        <v>157</v>
      </c>
    </row>
    <row r="14" spans="1:1" x14ac:dyDescent="0.25">
      <c r="A14" s="47" t="s">
        <v>159</v>
      </c>
    </row>
    <row r="15" spans="1:1" x14ac:dyDescent="0.25">
      <c r="A15" s="47" t="s">
        <v>161</v>
      </c>
    </row>
    <row r="16" spans="1:1" x14ac:dyDescent="0.25">
      <c r="A16" s="47" t="s">
        <v>163</v>
      </c>
    </row>
    <row r="17" spans="1:1" x14ac:dyDescent="0.25">
      <c r="A17" s="47" t="s">
        <v>165</v>
      </c>
    </row>
    <row r="18" spans="1:1" x14ac:dyDescent="0.25">
      <c r="A18" s="47" t="s">
        <v>167</v>
      </c>
    </row>
    <row r="19" spans="1:1" x14ac:dyDescent="0.25">
      <c r="A19" s="47" t="s">
        <v>169</v>
      </c>
    </row>
    <row r="20" spans="1:1" x14ac:dyDescent="0.25">
      <c r="A20" s="47" t="s">
        <v>171</v>
      </c>
    </row>
    <row r="21" spans="1:1" x14ac:dyDescent="0.25">
      <c r="A21" s="47" t="s">
        <v>173</v>
      </c>
    </row>
    <row r="22" spans="1:1" x14ac:dyDescent="0.25">
      <c r="A22" s="47" t="s">
        <v>175</v>
      </c>
    </row>
    <row r="23" spans="1:1" x14ac:dyDescent="0.25">
      <c r="A23" s="47" t="s">
        <v>177</v>
      </c>
    </row>
    <row r="24" spans="1:1" x14ac:dyDescent="0.25">
      <c r="A24" s="47" t="s">
        <v>180</v>
      </c>
    </row>
    <row r="25" spans="1:1" x14ac:dyDescent="0.25">
      <c r="A25" s="47" t="s">
        <v>182</v>
      </c>
    </row>
    <row r="26" spans="1:1" x14ac:dyDescent="0.25">
      <c r="A26" s="47" t="s">
        <v>184</v>
      </c>
    </row>
    <row r="27" spans="1:1" x14ac:dyDescent="0.25">
      <c r="A27" s="47" t="s">
        <v>186</v>
      </c>
    </row>
    <row r="28" spans="1:1" x14ac:dyDescent="0.25">
      <c r="A28" s="47" t="s">
        <v>188</v>
      </c>
    </row>
    <row r="29" spans="1:1" x14ac:dyDescent="0.25">
      <c r="A29" s="47" t="s">
        <v>190</v>
      </c>
    </row>
    <row r="30" spans="1:1" x14ac:dyDescent="0.25">
      <c r="A30" s="47" t="s">
        <v>192</v>
      </c>
    </row>
    <row r="31" spans="1:1" x14ac:dyDescent="0.25">
      <c r="A31" s="47" t="s">
        <v>194</v>
      </c>
    </row>
    <row r="32" spans="1:1" x14ac:dyDescent="0.25">
      <c r="A32" s="47" t="s">
        <v>196</v>
      </c>
    </row>
    <row r="33" spans="1:1" x14ac:dyDescent="0.25">
      <c r="A33" s="47" t="s">
        <v>198</v>
      </c>
    </row>
    <row r="34" spans="1:1" x14ac:dyDescent="0.25">
      <c r="A34" s="47" t="s">
        <v>201</v>
      </c>
    </row>
    <row r="35" spans="1:1" x14ac:dyDescent="0.25">
      <c r="A35" s="47" t="s">
        <v>274</v>
      </c>
    </row>
    <row r="36" spans="1:1" x14ac:dyDescent="0.25">
      <c r="A36" s="47" t="s">
        <v>275</v>
      </c>
    </row>
    <row r="37" spans="1:1" x14ac:dyDescent="0.25">
      <c r="A37" s="47" t="s">
        <v>276</v>
      </c>
    </row>
    <row r="38" spans="1:1" x14ac:dyDescent="0.25">
      <c r="A38" s="47" t="s">
        <v>278</v>
      </c>
    </row>
    <row r="39" spans="1:1" x14ac:dyDescent="0.25">
      <c r="A39" s="47" t="s">
        <v>279</v>
      </c>
    </row>
    <row r="40" spans="1:1" x14ac:dyDescent="0.25">
      <c r="A40" s="47" t="s">
        <v>280</v>
      </c>
    </row>
    <row r="41" spans="1:1" x14ac:dyDescent="0.25">
      <c r="A41" s="47" t="s">
        <v>281</v>
      </c>
    </row>
    <row r="42" spans="1:1" x14ac:dyDescent="0.25">
      <c r="A42" s="47" t="s">
        <v>282</v>
      </c>
    </row>
    <row r="43" spans="1:1" x14ac:dyDescent="0.25">
      <c r="A43" s="47" t="s">
        <v>283</v>
      </c>
    </row>
    <row r="44" spans="1:1" x14ac:dyDescent="0.25">
      <c r="A44" s="47" t="s">
        <v>284</v>
      </c>
    </row>
    <row r="45" spans="1:1" x14ac:dyDescent="0.25">
      <c r="A45" s="47" t="s">
        <v>277</v>
      </c>
    </row>
    <row r="46" spans="1:1" x14ac:dyDescent="0.25">
      <c r="A46" s="47" t="s">
        <v>285</v>
      </c>
    </row>
    <row r="47" spans="1:1" x14ac:dyDescent="0.25">
      <c r="A47" s="47" t="s">
        <v>286</v>
      </c>
    </row>
    <row r="48" spans="1:1" x14ac:dyDescent="0.25">
      <c r="A48" s="47" t="s">
        <v>287</v>
      </c>
    </row>
  </sheetData>
  <hyperlinks>
    <hyperlink ref="A1" location="BSInput!A1" tooltip="Hi click here to view the sheet" display="BSInput!A1" xr:uid="{4D911296-47FD-4B8B-884B-22D724EDE90C}"/>
    <hyperlink ref="A2" location="ISMInput!A1" tooltip="Hi click here to view the sheet" display="ISMInput!A1" xr:uid="{93DC57B4-3A34-4905-9C97-33AFE08C87B4}"/>
    <hyperlink ref="A4" location="Income_Statement!A1" tooltip="Hi click here to view the sheet" display="Income_Statement!A1" xr:uid="{B7C3DD6D-5615-4C73-8071-0CC325EF0C62}"/>
    <hyperlink ref="A5" location="Balance_Sheet!A1" tooltip="Hi click here to view the sheet" display="Balance_Sheet!A1" xr:uid="{0AC0CAA8-FEAF-447D-93BD-DD6FDDA8239A}"/>
    <hyperlink ref="A6" location="CashFlow_Statement!A1" tooltip="Hi click here to view the sheet" display="CashFlow_Statement!A1" xr:uid="{D146BEDA-5432-4A6F-A437-E2BD5E3C0EC3}"/>
    <hyperlink ref="A7" location="Ratios!A1" tooltip="Hi click here to view the sheet" display="Ratios!A1" xr:uid="{91468522-B852-4014-B15E-AE64F6C9CDBD}"/>
    <hyperlink ref="A8" location="Earning__Per_Share!A1" tooltip="Hi click here to view the sheet" display="Earning__Per_Share!A1" xr:uid="{D7A07DA8-51E0-4E53-B125-4738C1C3B833}"/>
    <hyperlink ref="A9" location="Equity_Dividend_Per_Share!A1" tooltip="Hi click here to view the sheet" display="Equity_Dividend_Per_Share!A1" xr:uid="{6DF1DC4D-2ADF-4828-9EDC-8DF9C3AA8346}"/>
    <hyperlink ref="A10" location="Book_Value__Per_Share!A1" tooltip="Hi click here to view the sheet" display="Book_Value__Per_Share!A1" xr:uid="{F2C1EA32-AF83-4875-A311-7A8CB9737462}"/>
    <hyperlink ref="A11" location="Dividend_Pay_Out_Ratio!A1" tooltip="Hi click here to view the sheet" display="Dividend_Pay_Out_Ratio!A1" xr:uid="{8A987E03-248C-4870-AB02-7281066CF185}"/>
    <hyperlink ref="A12" location="Dividend_Retention_Ratio!A1" tooltip="Hi click here to view the sheet" display="Dividend_Retention_Ratio!A1" xr:uid="{79230C04-590F-4F63-97FA-F701C0E8F909}"/>
    <hyperlink ref="A13" location="Gross_Profit!A1" tooltip="Hi click here to view the sheet" display="Gross_Profit!A1" xr:uid="{E96296E0-CF77-4AD1-8C06-F111D6C5C189}"/>
    <hyperlink ref="A14" location="Net_Profit!A1" tooltip="Hi click here to view the sheet" display="Net_Profit!A1" xr:uid="{52188AB1-E290-4490-8181-9DCA19E1310E}"/>
    <hyperlink ref="A15" location="Return_On_Assets!A1" tooltip="Hi click here to view the sheet" display="Return_On_Assets!A1" xr:uid="{D4628454-0503-4E3E-A879-6897BB5D91F7}"/>
    <hyperlink ref="A16" location="Return_On_Capital_Employeed!A1" tooltip="Hi click here to view the sheet" display="Return_On_Capital_Employeed!A1" xr:uid="{75FFBF67-033D-4424-9C44-190F5E47C371}"/>
    <hyperlink ref="A17" location="Return_On_Equity!A1" tooltip="Hi click here to view the sheet" display="Return_On_Equity!A1" xr:uid="{7F94B57D-7C98-4F3A-8C4A-1F206223D3E4}"/>
    <hyperlink ref="A18" location="Debt_Equity_Ratio!A1" tooltip="Hi click here to view the sheet" display="Debt_Equity_Ratio!A1" xr:uid="{E915F110-6617-4A9C-86AF-D1E664C675D0}"/>
    <hyperlink ref="A19" location="Current_Ratio!A1" tooltip="Hi click here to view the sheet" display="Current_Ratio!A1" xr:uid="{CFD0A60F-2CDF-41BD-A4C8-8EAAD8CB840D}"/>
    <hyperlink ref="A20" location="Quick_Ratio!A1" tooltip="Hi click here to view the sheet" display="Quick_Ratio!A1" xr:uid="{89458614-392B-482E-86C0-9CD4C2C5F43F}"/>
    <hyperlink ref="A21" location="Interest_Coverage_Ratio!A1" tooltip="Hi click here to view the sheet" display="Interest_Coverage_Ratio!A1" xr:uid="{1A942F4F-5464-4DBE-AEE7-5CF5E1232637}"/>
    <hyperlink ref="A22" location="Material_Consumed!A1" tooltip="Hi click here to view the sheet" display="Material_Consumed!A1" xr:uid="{4B85F86E-B952-409C-9FE1-8BC34797CDB7}"/>
    <hyperlink ref="A23" location="Defensive_Interval_Ratio!A1" tooltip="Hi click here to view the sheet" display="Defensive_Interval_Ratio!A1" xr:uid="{696A0781-26DB-492B-B233-886984D5DB25}"/>
    <hyperlink ref="A24" location="Purchases_Per_Day!A1" tooltip="Hi click here to view the sheet" display="Purchases_Per_Day!A1" xr:uid="{8D2DD680-56F1-4BE6-A7D9-EA1782443D19}"/>
    <hyperlink ref="A25" location="Asset_TurnOver_Ratio!A1" tooltip="Hi click here to view the sheet" display="Asset_TurnOver_Ratio!A1" xr:uid="{587C5EF0-EFB9-43F5-B270-C19D121E7259}"/>
    <hyperlink ref="A26" location="Inventory_TurnOver_Ratio!A1" tooltip="Hi click here to view the sheet" display="Inventory_TurnOver_Ratio!A1" xr:uid="{6FC95400-C703-4A0F-AF9D-E845F0EBF9E7}"/>
    <hyperlink ref="A27" location="Debtors_TurnOver_Ratio!A1" tooltip="Hi click here to view the sheet" display="Debtors_TurnOver_Ratio!A1" xr:uid="{79071242-6615-4556-824F-2E6111FDE122}"/>
    <hyperlink ref="A28" location="Fixed_Assets_TurnOver_Ratio!A1" tooltip="Hi click here to view the sheet" display="Fixed_Assets_TurnOver_Ratio!A1" xr:uid="{42B8C1C1-E116-4DEC-AAB2-8973E274C8FF}"/>
    <hyperlink ref="A29" location="Payable_TurnOver_Ratio!A1" tooltip="Hi click here to view the sheet" display="Payable_TurnOver_Ratio!A1" xr:uid="{1DD70252-0178-4E9A-B809-7CF5E758FD13}"/>
    <hyperlink ref="A30" location="Inventory_Days!A1" tooltip="Hi click here to view the sheet" display="Inventory_Days!A1" xr:uid="{9F6D31D0-AFEF-4093-8195-C7578F3E98D0}"/>
    <hyperlink ref="A31" location="Payable_Days!A1" tooltip="Hi click here to view the sheet" display="Payable_Days!A1" xr:uid="{1D04A858-48F5-408A-B22E-B6D66C357A38}"/>
    <hyperlink ref="A32" location="Receivable_Days!A1" tooltip="Hi click here to view the sheet" display="Receivable_Days!A1" xr:uid="{36945449-4385-47B2-AAC6-A5186094F3CC}"/>
    <hyperlink ref="A33" location="Operating_Cycle!A1" tooltip="Hi click here to view the sheet" display="Operating_Cycle!A1" xr:uid="{F8FFC7BF-8F60-4393-8199-3EC3A68C214A}"/>
    <hyperlink ref="A34" location="Cash_Conversion_Cycle_Days!A1" tooltip="Hi click here to view the sheet" display="Cash_Conversion_Cycle_Days!A1" xr:uid="{6AF1A696-F6E3-472C-9A2B-E4FA8AC2E513}"/>
    <hyperlink ref="A35" location="NetWorthVsTotalLiabilties!A1" tooltip="Hi click here to view the sheet" display="NetWorthVsTotalLiabilties!A1" xr:uid="{87C0945A-34CA-4400-9BB1-13FE69E49734}"/>
    <hyperlink ref="A36" location="PBDITvsPBIT!A1" tooltip="Hi click here to view the sheet" display="PBDITvsPBIT!A1" xr:uid="{EE0F1BDF-6FD8-4EE5-9708-E255EEB8C3AD}"/>
    <hyperlink ref="A37" location="CAvsCL!A1" tooltip="Hi click here to view the sheet" display="CAvsCL!A1" xr:uid="{3DB55D57-434C-42DC-AC90-65DCA403B7E2}"/>
    <hyperlink ref="A38" location="Long_And_Short_Term_Provisions!A1" tooltip="Hi click here to view the sheet" display="Long_And_Short_Term_Provisions!A1" xr:uid="{9D85839B-D35D-44D4-AE01-7DC53D8D5A2F}"/>
    <hyperlink ref="A39" location="MaterialConsumed_DirectExpenses!A1" tooltip="Hi click here to view the sheet" display="MaterialConsumed_DirectExpenses!A1" xr:uid="{19766B2F-BA5B-4E28-9090-42A8DC76AE08}"/>
    <hyperlink ref="A40" location="Gross_Sales_In_Total_Income!A1" tooltip="Hi click here to view the sheet" display="Gross_Sales_In_Total_Income!A1" xr:uid="{6682B29D-0066-44D8-8430-97248510E717}"/>
    <hyperlink ref="A41" location="Total_Debt_In_Liabilities!A1" tooltip="Hi click here to view the sheet" display="Total_Debt_In_Liabilities!A1" xr:uid="{AA403AD7-D30A-47A2-8A22-B1D80A340767}"/>
    <hyperlink ref="A42" location="Total_CL_In_Liabilities!A1" tooltip="Hi click here to view the sheet" display="Total_CL_In_Liabilities!A1" xr:uid="{A34E7F71-49E2-406C-A068-8B37E2555C20}"/>
    <hyperlink ref="A43" location="Total_NCA_In_Assets!A1" tooltip="Hi click here to view the sheet" display="Total_NCA_In_Assets!A1" xr:uid="{785C1D14-F5BB-48E1-9806-642A7E48BF95}"/>
    <hyperlink ref="A44" location="Total_CA_In_Assets!A1" tooltip="Hi click here to view the sheet" display="Total_CA_In_Assets!A1" xr:uid="{40407038-C38C-4403-9D0E-C2F166785238}"/>
    <hyperlink ref="A45" location="TotalExpenditureVsTotalIncome!A1" tooltip="Hi click here to view the sheet" display="TotalExpenditureVsTotalIncome!A1" xr:uid="{1E42E028-C32D-42A6-8D49-27BB29FE5356}"/>
    <hyperlink ref="A46" location="Net_Profit_CF_To_Balance_Sheet!A1" tooltip="Hi click here to view the sheet" display="Net_Profit_CF_To_Balance_Sheet!A1" xr:uid="{2E3845DA-3259-4861-96AC-5217BA3A3089}"/>
    <hyperlink ref="A47" location="BS_Backup!A1" tooltip="Hi click here to view the sheet" display="BS_Backup!A1" xr:uid="{23C2A5E4-97A8-489C-9F4B-E598A80028A5}"/>
    <hyperlink ref="A48" location="ISM_Backup!A1" tooltip="Hi click here to view the sheet" display="ISM_Backup!A1" xr:uid="{646A32C6-43E4-4B32-BFA6-0C0253F16C89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FACA6-0FFC-4557-B608-F78F0EA1845A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3920.17</v>
      </c>
      <c r="D6" s="13">
        <f>Income_Statement!D5</f>
        <v>4139.9399999999996</v>
      </c>
      <c r="E6" s="13">
        <f>Income_Statement!E5</f>
        <v>2833.03</v>
      </c>
      <c r="F6" s="13">
        <f>Income_Statement!F5</f>
        <v>2699.21</v>
      </c>
      <c r="G6" s="13">
        <f>Income_Statement!G5</f>
        <v>3230</v>
      </c>
    </row>
    <row r="7" spans="2:15" ht="18.75" x14ac:dyDescent="0.25">
      <c r="B7" s="12" t="str">
        <f>Balance_Sheet!B66</f>
        <v>Inventories</v>
      </c>
      <c r="C7" s="13">
        <f>Balance_Sheet!C66</f>
        <v>855.71</v>
      </c>
      <c r="D7" s="13">
        <f>Balance_Sheet!D66</f>
        <v>819.36</v>
      </c>
      <c r="E7" s="13">
        <f>Balance_Sheet!E66</f>
        <v>689.83</v>
      </c>
      <c r="F7" s="13">
        <f>Balance_Sheet!F66</f>
        <v>798.88</v>
      </c>
      <c r="G7" s="13">
        <f>Balance_Sheet!G66</f>
        <v>769</v>
      </c>
    </row>
    <row r="8" spans="2:15" ht="18.75" x14ac:dyDescent="0.25">
      <c r="B8" s="14" t="s">
        <v>192</v>
      </c>
      <c r="C8" s="14">
        <f>ROUND(365/C6*C7, 2)</f>
        <v>79.67</v>
      </c>
      <c r="D8" s="14">
        <f t="shared" ref="D8:G8" si="0">ROUND(365/D6*D7, 2)</f>
        <v>72.239999999999995</v>
      </c>
      <c r="E8" s="14">
        <f t="shared" si="0"/>
        <v>88.88</v>
      </c>
      <c r="F8" s="14">
        <f t="shared" si="0"/>
        <v>108.03</v>
      </c>
      <c r="G8" s="14">
        <f t="shared" si="0"/>
        <v>86.9</v>
      </c>
    </row>
  </sheetData>
  <mergeCells count="1">
    <mergeCell ref="B5:G5"/>
  </mergeCells>
  <hyperlinks>
    <hyperlink ref="F1" location="Index_Data!A1" tooltip="Hi click here To return Index page" display="Index_Data!A1" xr:uid="{04BD5E84-E705-4395-9472-8194C228E654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3F346-9709-4A71-AB26-4988EEA01C66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7" width="12.28515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193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867.53</v>
      </c>
      <c r="D6" s="13">
        <f>Income_Statement!D17</f>
        <v>854.18</v>
      </c>
      <c r="E6" s="13">
        <f>Income_Statement!E17</f>
        <v>621.72</v>
      </c>
      <c r="F6" s="13">
        <f>Income_Statement!F17</f>
        <v>682.43</v>
      </c>
      <c r="G6" s="13">
        <f>Income_Statement!G17</f>
        <v>612</v>
      </c>
    </row>
    <row r="7" spans="2:15" ht="18.75" x14ac:dyDescent="0.25">
      <c r="B7" s="12" t="str">
        <f>Balance_Sheet!B33</f>
        <v>Total Current Liabilities</v>
      </c>
      <c r="C7" s="13">
        <f>Balance_Sheet!C33</f>
        <v>2319.5100000000002</v>
      </c>
      <c r="D7" s="13">
        <f>Balance_Sheet!D33</f>
        <v>2342.2199999999998</v>
      </c>
      <c r="E7" s="13">
        <f>Balance_Sheet!E33</f>
        <v>2945.44</v>
      </c>
      <c r="F7" s="13">
        <f>Balance_Sheet!F33</f>
        <v>2415.0299999999997</v>
      </c>
      <c r="G7" s="13">
        <f>Balance_Sheet!G33</f>
        <v>2151</v>
      </c>
    </row>
    <row r="8" spans="2:15" ht="18.75" x14ac:dyDescent="0.25">
      <c r="B8" s="14" t="s">
        <v>194</v>
      </c>
      <c r="C8" s="14">
        <f>ROUND(365/C6*C7, 2)</f>
        <v>975.9</v>
      </c>
      <c r="D8" s="14">
        <f t="shared" ref="D8:G8" si="0">ROUND(365/D6*D7, 2)</f>
        <v>1000.85</v>
      </c>
      <c r="E8" s="14">
        <f t="shared" si="0"/>
        <v>1729.21</v>
      </c>
      <c r="F8" s="14">
        <f t="shared" si="0"/>
        <v>1291.69</v>
      </c>
      <c r="G8" s="14">
        <f t="shared" si="0"/>
        <v>1282.8699999999999</v>
      </c>
    </row>
  </sheetData>
  <mergeCells count="1">
    <mergeCell ref="B5:G5"/>
  </mergeCells>
  <hyperlinks>
    <hyperlink ref="F1" location="Index_Data!A1" tooltip="Hi click here To return Index page" display="Index_Data!A1" xr:uid="{3C375CEF-48E9-40F1-803E-097EBD340AA3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8C741-5F3F-4630-A2BF-A7C4994AC5CE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3920.17</v>
      </c>
      <c r="D6" s="13">
        <f>Income_Statement!D5</f>
        <v>4139.9399999999996</v>
      </c>
      <c r="E6" s="13">
        <f>Income_Statement!E5</f>
        <v>2833.03</v>
      </c>
      <c r="F6" s="13">
        <f>Income_Statement!F5</f>
        <v>2699.21</v>
      </c>
      <c r="G6" s="13">
        <f>Income_Statement!G5</f>
        <v>3230</v>
      </c>
    </row>
    <row r="7" spans="2:15" ht="18.75" x14ac:dyDescent="0.25">
      <c r="B7" s="12" t="str">
        <f>Balance_Sheet!B68</f>
        <v>Trade Receivables</v>
      </c>
      <c r="C7" s="13">
        <f>Balance_Sheet!C68</f>
        <v>962.45</v>
      </c>
      <c r="D7" s="13">
        <f>Balance_Sheet!D68</f>
        <v>1260.69</v>
      </c>
      <c r="E7" s="13">
        <f>Balance_Sheet!E68</f>
        <v>1242.69</v>
      </c>
      <c r="F7" s="13">
        <f>Balance_Sheet!F68</f>
        <v>917.65</v>
      </c>
      <c r="G7" s="13">
        <f>Balance_Sheet!G68</f>
        <v>918</v>
      </c>
    </row>
    <row r="8" spans="2:15" ht="18.75" x14ac:dyDescent="0.25">
      <c r="B8" s="14" t="s">
        <v>196</v>
      </c>
      <c r="C8" s="14">
        <f>ROUND(365/C6*C7, 2)</f>
        <v>89.61</v>
      </c>
      <c r="D8" s="14">
        <f t="shared" ref="D8:G8" si="0">ROUND(365/D6*D7, 2)</f>
        <v>111.15</v>
      </c>
      <c r="E8" s="14">
        <f t="shared" si="0"/>
        <v>160.1</v>
      </c>
      <c r="F8" s="14">
        <f t="shared" si="0"/>
        <v>124.09</v>
      </c>
      <c r="G8" s="14">
        <f t="shared" si="0"/>
        <v>103.74</v>
      </c>
    </row>
  </sheetData>
  <mergeCells count="1">
    <mergeCell ref="B5:G5"/>
  </mergeCells>
  <hyperlinks>
    <hyperlink ref="F1" location="Index_Data!A1" tooltip="Hi click here To return Index page" display="Index_Data!A1" xr:uid="{43C2D171-8D3E-4549-9EA1-FECC25DC9789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DF44E-8FBD-4853-87C9-E35C19144B9C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3920.17</v>
      </c>
      <c r="D6" s="13">
        <f>Income_Statement!D5</f>
        <v>4139.9399999999996</v>
      </c>
      <c r="E6" s="13">
        <f>Income_Statement!E5</f>
        <v>2833.03</v>
      </c>
      <c r="F6" s="13">
        <f>Income_Statement!F5</f>
        <v>2699.21</v>
      </c>
      <c r="G6" s="13">
        <f>Income_Statement!G5</f>
        <v>3230</v>
      </c>
    </row>
    <row r="7" spans="2:15" ht="18.75" x14ac:dyDescent="0.25">
      <c r="B7" s="12" t="str">
        <f>Balance_Sheet!B66</f>
        <v>Inventories</v>
      </c>
      <c r="C7" s="13">
        <f>Balance_Sheet!C66</f>
        <v>855.71</v>
      </c>
      <c r="D7" s="13">
        <f>Balance_Sheet!D66</f>
        <v>819.36</v>
      </c>
      <c r="E7" s="13">
        <f>Balance_Sheet!E66</f>
        <v>689.83</v>
      </c>
      <c r="F7" s="13">
        <f>Balance_Sheet!F66</f>
        <v>798.88</v>
      </c>
      <c r="G7" s="13">
        <f>Balance_Sheet!G66</f>
        <v>769</v>
      </c>
    </row>
    <row r="8" spans="2:15" ht="18.75" x14ac:dyDescent="0.25">
      <c r="B8" s="12" t="s">
        <v>192</v>
      </c>
      <c r="C8" s="13">
        <f>ROUND(365/C6*C7, 2)</f>
        <v>79.67</v>
      </c>
      <c r="D8" s="13">
        <f t="shared" ref="D8:G8" si="0">ROUND(365/D6*D7, 2)</f>
        <v>72.239999999999995</v>
      </c>
      <c r="E8" s="13">
        <f t="shared" si="0"/>
        <v>88.88</v>
      </c>
      <c r="F8" s="13">
        <f t="shared" si="0"/>
        <v>108.03</v>
      </c>
      <c r="G8" s="13">
        <f t="shared" si="0"/>
        <v>86.9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867.53</v>
      </c>
      <c r="D9" s="13">
        <f>Income_Statement!D17</f>
        <v>854.18</v>
      </c>
      <c r="E9" s="13">
        <f>Income_Statement!E17</f>
        <v>621.72</v>
      </c>
      <c r="F9" s="13">
        <f>Income_Statement!F17</f>
        <v>682.43</v>
      </c>
      <c r="G9" s="13">
        <f>Income_Statement!G17</f>
        <v>612</v>
      </c>
    </row>
    <row r="10" spans="2:15" ht="18.75" x14ac:dyDescent="0.25">
      <c r="B10" s="12" t="str">
        <f>Balance_Sheet!B33</f>
        <v>Total Current Liabilities</v>
      </c>
      <c r="C10" s="13">
        <f>Balance_Sheet!C33</f>
        <v>2319.5100000000002</v>
      </c>
      <c r="D10" s="13">
        <f>Balance_Sheet!D33</f>
        <v>2342.2199999999998</v>
      </c>
      <c r="E10" s="13">
        <f>Balance_Sheet!E33</f>
        <v>2945.44</v>
      </c>
      <c r="F10" s="13">
        <f>Balance_Sheet!F33</f>
        <v>2415.0299999999997</v>
      </c>
      <c r="G10" s="13">
        <f>Balance_Sheet!G33</f>
        <v>2151</v>
      </c>
    </row>
    <row r="11" spans="2:15" ht="18.75" x14ac:dyDescent="0.25">
      <c r="B11" s="12" t="s">
        <v>194</v>
      </c>
      <c r="C11" s="13">
        <f>ROUND(365/C9*C10, 2)</f>
        <v>975.9</v>
      </c>
      <c r="D11" s="13">
        <f t="shared" ref="D11:G11" si="1">ROUND(365/D9*D10, 2)</f>
        <v>1000.85</v>
      </c>
      <c r="E11" s="13">
        <f t="shared" si="1"/>
        <v>1729.21</v>
      </c>
      <c r="F11" s="13">
        <f t="shared" si="1"/>
        <v>1291.69</v>
      </c>
      <c r="G11" s="13">
        <f t="shared" si="1"/>
        <v>1282.8699999999999</v>
      </c>
    </row>
    <row r="12" spans="2:15" ht="18.75" x14ac:dyDescent="0.25">
      <c r="B12" s="14" t="s">
        <v>198</v>
      </c>
      <c r="C12" s="16">
        <f>ROUND(C11+C8, 2)</f>
        <v>1055.57</v>
      </c>
      <c r="D12" s="16">
        <f t="shared" ref="D12:G12" si="2">ROUND(D11+D8, 2)</f>
        <v>1073.0899999999999</v>
      </c>
      <c r="E12" s="16">
        <f t="shared" si="2"/>
        <v>1818.09</v>
      </c>
      <c r="F12" s="16">
        <f t="shared" si="2"/>
        <v>1399.72</v>
      </c>
      <c r="G12" s="16">
        <f t="shared" si="2"/>
        <v>1369.77</v>
      </c>
    </row>
  </sheetData>
  <mergeCells count="1">
    <mergeCell ref="B5:G5"/>
  </mergeCells>
  <hyperlinks>
    <hyperlink ref="F1" location="Index_Data!A1" tooltip="Hi click here To return Index page" display="Index_Data!A1" xr:uid="{A36B7D81-F34E-4348-819A-3DD040D7AF1D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C02CD-5C94-4145-A8F2-BBB93C681319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199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3920.17</v>
      </c>
      <c r="D6" s="13">
        <f>Income_Statement!D5</f>
        <v>4139.9399999999996</v>
      </c>
      <c r="E6" s="13">
        <f>Income_Statement!E5</f>
        <v>2833.03</v>
      </c>
      <c r="F6" s="13">
        <f>Income_Statement!F5</f>
        <v>2699.21</v>
      </c>
      <c r="G6" s="13">
        <f>Income_Statement!G5</f>
        <v>3230</v>
      </c>
    </row>
    <row r="7" spans="2:15" ht="18.75" x14ac:dyDescent="0.25">
      <c r="B7" s="12" t="str">
        <f>Balance_Sheet!B66</f>
        <v>Inventories</v>
      </c>
      <c r="C7" s="13">
        <f>Balance_Sheet!C66</f>
        <v>855.71</v>
      </c>
      <c r="D7" s="13">
        <f>Balance_Sheet!D66</f>
        <v>819.36</v>
      </c>
      <c r="E7" s="13">
        <f>Balance_Sheet!E66</f>
        <v>689.83</v>
      </c>
      <c r="F7" s="13">
        <f>Balance_Sheet!F66</f>
        <v>798.88</v>
      </c>
      <c r="G7" s="13">
        <f>Balance_Sheet!G66</f>
        <v>769</v>
      </c>
    </row>
    <row r="8" spans="2:15" ht="18.75" x14ac:dyDescent="0.25">
      <c r="B8" s="12" t="s">
        <v>192</v>
      </c>
      <c r="C8" s="13">
        <f>ROUND(365/C6*C7, 2)</f>
        <v>79.67</v>
      </c>
      <c r="D8" s="13">
        <f t="shared" ref="D8:G8" si="0">ROUND(365/D6*D7, 2)</f>
        <v>72.239999999999995</v>
      </c>
      <c r="E8" s="13">
        <f t="shared" si="0"/>
        <v>88.88</v>
      </c>
      <c r="F8" s="13">
        <f t="shared" si="0"/>
        <v>108.03</v>
      </c>
      <c r="G8" s="13">
        <f t="shared" si="0"/>
        <v>86.9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867.53</v>
      </c>
      <c r="D9" s="13">
        <f>Income_Statement!D17</f>
        <v>854.18</v>
      </c>
      <c r="E9" s="13">
        <f>Income_Statement!E17</f>
        <v>621.72</v>
      </c>
      <c r="F9" s="13">
        <f>Income_Statement!F17</f>
        <v>682.43</v>
      </c>
      <c r="G9" s="13">
        <f>Income_Statement!G17</f>
        <v>612</v>
      </c>
    </row>
    <row r="10" spans="2:15" ht="18.75" x14ac:dyDescent="0.25">
      <c r="B10" s="12" t="str">
        <f>Balance_Sheet!B33</f>
        <v>Total Current Liabilities</v>
      </c>
      <c r="C10" s="13">
        <f>Balance_Sheet!C33</f>
        <v>2319.5100000000002</v>
      </c>
      <c r="D10" s="13">
        <f>Balance_Sheet!D33</f>
        <v>2342.2199999999998</v>
      </c>
      <c r="E10" s="13">
        <f>Balance_Sheet!E33</f>
        <v>2945.44</v>
      </c>
      <c r="F10" s="13">
        <f>Balance_Sheet!F33</f>
        <v>2415.0299999999997</v>
      </c>
      <c r="G10" s="13">
        <f>Balance_Sheet!G33</f>
        <v>2151</v>
      </c>
    </row>
    <row r="11" spans="2:15" ht="18.75" x14ac:dyDescent="0.25">
      <c r="B11" s="12" t="s">
        <v>194</v>
      </c>
      <c r="C11" s="13">
        <f>ROUND(365/C9*C10, 2)</f>
        <v>975.9</v>
      </c>
      <c r="D11" s="13">
        <f t="shared" ref="D11:G11" si="1">ROUND(365/D9*D10, 2)</f>
        <v>1000.85</v>
      </c>
      <c r="E11" s="13">
        <f t="shared" si="1"/>
        <v>1729.21</v>
      </c>
      <c r="F11" s="13">
        <f t="shared" si="1"/>
        <v>1291.69</v>
      </c>
      <c r="G11" s="13">
        <f t="shared" si="1"/>
        <v>1282.8699999999999</v>
      </c>
    </row>
    <row r="12" spans="2:15" ht="18.75" x14ac:dyDescent="0.25">
      <c r="B12" s="12" t="s">
        <v>200</v>
      </c>
      <c r="C12" s="13">
        <f>ROUND(C11+C8, 2)</f>
        <v>1055.57</v>
      </c>
      <c r="D12" s="13">
        <f t="shared" ref="D12:G12" si="2">ROUND(D11+D8, 2)</f>
        <v>1073.0899999999999</v>
      </c>
      <c r="E12" s="13">
        <f t="shared" si="2"/>
        <v>1818.09</v>
      </c>
      <c r="F12" s="13">
        <f t="shared" si="2"/>
        <v>1399.72</v>
      </c>
      <c r="G12" s="13">
        <f t="shared" si="2"/>
        <v>1369.77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867.53</v>
      </c>
      <c r="D13" s="13">
        <f>Income_Statement!D17</f>
        <v>854.18</v>
      </c>
      <c r="E13" s="13">
        <f>Income_Statement!E17</f>
        <v>621.72</v>
      </c>
      <c r="F13" s="13">
        <f>Income_Statement!F17</f>
        <v>682.43</v>
      </c>
      <c r="G13" s="13">
        <f>Income_Statement!G17</f>
        <v>612</v>
      </c>
    </row>
    <row r="14" spans="2:15" ht="18.75" x14ac:dyDescent="0.25">
      <c r="B14" s="12" t="str">
        <f>Balance_Sheet!B33</f>
        <v>Total Current Liabilities</v>
      </c>
      <c r="C14" s="13">
        <f>Balance_Sheet!C33</f>
        <v>2319.5100000000002</v>
      </c>
      <c r="D14" s="13">
        <f>Balance_Sheet!D33</f>
        <v>2342.2199999999998</v>
      </c>
      <c r="E14" s="13">
        <f>Balance_Sheet!E33</f>
        <v>2945.44</v>
      </c>
      <c r="F14" s="13">
        <f>Balance_Sheet!F33</f>
        <v>2415.0299999999997</v>
      </c>
      <c r="G14" s="13">
        <f>Balance_Sheet!G33</f>
        <v>2151</v>
      </c>
    </row>
    <row r="15" spans="2:15" ht="18.75" x14ac:dyDescent="0.25">
      <c r="B15" s="12" t="s">
        <v>194</v>
      </c>
      <c r="C15" s="13">
        <f>ROUND(365/C13*C14, 2)</f>
        <v>975.9</v>
      </c>
      <c r="D15" s="13">
        <f t="shared" ref="D15:G15" si="3">ROUND(365/D13*D14, 2)</f>
        <v>1000.85</v>
      </c>
      <c r="E15" s="13">
        <f t="shared" si="3"/>
        <v>1729.21</v>
      </c>
      <c r="F15" s="13">
        <f t="shared" si="3"/>
        <v>1291.69</v>
      </c>
      <c r="G15" s="13">
        <f t="shared" si="3"/>
        <v>1282.8699999999999</v>
      </c>
    </row>
    <row r="16" spans="2:15" ht="18.75" x14ac:dyDescent="0.25">
      <c r="B16" s="14" t="s">
        <v>201</v>
      </c>
      <c r="C16" s="16">
        <f>ROUND(C15-C12, 2)</f>
        <v>-79.67</v>
      </c>
      <c r="D16" s="16">
        <f t="shared" ref="D16:G16" si="4">ROUND(D15-D12, 2)</f>
        <v>-72.239999999999995</v>
      </c>
      <c r="E16" s="16">
        <f t="shared" si="4"/>
        <v>-88.88</v>
      </c>
      <c r="F16" s="16">
        <f t="shared" si="4"/>
        <v>-108.03</v>
      </c>
      <c r="G16" s="16">
        <f t="shared" si="4"/>
        <v>-86.9</v>
      </c>
    </row>
  </sheetData>
  <mergeCells count="1">
    <mergeCell ref="B5:G5"/>
  </mergeCells>
  <hyperlinks>
    <hyperlink ref="F1" location="Index_Data!A1" tooltip="Hi click here To return Index page" display="Index_Data!A1" xr:uid="{93445722-EA62-4EEF-9247-723585F610BC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55188-6EEF-4521-8FCC-6B4C2229901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5" width="11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2852.15</v>
      </c>
      <c r="D5" s="13">
        <f>Balance_Sheet!D13</f>
        <v>3578.5250773682715</v>
      </c>
      <c r="E5" s="13">
        <f>Balance_Sheet!E13</f>
        <v>4012.388776481941</v>
      </c>
      <c r="F5" s="13">
        <f>Balance_Sheet!F13</f>
        <v>5631.0177797088118</v>
      </c>
      <c r="G5" s="13">
        <f>Balance_Sheet!G13</f>
        <v>6024.6339716592756</v>
      </c>
    </row>
    <row r="6" spans="2:15" ht="18.75" x14ac:dyDescent="0.25">
      <c r="B6" s="12" t="str">
        <f>Balance_Sheet!B37</f>
        <v>Total Liabilities</v>
      </c>
      <c r="C6" s="13">
        <f>Balance_Sheet!C37</f>
        <v>8162.0400000000009</v>
      </c>
      <c r="D6" s="13">
        <f>Balance_Sheet!D37</f>
        <v>8500.8750773682714</v>
      </c>
      <c r="E6" s="13">
        <f>Balance_Sheet!E37</f>
        <v>9519.6287764819426</v>
      </c>
      <c r="F6" s="13">
        <f>Balance_Sheet!F37</f>
        <v>10026.947779708811</v>
      </c>
      <c r="G6" s="13">
        <f>Balance_Sheet!G37</f>
        <v>10418.633971659276</v>
      </c>
    </row>
  </sheetData>
  <hyperlinks>
    <hyperlink ref="F1" location="Index_Data!A1" tooltip="Hi click here To return Index page" display="Index_Data!A1" xr:uid="{7E4BD11A-0F56-4EE2-990B-EBB6430A04C2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02A98-23BE-46C8-95E4-F6D6FDDC6543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4" width="11.5703125" bestFit="1" customWidth="1"/>
    <col min="5" max="7" width="10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1036.3606695883091</v>
      </c>
      <c r="D5" s="13">
        <f>Income_Statement!D29</f>
        <v>1073.6250773682714</v>
      </c>
      <c r="E5" s="13">
        <f>Income_Statement!E29</f>
        <v>729.62369911366977</v>
      </c>
      <c r="F5" s="13">
        <f>Income_Statement!F29</f>
        <v>514.25900322686994</v>
      </c>
      <c r="G5" s="13">
        <f>Income_Statement!G29</f>
        <v>974.0061919504642</v>
      </c>
    </row>
    <row r="6" spans="2:15" ht="18.75" x14ac:dyDescent="0.25">
      <c r="B6" s="12" t="str">
        <f>Income_Statement!B33</f>
        <v>PBIT</v>
      </c>
      <c r="C6" s="13">
        <f>Income_Statement!C33</f>
        <v>886.83066958830909</v>
      </c>
      <c r="D6" s="13">
        <f>Income_Statement!D33</f>
        <v>907.58507736827141</v>
      </c>
      <c r="E6" s="13">
        <f>Income_Statement!E33</f>
        <v>505.48369911366979</v>
      </c>
      <c r="F6" s="13">
        <f>Income_Statement!F33</f>
        <v>268.23900322686995</v>
      </c>
      <c r="G6" s="13">
        <f>Income_Statement!G33</f>
        <v>727.0061919504642</v>
      </c>
    </row>
  </sheetData>
  <hyperlinks>
    <hyperlink ref="F1" location="Index_Data!A1" tooltip="Hi click here To return Index page" display="Index_Data!A1" xr:uid="{0B88BBBB-AF8E-48E9-AA88-12866F40B099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61D93-D334-44EA-8139-A0CFD211F41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3627.8100000000004</v>
      </c>
      <c r="D5" s="13">
        <f>Balance_Sheet!D72</f>
        <v>5529.3750773682714</v>
      </c>
      <c r="E5" s="13">
        <f>Balance_Sheet!E72</f>
        <v>6445.7987764819409</v>
      </c>
      <c r="F5" s="13">
        <f>Balance_Sheet!F72</f>
        <v>7620.7977797088115</v>
      </c>
      <c r="G5" s="13">
        <f>Balance_Sheet!G72</f>
        <v>7388.8339716592754</v>
      </c>
    </row>
    <row r="6" spans="2:15" ht="18.75" x14ac:dyDescent="0.25">
      <c r="B6" s="12" t="str">
        <f>Balance_Sheet!B33</f>
        <v>Total Current Liabilities</v>
      </c>
      <c r="C6" s="13">
        <f>Balance_Sheet!C33</f>
        <v>2319.5100000000002</v>
      </c>
      <c r="D6" s="13">
        <f>Balance_Sheet!D33</f>
        <v>2342.2199999999998</v>
      </c>
      <c r="E6" s="13">
        <f>Balance_Sheet!E33</f>
        <v>2945.44</v>
      </c>
      <c r="F6" s="13">
        <f>Balance_Sheet!F33</f>
        <v>2415.0299999999997</v>
      </c>
      <c r="G6" s="13">
        <f>Balance_Sheet!G33</f>
        <v>2151</v>
      </c>
    </row>
  </sheetData>
  <hyperlinks>
    <hyperlink ref="F1" location="Index_Data!A1" tooltip="Hi click here To return Index page" display="Index_Data!A1" xr:uid="{AAA8D55D-A397-4B44-92BF-C9E313452C96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06B16-0AD3-4D91-84D3-97F8B82B5998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4" width="8.42578125" bestFit="1" customWidth="1"/>
    <col min="5" max="5" width="10" bestFit="1" customWidth="1"/>
    <col min="6" max="7" width="8.42578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64.89</v>
      </c>
      <c r="D5" s="13">
        <f>Balance_Sheet!D23</f>
        <v>53.48</v>
      </c>
      <c r="E5" s="13">
        <f>Balance_Sheet!E23</f>
        <v>45.6</v>
      </c>
      <c r="F5" s="13">
        <f>Balance_Sheet!F23</f>
        <v>84.37</v>
      </c>
      <c r="G5" s="13">
        <f>Balance_Sheet!G23</f>
        <v>32</v>
      </c>
    </row>
    <row r="6" spans="2:15" ht="18.75" x14ac:dyDescent="0.25">
      <c r="B6" s="12" t="str">
        <f>Balance_Sheet!B25</f>
        <v>Short Term Provisions</v>
      </c>
      <c r="C6" s="13">
        <f>Balance_Sheet!C25</f>
        <v>44.58</v>
      </c>
      <c r="D6" s="13">
        <f>Balance_Sheet!D25</f>
        <v>41.93</v>
      </c>
      <c r="E6" s="13">
        <f>Balance_Sheet!E25</f>
        <v>117.28</v>
      </c>
      <c r="F6" s="13">
        <f>Balance_Sheet!F25</f>
        <v>59.79</v>
      </c>
      <c r="G6" s="13">
        <f>Balance_Sheet!G25</f>
        <v>37</v>
      </c>
    </row>
  </sheetData>
  <hyperlinks>
    <hyperlink ref="F1" location="Index_Data!A1" tooltip="Hi click here To return Index page" display="Index_Data!A1" xr:uid="{A45F1ECC-D3CC-4E05-B016-6B6EE3579943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A81C7-F3DC-46A7-8404-3EE22CEB12B1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10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867.53</v>
      </c>
      <c r="D5" s="13">
        <f>Income_Statement!D17</f>
        <v>854.18</v>
      </c>
      <c r="E5" s="13">
        <f>Income_Statement!E17</f>
        <v>621.72</v>
      </c>
      <c r="F5" s="13">
        <f>Income_Statement!F17</f>
        <v>682.43</v>
      </c>
      <c r="G5" s="13">
        <f>Income_Statement!G17</f>
        <v>612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0</v>
      </c>
      <c r="D6" s="13">
        <f>Income_Statement!D19</f>
        <v>0</v>
      </c>
      <c r="E6" s="13">
        <f>Income_Statement!E19</f>
        <v>0</v>
      </c>
      <c r="F6" s="13">
        <f>Income_Statement!F19</f>
        <v>0</v>
      </c>
      <c r="G6" s="13">
        <f>Income_Statement!G19</f>
        <v>0</v>
      </c>
    </row>
  </sheetData>
  <hyperlinks>
    <hyperlink ref="F1" location="Index_Data!A1" tooltip="Hi click here To return Index page" display="Index_Data!A1" xr:uid="{01665A36-5F05-44A9-BEA8-8CDA7D6C19B7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0BC7F-4E26-4F69-8BE0-FB17FB4295E9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5" width="19.85546875" bestFit="1" customWidth="1"/>
    <col min="6" max="6" width="18.85546875" bestFit="1" customWidth="1"/>
    <col min="7" max="7" width="18.28515625" bestFit="1" customWidth="1"/>
    <col min="8" max="12" width="20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3920.17</v>
      </c>
      <c r="D5" s="5">
        <v>4139.9399999999996</v>
      </c>
      <c r="E5" s="5">
        <v>2833.03</v>
      </c>
      <c r="F5" s="5">
        <v>2699.21</v>
      </c>
      <c r="G5" s="5">
        <v>3230</v>
      </c>
      <c r="H5" s="28">
        <f>GROWTH(C5:G5,C4:G4,H4)</f>
        <v>2596.6249433682588</v>
      </c>
      <c r="I5" s="28">
        <f t="shared" ref="I5:L5" si="0">GROWTH(D5:H5,D4:H4,I4)</f>
        <v>2400.7848376170341</v>
      </c>
      <c r="J5" s="28">
        <f t="shared" si="0"/>
        <v>2450.7757344919773</v>
      </c>
      <c r="K5" s="28">
        <f t="shared" si="0"/>
        <v>2296.6054978002585</v>
      </c>
      <c r="L5" s="28">
        <f t="shared" si="0"/>
        <v>2062.8593717377348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24">
        <f>H5*H8</f>
        <v>0</v>
      </c>
      <c r="I7" s="24">
        <f t="shared" ref="I7:L7" si="1">I5*I8</f>
        <v>0</v>
      </c>
      <c r="J7" s="24">
        <f t="shared" si="1"/>
        <v>0</v>
      </c>
      <c r="K7" s="24">
        <f t="shared" si="1"/>
        <v>0</v>
      </c>
      <c r="L7" s="24">
        <f t="shared" si="1"/>
        <v>0</v>
      </c>
    </row>
    <row r="8" spans="2:15" x14ac:dyDescent="0.25">
      <c r="B8" s="17" t="s">
        <v>239</v>
      </c>
      <c r="C8" s="18">
        <f>C7/Income_Statement!C5</f>
        <v>0</v>
      </c>
      <c r="D8" s="18">
        <f>D7/Income_Statement!D5</f>
        <v>0</v>
      </c>
      <c r="E8" s="18">
        <f>E7/Income_Statement!E5</f>
        <v>0</v>
      </c>
      <c r="F8" s="18">
        <f>F7/Income_Statement!F5</f>
        <v>0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3920.17</v>
      </c>
      <c r="D9" s="7">
        <f t="shared" ref="D9:L9" si="3">D5 - D7</f>
        <v>4139.9399999999996</v>
      </c>
      <c r="E9" s="7">
        <f t="shared" si="3"/>
        <v>2833.03</v>
      </c>
      <c r="F9" s="7">
        <f t="shared" si="3"/>
        <v>2699.21</v>
      </c>
      <c r="G9" s="7">
        <f t="shared" si="3"/>
        <v>3230</v>
      </c>
      <c r="H9" s="29">
        <f t="shared" si="3"/>
        <v>2596.6249433682588</v>
      </c>
      <c r="I9" s="29">
        <f t="shared" si="3"/>
        <v>2400.7848376170341</v>
      </c>
      <c r="J9" s="29">
        <f t="shared" si="3"/>
        <v>2450.7757344919773</v>
      </c>
      <c r="K9" s="29">
        <f t="shared" si="3"/>
        <v>2296.6054978002585</v>
      </c>
      <c r="L9" s="29">
        <f t="shared" si="3"/>
        <v>2062.8593717377348</v>
      </c>
    </row>
    <row r="10" spans="2:15" x14ac:dyDescent="0.25">
      <c r="B10" s="19" t="s">
        <v>240</v>
      </c>
      <c r="C10" s="21">
        <f>C9/Income_Statement!C5</f>
        <v>1</v>
      </c>
      <c r="D10" s="21">
        <f>D9/Income_Statement!D5</f>
        <v>1</v>
      </c>
      <c r="E10" s="21">
        <f>E9/Income_Statement!E5</f>
        <v>1</v>
      </c>
      <c r="F10" s="21">
        <f>F9/Income_Statement!F5</f>
        <v>1</v>
      </c>
      <c r="G10" s="21">
        <f>G9/Income_Statement!G5</f>
        <v>1</v>
      </c>
      <c r="H10" s="30">
        <f>H9/Income_Statement!H5</f>
        <v>1</v>
      </c>
      <c r="I10" s="30">
        <f>I9/Income_Statement!I5</f>
        <v>1</v>
      </c>
      <c r="J10" s="30">
        <f>J9/Income_Statement!J5</f>
        <v>1</v>
      </c>
      <c r="K10" s="30">
        <f>K9/Income_Statement!K5</f>
        <v>1</v>
      </c>
      <c r="L10" s="30">
        <f>L9/Income_Statement!L5</f>
        <v>1</v>
      </c>
    </row>
    <row r="11" spans="2:15" ht="18.75" x14ac:dyDescent="0.25">
      <c r="B11" s="8" t="s">
        <v>59</v>
      </c>
      <c r="C11" s="4">
        <v>120.23</v>
      </c>
      <c r="D11" s="4">
        <v>21.02</v>
      </c>
      <c r="E11" s="4">
        <v>38.81</v>
      </c>
      <c r="F11" s="4">
        <v>132.27000000000001</v>
      </c>
      <c r="G11" s="4">
        <v>20</v>
      </c>
      <c r="H11" s="24">
        <f>H5*H12</f>
        <v>35.571460257082386</v>
      </c>
      <c r="I11" s="24">
        <f t="shared" ref="I11:L11" si="4">I5*I12</f>
        <v>32.888624387287493</v>
      </c>
      <c r="J11" s="24">
        <f t="shared" si="4"/>
        <v>33.573455366033414</v>
      </c>
      <c r="K11" s="24">
        <f t="shared" si="4"/>
        <v>31.461459769091054</v>
      </c>
      <c r="L11" s="24">
        <f t="shared" si="4"/>
        <v>28.259345018281305</v>
      </c>
    </row>
    <row r="12" spans="2:15" x14ac:dyDescent="0.25">
      <c r="B12" s="17" t="s">
        <v>241</v>
      </c>
      <c r="C12" s="18">
        <f>C11/Income_Statement!C5</f>
        <v>3.0669588308670288E-2</v>
      </c>
      <c r="D12" s="18">
        <f>D11/Income_Statement!D5</f>
        <v>5.0773682710377448E-3</v>
      </c>
      <c r="E12" s="18">
        <f>E11/Income_Statement!E5</f>
        <v>1.3699113669816415E-2</v>
      </c>
      <c r="F12" s="18">
        <f>F11/Income_Statement!F5</f>
        <v>4.900322687008421E-2</v>
      </c>
      <c r="G12" s="18">
        <f>G11/Income_Statement!G5</f>
        <v>6.1919504643962852E-3</v>
      </c>
      <c r="H12" s="25">
        <f>MEDIAN(C12:G12)</f>
        <v>1.3699113669816415E-2</v>
      </c>
      <c r="I12" s="25">
        <f t="shared" ref="I12:L12" si="5">H12</f>
        <v>1.3699113669816415E-2</v>
      </c>
      <c r="J12" s="25">
        <f t="shared" si="5"/>
        <v>1.3699113669816415E-2</v>
      </c>
      <c r="K12" s="25">
        <f t="shared" si="5"/>
        <v>1.3699113669816415E-2</v>
      </c>
      <c r="L12" s="25">
        <f t="shared" si="5"/>
        <v>1.3699113669816415E-2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4">
        <f>H5*H14</f>
        <v>0</v>
      </c>
      <c r="I13" s="24">
        <f t="shared" ref="I13:L13" si="6">I5*I14</f>
        <v>0</v>
      </c>
      <c r="J13" s="24">
        <f t="shared" si="6"/>
        <v>0</v>
      </c>
      <c r="K13" s="24">
        <f t="shared" si="6"/>
        <v>0</v>
      </c>
      <c r="L13" s="24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4041.4306695883088</v>
      </c>
      <c r="D15" s="7">
        <f t="shared" ref="D15:L15" si="8">SUM(D9:D13)</f>
        <v>4161.9650773682715</v>
      </c>
      <c r="E15" s="7">
        <f t="shared" si="8"/>
        <v>2872.8536991136698</v>
      </c>
      <c r="F15" s="7">
        <f t="shared" si="8"/>
        <v>2832.5290032268699</v>
      </c>
      <c r="G15" s="7">
        <f t="shared" si="8"/>
        <v>3251.0061919504642</v>
      </c>
      <c r="H15" s="29">
        <f t="shared" si="8"/>
        <v>2633.2101027390108</v>
      </c>
      <c r="I15" s="29">
        <f t="shared" si="8"/>
        <v>2434.6871611179913</v>
      </c>
      <c r="J15" s="29">
        <f t="shared" si="8"/>
        <v>2485.3628889716806</v>
      </c>
      <c r="K15" s="29">
        <f t="shared" si="8"/>
        <v>2329.0806566830192</v>
      </c>
      <c r="L15" s="29">
        <f t="shared" si="8"/>
        <v>2092.1324158696857</v>
      </c>
    </row>
    <row r="16" spans="2:15" x14ac:dyDescent="0.25">
      <c r="B16" s="19" t="s">
        <v>243</v>
      </c>
      <c r="C16" s="21">
        <f>C15/Income_Statement!C5</f>
        <v>1.0309325028221503</v>
      </c>
      <c r="D16" s="21">
        <f>D15/Income_Statement!D5</f>
        <v>1.0053201441007049</v>
      </c>
      <c r="E16" s="21">
        <f>E15/Income_Statement!E5</f>
        <v>1.0140569281347778</v>
      </c>
      <c r="F16" s="21">
        <f>F15/Income_Statement!F5</f>
        <v>1.049391860295001</v>
      </c>
      <c r="G16" s="21">
        <f>G15/Income_Statement!G5</f>
        <v>1.0065034650001436</v>
      </c>
      <c r="H16" s="30">
        <f>H15/Income_Statement!H5</f>
        <v>1.0140895047104088</v>
      </c>
      <c r="I16" s="30">
        <f>I15/Income_Statement!I5</f>
        <v>1.0141213502225415</v>
      </c>
      <c r="J16" s="30">
        <f>J15/Income_Statement!J5</f>
        <v>1.0141127374459145</v>
      </c>
      <c r="K16" s="30">
        <f>K15/Income_Statement!K5</f>
        <v>1.0141405038496452</v>
      </c>
      <c r="L16" s="30">
        <f>L15/Income_Statement!L5</f>
        <v>1.0141905185263751</v>
      </c>
    </row>
    <row r="17" spans="2:12" ht="18.75" x14ac:dyDescent="0.25">
      <c r="B17" s="8" t="s">
        <v>62</v>
      </c>
      <c r="C17" s="4">
        <v>867.53</v>
      </c>
      <c r="D17" s="4">
        <v>854.18</v>
      </c>
      <c r="E17" s="4">
        <v>621.72</v>
      </c>
      <c r="F17" s="4">
        <v>682.43</v>
      </c>
      <c r="G17" s="4">
        <v>612</v>
      </c>
      <c r="H17" s="24">
        <f>H5*H18</f>
        <v>491.99209453293327</v>
      </c>
      <c r="I17" s="24">
        <f t="shared" ref="I17:L17" si="9">I5*I18</f>
        <v>454.88554818006963</v>
      </c>
      <c r="J17" s="24">
        <f t="shared" si="9"/>
        <v>464.35750758795359</v>
      </c>
      <c r="K17" s="24">
        <f t="shared" si="9"/>
        <v>435.14630484636479</v>
      </c>
      <c r="L17" s="24">
        <f t="shared" si="9"/>
        <v>390.85756517136031</v>
      </c>
    </row>
    <row r="18" spans="2:12" x14ac:dyDescent="0.25">
      <c r="B18" s="17" t="s">
        <v>244</v>
      </c>
      <c r="C18" s="18">
        <f>C17/Income_Statement!C5</f>
        <v>0.22129907631556794</v>
      </c>
      <c r="D18" s="18">
        <f>D17/Income_Statement!D5</f>
        <v>0.20632666173905903</v>
      </c>
      <c r="E18" s="18">
        <f>E17/Income_Statement!E5</f>
        <v>0.21945408273121003</v>
      </c>
      <c r="F18" s="18">
        <f>F17/Income_Statement!F5</f>
        <v>0.2528258268159943</v>
      </c>
      <c r="G18" s="18">
        <f>G17/Income_Statement!G5</f>
        <v>0.18947368421052632</v>
      </c>
      <c r="H18" s="25">
        <f>G18</f>
        <v>0.18947368421052632</v>
      </c>
      <c r="I18" s="25">
        <f t="shared" ref="I18:L18" si="10">H18</f>
        <v>0.18947368421052632</v>
      </c>
      <c r="J18" s="25">
        <f t="shared" si="10"/>
        <v>0.18947368421052632</v>
      </c>
      <c r="K18" s="25">
        <f t="shared" si="10"/>
        <v>0.18947368421052632</v>
      </c>
      <c r="L18" s="25">
        <f t="shared" si="10"/>
        <v>0.18947368421052632</v>
      </c>
    </row>
    <row r="19" spans="2:12" ht="18.75" x14ac:dyDescent="0.25">
      <c r="B19" s="8" t="s">
        <v>64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24">
        <f>H5*H20</f>
        <v>0</v>
      </c>
      <c r="I19" s="24">
        <f t="shared" ref="I19:L19" si="11">I5*I20</f>
        <v>0</v>
      </c>
      <c r="J19" s="24">
        <f t="shared" si="11"/>
        <v>0</v>
      </c>
      <c r="K19" s="24">
        <f t="shared" si="11"/>
        <v>0</v>
      </c>
      <c r="L19" s="24">
        <f t="shared" si="11"/>
        <v>0</v>
      </c>
    </row>
    <row r="20" spans="2:12" x14ac:dyDescent="0.25">
      <c r="B20" s="17" t="s">
        <v>245</v>
      </c>
      <c r="C20" s="18">
        <f>C19/Income_Statement!C5</f>
        <v>0</v>
      </c>
      <c r="D20" s="18">
        <f>D19/Income_Statement!D5</f>
        <v>0</v>
      </c>
      <c r="E20" s="18">
        <f>E19/Income_Statement!E5</f>
        <v>0</v>
      </c>
      <c r="F20" s="18">
        <f>F19/Income_Statement!F5</f>
        <v>0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4">
        <v>937.06</v>
      </c>
      <c r="D21" s="4">
        <v>936.9</v>
      </c>
      <c r="E21" s="4">
        <v>743.33</v>
      </c>
      <c r="F21" s="4">
        <v>762.95</v>
      </c>
      <c r="G21" s="4">
        <v>749</v>
      </c>
      <c r="H21" s="24">
        <f>H5*H22</f>
        <v>602.12757974700492</v>
      </c>
      <c r="I21" s="24">
        <f t="shared" ref="I21:L21" si="13">I5*I22</f>
        <v>556.7145025929284</v>
      </c>
      <c r="J21" s="24">
        <f t="shared" si="13"/>
        <v>568.30681892708708</v>
      </c>
      <c r="K21" s="24">
        <f t="shared" si="13"/>
        <v>532.55650707504446</v>
      </c>
      <c r="L21" s="24">
        <f t="shared" si="13"/>
        <v>478.3534580283478</v>
      </c>
    </row>
    <row r="22" spans="2:12" x14ac:dyDescent="0.25">
      <c r="B22" s="17" t="s">
        <v>246</v>
      </c>
      <c r="C22" s="18">
        <f>C21/Income_Statement!C5</f>
        <v>0.23903555202963134</v>
      </c>
      <c r="D22" s="18">
        <f>D21/Income_Statement!D5</f>
        <v>0.2263076276467775</v>
      </c>
      <c r="E22" s="18">
        <f>E21/Income_Statement!E5</f>
        <v>0.26237985478445341</v>
      </c>
      <c r="F22" s="18">
        <f>F21/Income_Statement!F5</f>
        <v>0.2826567773533738</v>
      </c>
      <c r="G22" s="18">
        <f>G21/Income_Statement!G5</f>
        <v>0.23188854489164087</v>
      </c>
      <c r="H22" s="25">
        <f>G22</f>
        <v>0.23188854489164087</v>
      </c>
      <c r="I22" s="25">
        <f t="shared" ref="I22:L22" si="14">H22</f>
        <v>0.23188854489164087</v>
      </c>
      <c r="J22" s="25">
        <f t="shared" si="14"/>
        <v>0.23188854489164087</v>
      </c>
      <c r="K22" s="25">
        <f t="shared" si="14"/>
        <v>0.23188854489164087</v>
      </c>
      <c r="L22" s="25">
        <f t="shared" si="14"/>
        <v>0.23188854489164087</v>
      </c>
    </row>
    <row r="23" spans="2:12" ht="18.75" x14ac:dyDescent="0.25">
      <c r="B23" s="8" t="s">
        <v>69</v>
      </c>
      <c r="C23" s="4">
        <v>1200.48</v>
      </c>
      <c r="D23" s="4">
        <v>1297.26</v>
      </c>
      <c r="E23" s="4">
        <v>778.18</v>
      </c>
      <c r="F23" s="5">
        <v>872.89</v>
      </c>
      <c r="G23" s="5">
        <v>916</v>
      </c>
      <c r="H23" s="28">
        <f>H5*H24</f>
        <v>779.63336814600427</v>
      </c>
      <c r="I23" s="28">
        <f t="shared" ref="I23:L23" si="15">I5*I24</f>
        <v>720.83262310392638</v>
      </c>
      <c r="J23" s="28">
        <f t="shared" si="15"/>
        <v>735.84232691455645</v>
      </c>
      <c r="K23" s="28">
        <f t="shared" si="15"/>
        <v>689.55290756394481</v>
      </c>
      <c r="L23" s="28">
        <f t="shared" si="15"/>
        <v>619.37092767553827</v>
      </c>
    </row>
    <row r="24" spans="2:12" x14ac:dyDescent="0.25">
      <c r="B24" s="17" t="s">
        <v>247</v>
      </c>
      <c r="C24" s="18">
        <f>C23/Income_Statement!C5</f>
        <v>0.30623161750638367</v>
      </c>
      <c r="D24" s="18">
        <f>D23/Income_Statement!D5</f>
        <v>0.3133523674256149</v>
      </c>
      <c r="E24" s="18">
        <f>E23/Income_Statement!E5</f>
        <v>0.27468117174897544</v>
      </c>
      <c r="F24" s="18">
        <f>F23/Income_Statement!F5</f>
        <v>0.3233872132957421</v>
      </c>
      <c r="G24" s="18">
        <f>G23/Income_Statement!G5</f>
        <v>0.28359133126934982</v>
      </c>
      <c r="H24" s="25">
        <f>AVERAGE(C24:G24)</f>
        <v>0.30024874024921322</v>
      </c>
      <c r="I24" s="25">
        <f t="shared" ref="I24:L24" si="16">H24</f>
        <v>0.30024874024921322</v>
      </c>
      <c r="J24" s="25">
        <f t="shared" si="16"/>
        <v>0.30024874024921322</v>
      </c>
      <c r="K24" s="25">
        <f t="shared" si="16"/>
        <v>0.30024874024921322</v>
      </c>
      <c r="L24" s="25">
        <f t="shared" si="16"/>
        <v>0.30024874024921322</v>
      </c>
    </row>
    <row r="25" spans="2:12" ht="18.75" x14ac:dyDescent="0.25">
      <c r="B25" s="9" t="s">
        <v>108</v>
      </c>
      <c r="C25" s="6">
        <f>C17+C19+C21+C23</f>
        <v>3005.0699999999997</v>
      </c>
      <c r="D25" s="6">
        <f t="shared" ref="D25:L25" si="17">D17+D19+D21+D23</f>
        <v>3088.34</v>
      </c>
      <c r="E25" s="6">
        <f t="shared" si="17"/>
        <v>2143.23</v>
      </c>
      <c r="F25" s="6">
        <f t="shared" si="17"/>
        <v>2318.27</v>
      </c>
      <c r="G25" s="6">
        <f t="shared" si="17"/>
        <v>2277</v>
      </c>
      <c r="H25" s="26">
        <f t="shared" si="17"/>
        <v>1873.7530424259426</v>
      </c>
      <c r="I25" s="26">
        <f t="shared" si="17"/>
        <v>1732.4326738769244</v>
      </c>
      <c r="J25" s="26">
        <f t="shared" si="17"/>
        <v>1768.506653429597</v>
      </c>
      <c r="K25" s="26">
        <f t="shared" si="17"/>
        <v>1657.2557194853539</v>
      </c>
      <c r="L25" s="26">
        <f t="shared" si="17"/>
        <v>1488.5819508752463</v>
      </c>
    </row>
    <row r="26" spans="2:12" x14ac:dyDescent="0.25">
      <c r="B26" s="19" t="s">
        <v>248</v>
      </c>
      <c r="C26" s="21">
        <f>C25/Income_Statement!C5</f>
        <v>0.76656624585158284</v>
      </c>
      <c r="D26" s="21">
        <f>D25/Income_Statement!D5</f>
        <v>0.74598665681145149</v>
      </c>
      <c r="E26" s="21">
        <f>E25/Income_Statement!E5</f>
        <v>0.75651510926463883</v>
      </c>
      <c r="F26" s="21">
        <f>F25/Income_Statement!F5</f>
        <v>0.85886981746511015</v>
      </c>
      <c r="G26" s="21">
        <f>G25/Income_Statement!G5</f>
        <v>0.70495356037151702</v>
      </c>
      <c r="H26" s="30">
        <f>H25/Income_Statement!H5</f>
        <v>0.72161096935138047</v>
      </c>
      <c r="I26" s="30">
        <f>I25/Income_Statement!I5</f>
        <v>0.72161096935138036</v>
      </c>
      <c r="J26" s="30">
        <f>J25/Income_Statement!J5</f>
        <v>0.72161096935138036</v>
      </c>
      <c r="K26" s="30">
        <f>K25/Income_Statement!K5</f>
        <v>0.72161096935138036</v>
      </c>
      <c r="L26" s="30">
        <f>L25/Income_Statement!L5</f>
        <v>0.72161096935138036</v>
      </c>
    </row>
    <row r="27" spans="2:12" ht="18.75" x14ac:dyDescent="0.25">
      <c r="B27" s="9" t="s">
        <v>109</v>
      </c>
      <c r="C27" s="7">
        <f xml:space="preserve"> C15-C25-C11</f>
        <v>916.13066958830905</v>
      </c>
      <c r="D27" s="7">
        <f t="shared" ref="D27:L27" si="18" xml:space="preserve"> D15-D25-D11</f>
        <v>1052.6050773682714</v>
      </c>
      <c r="E27" s="7">
        <f t="shared" si="18"/>
        <v>690.81369911366983</v>
      </c>
      <c r="F27" s="7">
        <f t="shared" si="18"/>
        <v>381.98900322686995</v>
      </c>
      <c r="G27" s="7">
        <f t="shared" si="18"/>
        <v>954.0061919504642</v>
      </c>
      <c r="H27" s="29">
        <f t="shared" si="18"/>
        <v>723.88560005598583</v>
      </c>
      <c r="I27" s="29">
        <f t="shared" si="18"/>
        <v>669.3658628537795</v>
      </c>
      <c r="J27" s="29">
        <f t="shared" si="18"/>
        <v>683.28278017605021</v>
      </c>
      <c r="K27" s="29">
        <f t="shared" si="18"/>
        <v>640.36347742857424</v>
      </c>
      <c r="L27" s="29">
        <f t="shared" si="18"/>
        <v>575.29111997615803</v>
      </c>
    </row>
    <row r="28" spans="2:12" x14ac:dyDescent="0.25">
      <c r="B28" s="19" t="s">
        <v>249</v>
      </c>
      <c r="C28" s="21">
        <f>C27/Income_Statement!C5</f>
        <v>0.23369666866189706</v>
      </c>
      <c r="D28" s="21">
        <f>D27/Income_Statement!D5</f>
        <v>0.2542561190182156</v>
      </c>
      <c r="E28" s="21">
        <f>E27/Income_Statement!E5</f>
        <v>0.24384270520032256</v>
      </c>
      <c r="F28" s="21">
        <f>F27/Income_Statement!F5</f>
        <v>0.14151881595980673</v>
      </c>
      <c r="G28" s="21">
        <f>G27/Income_Statement!G5</f>
        <v>0.29535795416423039</v>
      </c>
      <c r="H28" s="30">
        <f>H27/Income_Statement!H5</f>
        <v>0.27877942168921194</v>
      </c>
      <c r="I28" s="30">
        <f>I27/Income_Statement!I5</f>
        <v>0.27881126720134458</v>
      </c>
      <c r="J28" s="30">
        <f>J27/Income_Statement!J5</f>
        <v>0.27880265442471758</v>
      </c>
      <c r="K28" s="30">
        <f>K27/Income_Statement!K5</f>
        <v>0.27883042082844839</v>
      </c>
      <c r="L28" s="30">
        <f>L27/Income_Statement!L5</f>
        <v>0.27888043550517833</v>
      </c>
    </row>
    <row r="29" spans="2:12" ht="18.75" x14ac:dyDescent="0.25">
      <c r="B29" s="9" t="s">
        <v>110</v>
      </c>
      <c r="C29" s="7">
        <f xml:space="preserve"> C27+C11</f>
        <v>1036.3606695883091</v>
      </c>
      <c r="D29" s="7">
        <f t="shared" ref="D29:L29" si="19" xml:space="preserve"> D27+D11</f>
        <v>1073.6250773682714</v>
      </c>
      <c r="E29" s="7">
        <f t="shared" si="19"/>
        <v>729.62369911366977</v>
      </c>
      <c r="F29" s="7">
        <f t="shared" si="19"/>
        <v>514.25900322686994</v>
      </c>
      <c r="G29" s="7">
        <f t="shared" si="19"/>
        <v>974.0061919504642</v>
      </c>
      <c r="H29" s="29">
        <f t="shared" si="19"/>
        <v>759.45706031306827</v>
      </c>
      <c r="I29" s="29">
        <f t="shared" si="19"/>
        <v>702.25448724106695</v>
      </c>
      <c r="J29" s="29">
        <f t="shared" si="19"/>
        <v>716.8562355420836</v>
      </c>
      <c r="K29" s="29">
        <f t="shared" si="19"/>
        <v>671.82493719766535</v>
      </c>
      <c r="L29" s="29">
        <f t="shared" si="19"/>
        <v>603.55046499443938</v>
      </c>
    </row>
    <row r="30" spans="2:12" x14ac:dyDescent="0.25">
      <c r="B30" s="19" t="s">
        <v>250</v>
      </c>
      <c r="C30" s="21">
        <f>C29/Income_Statement!C5</f>
        <v>0.26436625697056737</v>
      </c>
      <c r="D30" s="21">
        <f>D29/Income_Statement!D5</f>
        <v>0.25933348728925332</v>
      </c>
      <c r="E30" s="21">
        <f>E29/Income_Statement!E5</f>
        <v>0.25754181887013894</v>
      </c>
      <c r="F30" s="21">
        <f>F29/Income_Statement!F5</f>
        <v>0.19052204282989094</v>
      </c>
      <c r="G30" s="21">
        <f>G29/Income_Statement!G5</f>
        <v>0.30154990462862669</v>
      </c>
      <c r="H30" s="30">
        <f>H29/Income_Statement!H5</f>
        <v>0.29247853535902835</v>
      </c>
      <c r="I30" s="30">
        <f>I29/Income_Statement!I5</f>
        <v>0.29251038087116094</v>
      </c>
      <c r="J30" s="30">
        <f>J29/Income_Statement!J5</f>
        <v>0.29250176809453399</v>
      </c>
      <c r="K30" s="30">
        <f>K29/Income_Statement!K5</f>
        <v>0.2925295344982648</v>
      </c>
      <c r="L30" s="30">
        <f>L29/Income_Statement!L5</f>
        <v>0.29257954917499474</v>
      </c>
    </row>
    <row r="31" spans="2:12" ht="18.75" x14ac:dyDescent="0.25">
      <c r="B31" s="8" t="s">
        <v>68</v>
      </c>
      <c r="C31" s="4">
        <v>149.53</v>
      </c>
      <c r="D31" s="4">
        <v>166.04</v>
      </c>
      <c r="E31" s="4">
        <v>224.14</v>
      </c>
      <c r="F31" s="4">
        <v>246.02</v>
      </c>
      <c r="G31" s="4">
        <v>247</v>
      </c>
      <c r="H31" s="24">
        <f>Balance_Sheet!H40*H62</f>
        <v>331.54776540362434</v>
      </c>
      <c r="I31" s="24">
        <f>Balance_Sheet!I40*I62</f>
        <v>354.37211070840192</v>
      </c>
      <c r="J31" s="24">
        <f>Balance_Sheet!J40*J62</f>
        <v>372.85651663920919</v>
      </c>
      <c r="K31" s="24">
        <f>Balance_Sheet!K40*K62</f>
        <v>398.10366260296541</v>
      </c>
      <c r="L31" s="24">
        <f>Balance_Sheet!L40*L62</f>
        <v>426.00885535420099</v>
      </c>
    </row>
    <row r="32" spans="2:12" x14ac:dyDescent="0.25">
      <c r="B32" s="17" t="s">
        <v>251</v>
      </c>
      <c r="C32" s="18">
        <f>C31/Income_Statement!C5</f>
        <v>3.8143753969853346E-2</v>
      </c>
      <c r="D32" s="18">
        <f>D31/Income_Statement!D5</f>
        <v>4.0106861452098339E-2</v>
      </c>
      <c r="E32" s="18">
        <f>E31/Income_Statement!E5</f>
        <v>7.9116705435523085E-2</v>
      </c>
      <c r="F32" s="18">
        <f>F31/Income_Statement!F5</f>
        <v>9.1145186925063265E-2</v>
      </c>
      <c r="G32" s="18">
        <f>G31/Income_Statement!G5</f>
        <v>7.6470588235294124E-2</v>
      </c>
      <c r="H32" s="25">
        <f>H31/Income_Statement!H5</f>
        <v>0.12768411789711578</v>
      </c>
      <c r="I32" s="25">
        <f>I31/Income_Statement!I5</f>
        <v>0.1476067763990645</v>
      </c>
      <c r="J32" s="25">
        <f>J31/Income_Statement!J5</f>
        <v>0.15213816237514644</v>
      </c>
      <c r="K32" s="25">
        <f>K31/Income_Statement!K5</f>
        <v>0.17334438282250836</v>
      </c>
      <c r="L32" s="25">
        <f>L31/Income_Statement!L5</f>
        <v>0.20651376491812665</v>
      </c>
    </row>
    <row r="33" spans="2:12" ht="18.75" x14ac:dyDescent="0.25">
      <c r="B33" s="9" t="s">
        <v>111</v>
      </c>
      <c r="C33" s="7">
        <f xml:space="preserve"> C29-C31</f>
        <v>886.83066958830909</v>
      </c>
      <c r="D33" s="7">
        <f t="shared" ref="D33:L33" si="20" xml:space="preserve"> D29-D31</f>
        <v>907.58507736827141</v>
      </c>
      <c r="E33" s="7">
        <f t="shared" si="20"/>
        <v>505.48369911366979</v>
      </c>
      <c r="F33" s="7">
        <f t="shared" si="20"/>
        <v>268.23900322686995</v>
      </c>
      <c r="G33" s="7">
        <f t="shared" si="20"/>
        <v>727.0061919504642</v>
      </c>
      <c r="H33" s="29">
        <f t="shared" si="20"/>
        <v>427.90929490944393</v>
      </c>
      <c r="I33" s="29">
        <f t="shared" si="20"/>
        <v>347.88237653266503</v>
      </c>
      <c r="J33" s="29">
        <f t="shared" si="20"/>
        <v>343.99971890287441</v>
      </c>
      <c r="K33" s="29">
        <f t="shared" si="20"/>
        <v>273.72127459469993</v>
      </c>
      <c r="L33" s="29">
        <f t="shared" si="20"/>
        <v>177.54160964023839</v>
      </c>
    </row>
    <row r="34" spans="2:12" x14ac:dyDescent="0.25">
      <c r="B34" s="19" t="s">
        <v>252</v>
      </c>
      <c r="C34" s="21">
        <f>C33/Income_Statement!C5</f>
        <v>0.22622250300071403</v>
      </c>
      <c r="D34" s="21">
        <f>D33/Income_Statement!D5</f>
        <v>0.21922662583715502</v>
      </c>
      <c r="E34" s="21">
        <f>E33/Income_Statement!E5</f>
        <v>0.17842511343461584</v>
      </c>
      <c r="F34" s="21">
        <f>F33/Income_Statement!F5</f>
        <v>9.9376855904827685E-2</v>
      </c>
      <c r="G34" s="21">
        <f>G33/Income_Statement!G5</f>
        <v>0.22507931639333256</v>
      </c>
      <c r="H34" s="30">
        <f>H33/Income_Statement!H5</f>
        <v>0.16479441746191256</v>
      </c>
      <c r="I34" s="30">
        <f>I33/Income_Statement!I5</f>
        <v>0.14490360447209646</v>
      </c>
      <c r="J34" s="30">
        <f>J33/Income_Statement!J5</f>
        <v>0.14036360571938758</v>
      </c>
      <c r="K34" s="30">
        <f>K33/Income_Statement!K5</f>
        <v>0.11918515167575644</v>
      </c>
      <c r="L34" s="30">
        <f>L33/Income_Statement!L5</f>
        <v>8.6065784256868116E-2</v>
      </c>
    </row>
    <row r="35" spans="2:12" ht="18.75" x14ac:dyDescent="0.25">
      <c r="B35" s="8" t="s">
        <v>67</v>
      </c>
      <c r="C35" s="4">
        <v>255.49</v>
      </c>
      <c r="D35" s="4">
        <v>264.89</v>
      </c>
      <c r="E35" s="4">
        <v>275.74</v>
      </c>
      <c r="F35" s="4">
        <v>249.08</v>
      </c>
      <c r="G35" s="4">
        <v>299</v>
      </c>
      <c r="H35" s="24">
        <f>Balance_Sheet!H21*H63</f>
        <v>324.15396825396823</v>
      </c>
      <c r="I35" s="24">
        <f>Balance_Sheet!I21*I63</f>
        <v>346.46980952380954</v>
      </c>
      <c r="J35" s="24">
        <f>Balance_Sheet!J21*J63</f>
        <v>364.54111640211642</v>
      </c>
      <c r="K35" s="24">
        <f>Balance_Sheet!K21*K63</f>
        <v>389.22522751322754</v>
      </c>
      <c r="L35" s="24">
        <f>Balance_Sheet!L21*L63</f>
        <v>416.50858201058207</v>
      </c>
    </row>
    <row r="36" spans="2:12" x14ac:dyDescent="0.25">
      <c r="B36" s="17" t="s">
        <v>253</v>
      </c>
      <c r="C36" s="18">
        <f>C35/Income_Statement!C5</f>
        <v>6.5173194019647107E-2</v>
      </c>
      <c r="D36" s="18">
        <f>D35/Income_Statement!D5</f>
        <v>6.3984019092064137E-2</v>
      </c>
      <c r="E36" s="18">
        <f>E35/Income_Statement!E5</f>
        <v>9.7330420080267419E-2</v>
      </c>
      <c r="F36" s="18">
        <f>F35/Income_Statement!F5</f>
        <v>9.2278851960388417E-2</v>
      </c>
      <c r="G36" s="18">
        <f>G35/Income_Statement!G5</f>
        <v>9.2569659442724453E-2</v>
      </c>
      <c r="H36" s="25">
        <f>H35/Income_Statement!H5</f>
        <v>0.12483665347275225</v>
      </c>
      <c r="I36" s="25">
        <f>I35/Income_Statement!I5</f>
        <v>0.14431522729363278</v>
      </c>
      <c r="J36" s="25">
        <f>J35/Income_Statement!J5</f>
        <v>0.14874519576459017</v>
      </c>
      <c r="K36" s="25">
        <f>K35/Income_Statement!K5</f>
        <v>0.1694784880929861</v>
      </c>
      <c r="L36" s="25">
        <f>L35/Income_Statement!L5</f>
        <v>0.20190837422898045</v>
      </c>
    </row>
    <row r="37" spans="2:12" ht="18.75" x14ac:dyDescent="0.25">
      <c r="B37" s="9" t="s">
        <v>112</v>
      </c>
      <c r="C37" s="7">
        <f xml:space="preserve"> C33-C35</f>
        <v>631.34066958830908</v>
      </c>
      <c r="D37" s="7">
        <f t="shared" ref="D37:L37" si="21" xml:space="preserve"> D33-D35</f>
        <v>642.69507736827143</v>
      </c>
      <c r="E37" s="7">
        <f t="shared" si="21"/>
        <v>229.74369911366978</v>
      </c>
      <c r="F37" s="7">
        <f t="shared" si="21"/>
        <v>19.159003226869942</v>
      </c>
      <c r="G37" s="7">
        <f t="shared" si="21"/>
        <v>428.0061919504642</v>
      </c>
      <c r="H37" s="29">
        <f t="shared" si="21"/>
        <v>103.7553266554757</v>
      </c>
      <c r="I37" s="29">
        <f t="shared" si="21"/>
        <v>1.4125670088554898</v>
      </c>
      <c r="J37" s="29">
        <f t="shared" si="21"/>
        <v>-20.541397499242009</v>
      </c>
      <c r="K37" s="29">
        <f t="shared" si="21"/>
        <v>-115.5039529185276</v>
      </c>
      <c r="L37" s="29">
        <f t="shared" si="21"/>
        <v>-238.96697237034368</v>
      </c>
    </row>
    <row r="38" spans="2:12" x14ac:dyDescent="0.25">
      <c r="B38" s="19" t="s">
        <v>254</v>
      </c>
      <c r="C38" s="21">
        <f>C37/Income_Statement!C5</f>
        <v>0.16104930898106692</v>
      </c>
      <c r="D38" s="21">
        <f>D37/Income_Statement!D5</f>
        <v>0.15524260674509086</v>
      </c>
      <c r="E38" s="21">
        <f>E37/Income_Statement!E5</f>
        <v>8.1094693354348435E-2</v>
      </c>
      <c r="F38" s="21">
        <f>F37/Income_Statement!F5</f>
        <v>7.0980039444392771E-3</v>
      </c>
      <c r="G38" s="21">
        <f>G37/Income_Statement!G5</f>
        <v>0.13250965695060812</v>
      </c>
      <c r="H38" s="30">
        <f>H37/Income_Statement!H5</f>
        <v>3.995776398916033E-2</v>
      </c>
      <c r="I38" s="30">
        <f>I37/Income_Statement!I5</f>
        <v>5.8837717846367793E-4</v>
      </c>
      <c r="J38" s="30">
        <f>J37/Income_Statement!J5</f>
        <v>-8.3815900452025843E-3</v>
      </c>
      <c r="K38" s="30">
        <f>K37/Income_Statement!K5</f>
        <v>-5.0293336417229662E-2</v>
      </c>
      <c r="L38" s="30">
        <f>L37/Income_Statement!L5</f>
        <v>-0.11584258997211234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4">
        <f>H5*H40</f>
        <v>0</v>
      </c>
      <c r="I39" s="24">
        <f t="shared" ref="I39:L39" si="22">I5*I40</f>
        <v>0</v>
      </c>
      <c r="J39" s="24">
        <f t="shared" si="22"/>
        <v>0</v>
      </c>
      <c r="K39" s="24">
        <f t="shared" si="22"/>
        <v>0</v>
      </c>
      <c r="L39" s="24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631.34066958830908</v>
      </c>
      <c r="D41" s="7">
        <f t="shared" ref="D41:L41" si="24" xml:space="preserve"> D37+D39</f>
        <v>642.69507736827143</v>
      </c>
      <c r="E41" s="7">
        <f t="shared" si="24"/>
        <v>229.74369911366978</v>
      </c>
      <c r="F41" s="7">
        <f t="shared" si="24"/>
        <v>19.159003226869942</v>
      </c>
      <c r="G41" s="7">
        <f t="shared" si="24"/>
        <v>428.0061919504642</v>
      </c>
      <c r="H41" s="29">
        <f t="shared" si="24"/>
        <v>103.7553266554757</v>
      </c>
      <c r="I41" s="29">
        <f t="shared" si="24"/>
        <v>1.4125670088554898</v>
      </c>
      <c r="J41" s="29">
        <f t="shared" si="24"/>
        <v>-20.541397499242009</v>
      </c>
      <c r="K41" s="29">
        <f t="shared" si="24"/>
        <v>-115.5039529185276</v>
      </c>
      <c r="L41" s="29">
        <f t="shared" si="24"/>
        <v>-238.96697237034368</v>
      </c>
    </row>
    <row r="42" spans="2:12" x14ac:dyDescent="0.25">
      <c r="B42" s="19" t="s">
        <v>256</v>
      </c>
      <c r="C42" s="21">
        <f>C41/Income_Statement!C5</f>
        <v>0.16104930898106692</v>
      </c>
      <c r="D42" s="21">
        <f>D41/Income_Statement!D5</f>
        <v>0.15524260674509086</v>
      </c>
      <c r="E42" s="21">
        <f>E41/Income_Statement!E5</f>
        <v>8.1094693354348435E-2</v>
      </c>
      <c r="F42" s="21">
        <f>F41/Income_Statement!F5</f>
        <v>7.0980039444392771E-3</v>
      </c>
      <c r="G42" s="21">
        <f>G41/Income_Statement!G5</f>
        <v>0.13250965695060812</v>
      </c>
      <c r="H42" s="30">
        <f>H41/Income_Statement!H5</f>
        <v>3.995776398916033E-2</v>
      </c>
      <c r="I42" s="30">
        <f>I41/Income_Statement!I5</f>
        <v>5.8837717846367793E-4</v>
      </c>
      <c r="J42" s="30">
        <f>J41/Income_Statement!J5</f>
        <v>-8.3815900452025843E-3</v>
      </c>
      <c r="K42" s="30">
        <f>K41/Income_Statement!K5</f>
        <v>-5.0293336417229662E-2</v>
      </c>
      <c r="L42" s="30">
        <f>L41/Income_Statement!L5</f>
        <v>-0.11584258997211234</v>
      </c>
    </row>
    <row r="43" spans="2:12" ht="18.75" x14ac:dyDescent="0.25">
      <c r="B43" s="8" t="s">
        <v>72</v>
      </c>
      <c r="C43" s="4">
        <v>-358.19</v>
      </c>
      <c r="D43" s="5">
        <v>0</v>
      </c>
      <c r="E43" s="4">
        <v>0</v>
      </c>
      <c r="F43" s="4">
        <v>1327.84</v>
      </c>
      <c r="G43" s="4">
        <v>-183</v>
      </c>
      <c r="H43" s="24">
        <f>H5*H44</f>
        <v>-147.11528316916142</v>
      </c>
      <c r="I43" s="24">
        <f t="shared" ref="I43:L43" si="25">I5*I44</f>
        <v>-136.01969823031493</v>
      </c>
      <c r="J43" s="24">
        <f t="shared" si="25"/>
        <v>-138.85199981796652</v>
      </c>
      <c r="K43" s="24">
        <f t="shared" si="25"/>
        <v>-130.11727742955026</v>
      </c>
      <c r="L43" s="24">
        <f t="shared" si="25"/>
        <v>-116.87407586006361</v>
      </c>
    </row>
    <row r="44" spans="2:12" x14ac:dyDescent="0.25">
      <c r="B44" s="17" t="s">
        <v>257</v>
      </c>
      <c r="C44" s="18">
        <f>C43/Income_Statement!C5</f>
        <v>-9.137103748051742E-2</v>
      </c>
      <c r="D44" s="18">
        <f>D43/Income_Statement!D5</f>
        <v>0</v>
      </c>
      <c r="E44" s="18">
        <f>E43/Income_Statement!E5</f>
        <v>0</v>
      </c>
      <c r="F44" s="18">
        <f>F43/Income_Statement!F5</f>
        <v>0.49193652957717254</v>
      </c>
      <c r="G44" s="18">
        <f>G43/Income_Statement!G5</f>
        <v>-5.6656346749226004E-2</v>
      </c>
      <c r="H44" s="25">
        <f>G44</f>
        <v>-5.6656346749226004E-2</v>
      </c>
      <c r="I44" s="25">
        <f t="shared" ref="I44:L44" si="26">H44</f>
        <v>-5.6656346749226004E-2</v>
      </c>
      <c r="J44" s="25">
        <f t="shared" si="26"/>
        <v>-5.6656346749226004E-2</v>
      </c>
      <c r="K44" s="25">
        <f t="shared" si="26"/>
        <v>-5.6656346749226004E-2</v>
      </c>
      <c r="L44" s="25">
        <f t="shared" si="26"/>
        <v>-5.6656346749226004E-2</v>
      </c>
    </row>
    <row r="45" spans="2:12" ht="18.75" x14ac:dyDescent="0.25">
      <c r="B45" s="9" t="s">
        <v>115</v>
      </c>
      <c r="C45" s="7">
        <f xml:space="preserve"> C41+C43</f>
        <v>273.15066958830909</v>
      </c>
      <c r="D45" s="7">
        <f t="shared" ref="D45:L45" si="27" xml:space="preserve"> D41+D43</f>
        <v>642.69507736827143</v>
      </c>
      <c r="E45" s="7">
        <f t="shared" si="27"/>
        <v>229.74369911366978</v>
      </c>
      <c r="F45" s="7">
        <f t="shared" si="27"/>
        <v>1346.9990032268699</v>
      </c>
      <c r="G45" s="7">
        <f t="shared" si="27"/>
        <v>245.0061919504642</v>
      </c>
      <c r="H45" s="29">
        <f t="shared" si="27"/>
        <v>-43.359956513685717</v>
      </c>
      <c r="I45" s="29">
        <f t="shared" si="27"/>
        <v>-134.60713122145944</v>
      </c>
      <c r="J45" s="29">
        <f t="shared" si="27"/>
        <v>-159.39339731720852</v>
      </c>
      <c r="K45" s="29">
        <f t="shared" si="27"/>
        <v>-245.62123034807786</v>
      </c>
      <c r="L45" s="29">
        <f t="shared" si="27"/>
        <v>-355.8410482304073</v>
      </c>
    </row>
    <row r="46" spans="2:12" x14ac:dyDescent="0.25">
      <c r="B46" s="19" t="s">
        <v>258</v>
      </c>
      <c r="C46" s="21">
        <f>C45/Income_Statement!C5</f>
        <v>6.9678271500549491E-2</v>
      </c>
      <c r="D46" s="21">
        <f>D45/Income_Statement!D5</f>
        <v>0.15524260674509086</v>
      </c>
      <c r="E46" s="21">
        <f>E45/Income_Statement!E5</f>
        <v>8.1094693354348435E-2</v>
      </c>
      <c r="F46" s="21">
        <f>F45/Income_Statement!F5</f>
        <v>0.49903453352161187</v>
      </c>
      <c r="G46" s="21">
        <f>G45/Income_Statement!G5</f>
        <v>7.5853310201382099E-2</v>
      </c>
      <c r="H46" s="30">
        <f>H45/Income_Statement!H5</f>
        <v>-1.6698582760065677E-2</v>
      </c>
      <c r="I46" s="30">
        <f>I45/Income_Statement!I5</f>
        <v>-5.6067969570762329E-2</v>
      </c>
      <c r="J46" s="30">
        <f>J45/Income_Statement!J5</f>
        <v>-6.5037936794428583E-2</v>
      </c>
      <c r="K46" s="30">
        <f>K45/Income_Statement!K5</f>
        <v>-0.10694968316645567</v>
      </c>
      <c r="L46" s="30">
        <f>L45/Income_Statement!L5</f>
        <v>-0.17249893672133834</v>
      </c>
    </row>
    <row r="47" spans="2:12" ht="18.75" x14ac:dyDescent="0.25">
      <c r="B47" s="8" t="s">
        <v>79</v>
      </c>
      <c r="C47" s="4">
        <v>25.7</v>
      </c>
      <c r="D47" s="4">
        <v>-83.66</v>
      </c>
      <c r="E47" s="4">
        <v>-204.09</v>
      </c>
      <c r="F47" s="4">
        <v>-271.61</v>
      </c>
      <c r="G47" s="4">
        <v>-132</v>
      </c>
      <c r="H47" s="24">
        <f>H45*H64</f>
        <v>23.360692292069519</v>
      </c>
      <c r="I47" s="24">
        <f t="shared" ref="I47:L47" si="28">I45*I64</f>
        <v>72.521192953462332</v>
      </c>
      <c r="J47" s="24">
        <f t="shared" si="28"/>
        <v>85.875088618680365</v>
      </c>
      <c r="K47" s="24">
        <f t="shared" si="28"/>
        <v>132.33135925193847</v>
      </c>
      <c r="L47" s="24">
        <f t="shared" si="28"/>
        <v>191.71359708292781</v>
      </c>
    </row>
    <row r="48" spans="2:12" x14ac:dyDescent="0.25">
      <c r="B48" s="17" t="s">
        <v>259</v>
      </c>
      <c r="C48" s="18">
        <f>C47/Income_Statement!C5</f>
        <v>6.5558381396725136E-3</v>
      </c>
      <c r="D48" s="18">
        <f>D47/Income_Statement!D5</f>
        <v>-2.0208022338487997E-2</v>
      </c>
      <c r="E48" s="18">
        <f>E47/Income_Statement!E5</f>
        <v>-7.2039477167555585E-2</v>
      </c>
      <c r="F48" s="18">
        <f>F47/Income_Statement!F5</f>
        <v>-0.10062573864204712</v>
      </c>
      <c r="G48" s="18">
        <f>G47/Income_Statement!G5</f>
        <v>-4.0866873065015477E-2</v>
      </c>
      <c r="H48" s="25">
        <f>H47/Income_Statement!H5</f>
        <v>8.9965600737728323E-3</v>
      </c>
      <c r="I48" s="25">
        <f>I47/Income_Statement!I5</f>
        <v>3.0207285474797178E-2</v>
      </c>
      <c r="J48" s="25">
        <f>J47/Income_Statement!J5</f>
        <v>3.5039962004716624E-2</v>
      </c>
      <c r="K48" s="25">
        <f>K47/Income_Statement!K5</f>
        <v>5.7620413858056371E-2</v>
      </c>
      <c r="L48" s="25">
        <f>L47/Income_Statement!L5</f>
        <v>9.29358538490338E-2</v>
      </c>
    </row>
    <row r="49" spans="2:12" ht="18.75" x14ac:dyDescent="0.25">
      <c r="B49" s="9" t="s">
        <v>116</v>
      </c>
      <c r="C49" s="7">
        <f xml:space="preserve"> C45-C47</f>
        <v>247.4506695883091</v>
      </c>
      <c r="D49" s="7">
        <f t="shared" ref="D49:L49" si="29" xml:space="preserve"> D45-D47</f>
        <v>726.3550773682714</v>
      </c>
      <c r="E49" s="7">
        <f t="shared" si="29"/>
        <v>433.83369911366981</v>
      </c>
      <c r="F49" s="7">
        <f t="shared" si="29"/>
        <v>1618.6090032268698</v>
      </c>
      <c r="G49" s="7">
        <f t="shared" si="29"/>
        <v>377.0061919504642</v>
      </c>
      <c r="H49" s="29">
        <f t="shared" si="29"/>
        <v>-66.720648805755232</v>
      </c>
      <c r="I49" s="29">
        <f t="shared" si="29"/>
        <v>-207.12832417492177</v>
      </c>
      <c r="J49" s="29">
        <f t="shared" si="29"/>
        <v>-245.26848593588889</v>
      </c>
      <c r="K49" s="29">
        <f t="shared" si="29"/>
        <v>-377.95258960001632</v>
      </c>
      <c r="L49" s="29">
        <f t="shared" si="29"/>
        <v>-547.55464531333507</v>
      </c>
    </row>
    <row r="50" spans="2:12" x14ac:dyDescent="0.25">
      <c r="B50" s="19" t="s">
        <v>260</v>
      </c>
      <c r="C50" s="21">
        <f>C49/Income_Statement!C5</f>
        <v>6.3122433360876973E-2</v>
      </c>
      <c r="D50" s="21">
        <f>D49/Income_Statement!D5</f>
        <v>0.17545062908357886</v>
      </c>
      <c r="E50" s="21">
        <f>E49/Income_Statement!E5</f>
        <v>0.15313417052190403</v>
      </c>
      <c r="F50" s="21">
        <f>F49/Income_Statement!F5</f>
        <v>0.59966027216365891</v>
      </c>
      <c r="G50" s="21">
        <f>G49/Income_Statement!G5</f>
        <v>0.11672018326639759</v>
      </c>
      <c r="H50" s="30">
        <f>H49/Income_Statement!H5</f>
        <v>-2.5695142833838506E-2</v>
      </c>
      <c r="I50" s="30">
        <f>I49/Income_Statement!I5</f>
        <v>-8.6275255045559496E-2</v>
      </c>
      <c r="J50" s="30">
        <f>J49/Income_Statement!J5</f>
        <v>-0.10007789879914522</v>
      </c>
      <c r="K50" s="30">
        <f>K49/Income_Statement!K5</f>
        <v>-0.16457009702451206</v>
      </c>
      <c r="L50" s="30">
        <f>L49/Income_Statement!L5</f>
        <v>-0.26543479057037211</v>
      </c>
    </row>
    <row r="51" spans="2:12" ht="18.75" x14ac:dyDescent="0.25">
      <c r="B51" s="8" t="s">
        <v>88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24">
        <f>H5*H52</f>
        <v>0</v>
      </c>
      <c r="I51" s="24">
        <f t="shared" ref="I51:L51" si="30">I5*I52</f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</row>
    <row r="52" spans="2:12" x14ac:dyDescent="0.25">
      <c r="B52" s="17" t="s">
        <v>261</v>
      </c>
      <c r="C52" s="18">
        <f>C51/Income_Statement!C5</f>
        <v>0</v>
      </c>
      <c r="D52" s="18">
        <f>D51/Income_Statement!D5</f>
        <v>0</v>
      </c>
      <c r="E52" s="18">
        <f>E51/Income_Statement!E5</f>
        <v>0</v>
      </c>
      <c r="F52" s="18">
        <f>F51/Income_Statement!F5</f>
        <v>0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24">
        <f>H5*H54</f>
        <v>0</v>
      </c>
      <c r="I53" s="24">
        <f t="shared" ref="I53:L53" si="32">I5*I54</f>
        <v>0</v>
      </c>
      <c r="J53" s="24">
        <f t="shared" si="32"/>
        <v>0</v>
      </c>
      <c r="K53" s="24">
        <f t="shared" si="32"/>
        <v>0</v>
      </c>
      <c r="L53" s="24">
        <f t="shared" si="32"/>
        <v>0</v>
      </c>
    </row>
    <row r="54" spans="2:12" x14ac:dyDescent="0.25">
      <c r="B54" s="17" t="s">
        <v>262</v>
      </c>
      <c r="C54" s="18">
        <f>C53/Income_Statement!C5</f>
        <v>0</v>
      </c>
      <c r="D54" s="18">
        <f>D53/Income_Statement!D5</f>
        <v>0</v>
      </c>
      <c r="E54" s="18">
        <f>E53/Income_Statement!E5</f>
        <v>0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247.4506695883091</v>
      </c>
      <c r="D55" s="7">
        <f t="shared" ref="D55:L55" si="34" xml:space="preserve"> D49-D51-D53</f>
        <v>726.3550773682714</v>
      </c>
      <c r="E55" s="7">
        <f t="shared" si="34"/>
        <v>433.83369911366981</v>
      </c>
      <c r="F55" s="7">
        <f t="shared" si="34"/>
        <v>1618.6090032268698</v>
      </c>
      <c r="G55" s="7">
        <f t="shared" si="34"/>
        <v>377.0061919504642</v>
      </c>
      <c r="H55" s="29">
        <f t="shared" si="34"/>
        <v>-66.720648805755232</v>
      </c>
      <c r="I55" s="29">
        <f t="shared" si="34"/>
        <v>-207.12832417492177</v>
      </c>
      <c r="J55" s="29">
        <f t="shared" si="34"/>
        <v>-245.26848593588889</v>
      </c>
      <c r="K55" s="29">
        <f t="shared" si="34"/>
        <v>-377.95258960001632</v>
      </c>
      <c r="L55" s="29">
        <f t="shared" si="34"/>
        <v>-547.55464531333507</v>
      </c>
    </row>
    <row r="56" spans="2:12" x14ac:dyDescent="0.25">
      <c r="B56" s="19" t="s">
        <v>263</v>
      </c>
      <c r="C56" s="21">
        <f>C55/Income_Statement!C5</f>
        <v>6.3122433360876973E-2</v>
      </c>
      <c r="D56" s="21">
        <f>D55/Income_Statement!D5</f>
        <v>0.17545062908357886</v>
      </c>
      <c r="E56" s="21">
        <f>E55/Income_Statement!E5</f>
        <v>0.15313417052190403</v>
      </c>
      <c r="F56" s="21">
        <f>F55/Income_Statement!F5</f>
        <v>0.59966027216365891</v>
      </c>
      <c r="G56" s="21">
        <f>G55/Income_Statement!G5</f>
        <v>0.11672018326639759</v>
      </c>
      <c r="H56" s="30">
        <f>H55/Income_Statement!H5</f>
        <v>-2.5695142833838506E-2</v>
      </c>
      <c r="I56" s="30">
        <f>I55/Income_Statement!I5</f>
        <v>-8.6275255045559496E-2</v>
      </c>
      <c r="J56" s="30">
        <f>J55/Income_Statement!J5</f>
        <v>-0.10007789879914522</v>
      </c>
      <c r="K56" s="30">
        <f>K55/Income_Statement!K5</f>
        <v>-0.16457009702451206</v>
      </c>
      <c r="L56" s="30">
        <f>L55/Income_Statement!L5</f>
        <v>-0.26543479057037211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-55</v>
      </c>
      <c r="D60" s="4">
        <v>-18</v>
      </c>
      <c r="E60" s="4">
        <v>-6</v>
      </c>
      <c r="F60" s="4">
        <v>62</v>
      </c>
      <c r="G60" s="4">
        <v>-20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-4.4991030834238019</v>
      </c>
      <c r="D61" s="4">
        <f t="shared" ref="D61:G61" si="35">D49/D60</f>
        <v>-40.353059853792857</v>
      </c>
      <c r="E61" s="4">
        <f t="shared" si="35"/>
        <v>-72.305616518944973</v>
      </c>
      <c r="F61" s="4">
        <f t="shared" si="35"/>
        <v>26.106596826239837</v>
      </c>
      <c r="G61" s="4">
        <f t="shared" si="35"/>
        <v>-18.850309597523211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7.6763932810382352E-2</v>
      </c>
      <c r="D62" s="23">
        <f>D31/Balance_Sheet!D40</f>
        <v>7.8154859967051071E-2</v>
      </c>
      <c r="E62" s="23">
        <f>E31/Balance_Sheet!E40</f>
        <v>9.0419502277228919E-2</v>
      </c>
      <c r="F62" s="23">
        <f>F31/Balance_Sheet!F40</f>
        <v>0.10643535443120121</v>
      </c>
      <c r="G62" s="23">
        <f>G31/Balance_Sheet!G40</f>
        <v>6.3122923588039864E-2</v>
      </c>
      <c r="H62" s="23">
        <f>MEDIAN(C62:G62)</f>
        <v>7.8154859967051071E-2</v>
      </c>
      <c r="I62" s="23">
        <f t="shared" ref="I62:L62" si="36">H62</f>
        <v>7.8154859967051071E-2</v>
      </c>
      <c r="J62" s="23">
        <f t="shared" si="36"/>
        <v>7.8154859967051071E-2</v>
      </c>
      <c r="K62" s="23">
        <f t="shared" si="36"/>
        <v>7.8154859967051071E-2</v>
      </c>
      <c r="L62" s="23">
        <f t="shared" si="36"/>
        <v>7.8154859967051071E-2</v>
      </c>
    </row>
    <row r="63" spans="2:12" x14ac:dyDescent="0.25">
      <c r="B63" t="s">
        <v>267</v>
      </c>
      <c r="C63" s="23">
        <f>C35/Balance_Sheet!C21</f>
        <v>9.6606356228612481E-2</v>
      </c>
      <c r="D63" s="23">
        <f>D35/Balance_Sheet!D21</f>
        <v>0.11771319379638269</v>
      </c>
      <c r="E63" s="23">
        <f>E35/Balance_Sheet!E21</f>
        <v>0.12671816765547952</v>
      </c>
      <c r="F63" s="23">
        <f>F35/Balance_Sheet!F21</f>
        <v>0.15592740749087589</v>
      </c>
      <c r="G63" s="23">
        <f>G35/Balance_Sheet!G21</f>
        <v>0.1582010582010582</v>
      </c>
      <c r="H63" s="23">
        <f>G63</f>
        <v>0.1582010582010582</v>
      </c>
      <c r="I63" s="23">
        <f t="shared" ref="I63:L63" si="37">H63</f>
        <v>0.1582010582010582</v>
      </c>
      <c r="J63" s="23">
        <f t="shared" si="37"/>
        <v>0.1582010582010582</v>
      </c>
      <c r="K63" s="23">
        <f t="shared" si="37"/>
        <v>0.1582010582010582</v>
      </c>
      <c r="L63" s="23">
        <f t="shared" si="37"/>
        <v>0.1582010582010582</v>
      </c>
    </row>
    <row r="64" spans="2:12" x14ac:dyDescent="0.25">
      <c r="B64" t="s">
        <v>268</v>
      </c>
      <c r="C64" s="23">
        <f>C47/Income_Statement!C45</f>
        <v>9.4087267070349381E-2</v>
      </c>
      <c r="D64" s="23">
        <f>D47/Income_Statement!D45</f>
        <v>-0.13017059402815667</v>
      </c>
      <c r="E64" s="23">
        <f>E47/Income_Statement!E45</f>
        <v>-0.88833774674718213</v>
      </c>
      <c r="F64" s="23">
        <f>F47/Income_Statement!F45</f>
        <v>-0.20164083221244505</v>
      </c>
      <c r="G64" s="23">
        <f>G47/Income_Statement!G45</f>
        <v>-0.53876189393077867</v>
      </c>
      <c r="H64" s="23">
        <f>G64</f>
        <v>-0.53876189393077867</v>
      </c>
      <c r="I64" s="23">
        <f t="shared" ref="I64:L64" si="38">H64</f>
        <v>-0.53876189393077867</v>
      </c>
      <c r="J64" s="23">
        <f t="shared" si="38"/>
        <v>-0.53876189393077867</v>
      </c>
      <c r="K64" s="23">
        <f t="shared" si="38"/>
        <v>-0.53876189393077867</v>
      </c>
      <c r="L64" s="23">
        <f t="shared" si="38"/>
        <v>-0.53876189393077867</v>
      </c>
    </row>
    <row r="65" spans="2:12" x14ac:dyDescent="0.25">
      <c r="B65" t="s">
        <v>269</v>
      </c>
      <c r="C65" s="23" t="e">
        <f>C53/Income_Statement!C51</f>
        <v>#DIV/0!</v>
      </c>
      <c r="D65" s="23" t="e">
        <f>D53/Income_Statement!D51</f>
        <v>#DIV/0!</v>
      </c>
      <c r="E65" s="23" t="e">
        <f>E53/Income_Statement!E51</f>
        <v>#DIV/0!</v>
      </c>
      <c r="F65" s="23" t="e">
        <f>F53/Income_Statement!F51</f>
        <v>#DIV/0!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1052A500-667A-4C3F-AA5A-D7E112864759}"/>
  </hyperlinks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12982-651C-4C31-B94F-F978332B0B62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3920.17</v>
      </c>
      <c r="D5" s="13">
        <f>Income_Statement!D5</f>
        <v>4139.9399999999996</v>
      </c>
      <c r="E5" s="13">
        <f>Income_Statement!E5</f>
        <v>2833.03</v>
      </c>
      <c r="F5" s="13">
        <f>Income_Statement!F5</f>
        <v>2699.21</v>
      </c>
      <c r="G5" s="13">
        <f>Income_Statement!G5</f>
        <v>3230</v>
      </c>
    </row>
    <row r="6" spans="2:15" ht="18.75" x14ac:dyDescent="0.25">
      <c r="B6" s="12" t="str">
        <f>Income_Statement!B15</f>
        <v>Total Income</v>
      </c>
      <c r="C6" s="13">
        <f>Income_Statement!C15</f>
        <v>4041.4306695883088</v>
      </c>
      <c r="D6" s="13">
        <f>Income_Statement!D15</f>
        <v>4161.9650773682715</v>
      </c>
      <c r="E6" s="13">
        <f>Income_Statement!E15</f>
        <v>2872.8536991136698</v>
      </c>
      <c r="F6" s="13">
        <f>Income_Statement!F15</f>
        <v>2832.5290032268699</v>
      </c>
      <c r="G6" s="13">
        <f>Income_Statement!G15</f>
        <v>3251.0061919504642</v>
      </c>
    </row>
  </sheetData>
  <hyperlinks>
    <hyperlink ref="F1" location="Index_Data!A1" tooltip="Hi click here To return Index page" display="Index_Data!A1" xr:uid="{CF06E681-65E9-4111-98AE-696BEAEE77FB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435AC-A8C3-456E-A31E-E63EC70CD1C0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5" width="11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8162.0400000000009</v>
      </c>
      <c r="D5" s="13">
        <f>Balance_Sheet!D37</f>
        <v>8500.8750773682714</v>
      </c>
      <c r="E5" s="13">
        <f>Balance_Sheet!E37</f>
        <v>9519.6287764819426</v>
      </c>
      <c r="F5" s="13">
        <f>Balance_Sheet!F37</f>
        <v>10026.947779708811</v>
      </c>
      <c r="G5" s="13">
        <f>Balance_Sheet!G37</f>
        <v>10418.633971659276</v>
      </c>
    </row>
    <row r="6" spans="2:15" ht="18.75" x14ac:dyDescent="0.25">
      <c r="B6" s="12" t="str">
        <f>Balance_Sheet!B21</f>
        <v>Total Debt</v>
      </c>
      <c r="C6" s="13">
        <f>Balance_Sheet!C21</f>
        <v>2644.65</v>
      </c>
      <c r="D6" s="13">
        <f>Balance_Sheet!D21</f>
        <v>2250.3000000000002</v>
      </c>
      <c r="E6" s="13">
        <f>Balance_Sheet!E21</f>
        <v>2176.0100000000002</v>
      </c>
      <c r="F6" s="13">
        <f>Balance_Sheet!F21</f>
        <v>1597.4099999999999</v>
      </c>
      <c r="G6" s="13">
        <f>Balance_Sheet!G21</f>
        <v>1890</v>
      </c>
    </row>
  </sheetData>
  <hyperlinks>
    <hyperlink ref="F1" location="Index_Data!A1" tooltip="Hi click here To return Index page" display="Index_Data!A1" xr:uid="{8B89EB5F-AADA-495F-977E-603246B66316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B6367-1BC0-4797-AE14-3794A9EC09DD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5" width="11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8162.0400000000009</v>
      </c>
      <c r="D5" s="13">
        <f>Balance_Sheet!D37</f>
        <v>8500.8750773682714</v>
      </c>
      <c r="E5" s="13">
        <f>Balance_Sheet!E37</f>
        <v>9519.6287764819426</v>
      </c>
      <c r="F5" s="13">
        <f>Balance_Sheet!F37</f>
        <v>10026.947779708811</v>
      </c>
      <c r="G5" s="13">
        <f>Balance_Sheet!G37</f>
        <v>10418.633971659276</v>
      </c>
    </row>
    <row r="6" spans="2:15" ht="18.75" x14ac:dyDescent="0.25">
      <c r="B6" s="12" t="str">
        <f>Balance_Sheet!B33</f>
        <v>Total Current Liabilities</v>
      </c>
      <c r="C6" s="13">
        <f>Balance_Sheet!C33</f>
        <v>2319.5100000000002</v>
      </c>
      <c r="D6" s="13">
        <f>Balance_Sheet!D33</f>
        <v>2342.2199999999998</v>
      </c>
      <c r="E6" s="13">
        <f>Balance_Sheet!E33</f>
        <v>2945.44</v>
      </c>
      <c r="F6" s="13">
        <f>Balance_Sheet!F33</f>
        <v>2415.0299999999997</v>
      </c>
      <c r="G6" s="13">
        <f>Balance_Sheet!G33</f>
        <v>2151</v>
      </c>
    </row>
  </sheetData>
  <hyperlinks>
    <hyperlink ref="F1" location="Index_Data!A1" tooltip="Hi click here To return Index page" display="Index_Data!A1" xr:uid="{BCD32123-F388-47D0-AE87-8F202219B559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025F7-845C-4E1B-95AD-C9172394D49B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5" width="11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8162.04</v>
      </c>
      <c r="D5" s="13">
        <f>Balance_Sheet!D74</f>
        <v>8500.8750773682714</v>
      </c>
      <c r="E5" s="13">
        <f>Balance_Sheet!E74</f>
        <v>9519.6287764819408</v>
      </c>
      <c r="F5" s="13">
        <f>Balance_Sheet!F74</f>
        <v>10026.947779708811</v>
      </c>
      <c r="G5" s="13">
        <f>Balance_Sheet!G74</f>
        <v>10418.633971659276</v>
      </c>
    </row>
    <row r="6" spans="2:15" ht="18.75" x14ac:dyDescent="0.25">
      <c r="B6" s="12" t="str">
        <f>Balance_Sheet!B54</f>
        <v>Total Non Current Assets</v>
      </c>
      <c r="C6" s="13">
        <f>Balance_Sheet!C54</f>
        <v>4534.2299999999996</v>
      </c>
      <c r="D6" s="13">
        <f>Balance_Sheet!D54</f>
        <v>2971.5</v>
      </c>
      <c r="E6" s="13">
        <f>Balance_Sheet!E54</f>
        <v>3073.83</v>
      </c>
      <c r="F6" s="13">
        <f>Balance_Sheet!F54</f>
        <v>2406.15</v>
      </c>
      <c r="G6" s="13">
        <f>Balance_Sheet!G54</f>
        <v>3029.8</v>
      </c>
    </row>
  </sheetData>
  <hyperlinks>
    <hyperlink ref="F1" location="Index_Data!A1" tooltip="Hi click here To return Index page" display="Index_Data!A1" xr:uid="{5609CCA7-FFE8-4198-A51F-820267652DA8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B9541-BE1C-4184-8CB7-4936081F4871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5" width="11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8162.04</v>
      </c>
      <c r="D5" s="13">
        <f>Balance_Sheet!D74</f>
        <v>8500.8750773682714</v>
      </c>
      <c r="E5" s="13">
        <f>Balance_Sheet!E74</f>
        <v>9519.6287764819408</v>
      </c>
      <c r="F5" s="13">
        <f>Balance_Sheet!F74</f>
        <v>10026.947779708811</v>
      </c>
      <c r="G5" s="13">
        <f>Balance_Sheet!G74</f>
        <v>10418.633971659276</v>
      </c>
    </row>
    <row r="6" spans="2:15" ht="18.75" x14ac:dyDescent="0.25">
      <c r="B6" s="12" t="str">
        <f>Balance_Sheet!B72</f>
        <v>Total Current Assets</v>
      </c>
      <c r="C6" s="13">
        <f>Balance_Sheet!C72</f>
        <v>3627.8100000000004</v>
      </c>
      <c r="D6" s="13">
        <f>Balance_Sheet!D72</f>
        <v>5529.3750773682714</v>
      </c>
      <c r="E6" s="13">
        <f>Balance_Sheet!E72</f>
        <v>6445.7987764819409</v>
      </c>
      <c r="F6" s="13">
        <f>Balance_Sheet!F72</f>
        <v>7620.7977797088115</v>
      </c>
      <c r="G6" s="13">
        <f>Balance_Sheet!G72</f>
        <v>7388.8339716592754</v>
      </c>
    </row>
  </sheetData>
  <hyperlinks>
    <hyperlink ref="F1" location="Index_Data!A1" tooltip="Hi click here To return Index page" display="Index_Data!A1" xr:uid="{74E8C261-C4BC-4BBE-B3CF-5586990E640C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B133F-8FDB-466A-B74B-80C95B9B5549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3005.0699999999997</v>
      </c>
      <c r="D5" s="13">
        <f>Income_Statement!D25</f>
        <v>3088.34</v>
      </c>
      <c r="E5" s="13">
        <f>Income_Statement!E25</f>
        <v>2143.23</v>
      </c>
      <c r="F5" s="13">
        <f>Income_Statement!F25</f>
        <v>2318.27</v>
      </c>
      <c r="G5" s="13">
        <f>Income_Statement!G25</f>
        <v>2277</v>
      </c>
    </row>
    <row r="6" spans="2:15" ht="18.75" x14ac:dyDescent="0.25">
      <c r="B6" s="12" t="str">
        <f>Income_Statement!B15</f>
        <v>Total Income</v>
      </c>
      <c r="C6" s="13">
        <f>Income_Statement!C15</f>
        <v>4041.4306695883088</v>
      </c>
      <c r="D6" s="13">
        <f>Income_Statement!D15</f>
        <v>4161.9650773682715</v>
      </c>
      <c r="E6" s="13">
        <f>Income_Statement!E15</f>
        <v>2872.8536991136698</v>
      </c>
      <c r="F6" s="13">
        <f>Income_Statement!F15</f>
        <v>2832.5290032268699</v>
      </c>
      <c r="G6" s="13">
        <f>Income_Statement!G15</f>
        <v>3251.0061919504642</v>
      </c>
    </row>
  </sheetData>
  <hyperlinks>
    <hyperlink ref="F1" location="Index_Data!A1" tooltip="Hi click here To return Index page" display="Index_Data!A1" xr:uid="{55B8C2B8-8C48-488B-A807-002D11F2992B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3B045-A820-4568-B626-D87CA965461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5" width="10" bestFit="1" customWidth="1"/>
    <col min="6" max="6" width="11.5703125" bestFit="1" customWidth="1"/>
    <col min="7" max="7" width="10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247.4506695883091</v>
      </c>
      <c r="D5" s="13">
        <f>Income_Statement!D55</f>
        <v>726.3550773682714</v>
      </c>
      <c r="E5" s="13">
        <f>Income_Statement!E55</f>
        <v>433.83369911366981</v>
      </c>
      <c r="F5" s="13">
        <f>Income_Statement!F55</f>
        <v>1618.6090032268698</v>
      </c>
      <c r="G5" s="13">
        <f>Income_Statement!G55</f>
        <v>377.0061919504642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247.4506695883091</v>
      </c>
      <c r="D6" s="13">
        <f>Income_Statement!D49</f>
        <v>726.3550773682714</v>
      </c>
      <c r="E6" s="13">
        <f>Income_Statement!E49</f>
        <v>433.83369911366981</v>
      </c>
      <c r="F6" s="13">
        <f>Income_Statement!F49</f>
        <v>1618.6090032268698</v>
      </c>
      <c r="G6" s="13">
        <f>Income_Statement!G49</f>
        <v>377.0061919504642</v>
      </c>
    </row>
  </sheetData>
  <hyperlinks>
    <hyperlink ref="F1" location="Index_Data!A1" tooltip="Hi click here To return Index page" display="Index_Data!A1" xr:uid="{E78CD865-E92F-48D4-AA3A-DCE6383BC4D9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E1F33-9E35-4775-BAFC-64080AAF2067}">
  <dimension ref="B1:O40"/>
  <sheetViews>
    <sheetView showGridLines="0" workbookViewId="0"/>
  </sheetViews>
  <sheetFormatPr defaultRowHeight="15" x14ac:dyDescent="0.25"/>
  <cols>
    <col min="2" max="2" width="46" bestFit="1" customWidth="1"/>
    <col min="3" max="5" width="13.7109375" bestFit="1" customWidth="1"/>
    <col min="6" max="7" width="15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4">
        <v>55.32</v>
      </c>
      <c r="D5" s="4">
        <v>55.34</v>
      </c>
      <c r="E5" s="4">
        <v>55.37</v>
      </c>
      <c r="F5" s="4">
        <v>55.39</v>
      </c>
      <c r="G5" s="4">
        <v>72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6">
        <f>C5+C6</f>
        <v>55.32</v>
      </c>
      <c r="D7" s="6">
        <f t="shared" ref="D7:G7" si="0">D5+D6</f>
        <v>55.34</v>
      </c>
      <c r="E7" s="6">
        <f t="shared" si="0"/>
        <v>55.37</v>
      </c>
      <c r="F7" s="6">
        <f t="shared" si="0"/>
        <v>55.39</v>
      </c>
      <c r="G7" s="6">
        <f t="shared" si="0"/>
        <v>72</v>
      </c>
    </row>
    <row r="8" spans="2:15" ht="18.75" x14ac:dyDescent="0.25">
      <c r="B8" s="8" t="s">
        <v>7</v>
      </c>
      <c r="C8" s="5">
        <v>2796.83</v>
      </c>
      <c r="D8" s="5">
        <f>Income_Statement!D55+C8</f>
        <v>3523.1850773682713</v>
      </c>
      <c r="E8" s="5">
        <f>Income_Statement!E55+D8</f>
        <v>3957.0187764819411</v>
      </c>
      <c r="F8" s="5">
        <f>Income_Statement!F55+E8</f>
        <v>5575.6277797088114</v>
      </c>
      <c r="G8" s="5">
        <f>Income_Statement!G55+F8</f>
        <v>5952.6339716592756</v>
      </c>
    </row>
    <row r="9" spans="2:15" ht="18.75" x14ac:dyDescent="0.25">
      <c r="B9" s="9" t="s">
        <v>122</v>
      </c>
      <c r="C9" s="7">
        <f>C7+C8</f>
        <v>2852.15</v>
      </c>
      <c r="D9" s="7">
        <f t="shared" ref="D9:G9" si="1">D7+D8</f>
        <v>3578.5250773682715</v>
      </c>
      <c r="E9" s="7">
        <f t="shared" si="1"/>
        <v>4012.388776481941</v>
      </c>
      <c r="F9" s="7">
        <f t="shared" si="1"/>
        <v>5631.0177797088118</v>
      </c>
      <c r="G9" s="7">
        <f t="shared" si="1"/>
        <v>6024.6339716592756</v>
      </c>
    </row>
    <row r="10" spans="2:15" ht="18.75" x14ac:dyDescent="0.25">
      <c r="B10" s="8" t="s">
        <v>12</v>
      </c>
      <c r="C10" s="4">
        <v>2173.11</v>
      </c>
      <c r="D10" s="4">
        <v>1657.52</v>
      </c>
      <c r="E10" s="5">
        <v>1240.9000000000001</v>
      </c>
      <c r="F10" s="5">
        <v>502.85</v>
      </c>
      <c r="G10" s="5">
        <v>355</v>
      </c>
    </row>
    <row r="11" spans="2:15" ht="18.75" x14ac:dyDescent="0.25">
      <c r="B11" s="8" t="s">
        <v>13</v>
      </c>
      <c r="C11" s="4">
        <v>34.450000000000003</v>
      </c>
      <c r="D11" s="4">
        <v>31.07</v>
      </c>
      <c r="E11" s="4">
        <v>31.25</v>
      </c>
      <c r="F11" s="4">
        <v>28.45</v>
      </c>
      <c r="G11" s="4">
        <v>28</v>
      </c>
    </row>
    <row r="12" spans="2:15" ht="18.75" x14ac:dyDescent="0.25">
      <c r="B12" s="8" t="s">
        <v>18</v>
      </c>
      <c r="C12" s="5">
        <v>437.09</v>
      </c>
      <c r="D12" s="5">
        <v>561.71</v>
      </c>
      <c r="E12" s="4">
        <v>903.86</v>
      </c>
      <c r="F12" s="4">
        <v>1066.1099999999999</v>
      </c>
      <c r="G12" s="4">
        <v>1507</v>
      </c>
    </row>
    <row r="13" spans="2:15" ht="18.75" x14ac:dyDescent="0.25">
      <c r="B13" s="9" t="s">
        <v>123</v>
      </c>
      <c r="C13" s="7">
        <f>C10+C11+C12</f>
        <v>2644.65</v>
      </c>
      <c r="D13" s="7">
        <f t="shared" ref="D13:G13" si="2">D10+D11+D12</f>
        <v>2250.3000000000002</v>
      </c>
      <c r="E13" s="7">
        <f t="shared" si="2"/>
        <v>2176.0100000000002</v>
      </c>
      <c r="F13" s="7">
        <f t="shared" si="2"/>
        <v>1597.4099999999999</v>
      </c>
      <c r="G13" s="7">
        <f t="shared" si="2"/>
        <v>1890</v>
      </c>
    </row>
    <row r="14" spans="2:15" ht="18.75" x14ac:dyDescent="0.25">
      <c r="B14" s="8" t="s">
        <v>15</v>
      </c>
      <c r="C14" s="4">
        <v>64.89</v>
      </c>
      <c r="D14" s="4">
        <v>53.48</v>
      </c>
      <c r="E14" s="4">
        <v>45.6</v>
      </c>
      <c r="F14" s="4">
        <v>84.37</v>
      </c>
      <c r="G14" s="4">
        <v>32</v>
      </c>
    </row>
    <row r="15" spans="2:15" ht="18.75" x14ac:dyDescent="0.25">
      <c r="B15" s="8" t="s">
        <v>21</v>
      </c>
      <c r="C15" s="4">
        <v>44.58</v>
      </c>
      <c r="D15" s="4">
        <v>41.93</v>
      </c>
      <c r="E15" s="4">
        <v>117.28</v>
      </c>
      <c r="F15" s="4">
        <v>59.79</v>
      </c>
      <c r="G15" s="4">
        <v>37</v>
      </c>
    </row>
    <row r="16" spans="2:15" ht="18.75" x14ac:dyDescent="0.25">
      <c r="B16" s="8" t="s">
        <v>14</v>
      </c>
      <c r="C16" s="4">
        <v>0</v>
      </c>
      <c r="D16" s="4">
        <v>0</v>
      </c>
      <c r="E16" s="4">
        <v>306.52</v>
      </c>
      <c r="F16" s="4">
        <v>278.55</v>
      </c>
      <c r="G16" s="4">
        <v>419</v>
      </c>
    </row>
    <row r="17" spans="2:7" ht="18.75" x14ac:dyDescent="0.25">
      <c r="B17" s="8" t="s">
        <v>19</v>
      </c>
      <c r="C17" s="4">
        <v>601.78</v>
      </c>
      <c r="D17" s="4">
        <v>840.24</v>
      </c>
      <c r="E17" s="4">
        <v>895.27</v>
      </c>
      <c r="F17" s="4">
        <v>577.97</v>
      </c>
      <c r="G17" s="4">
        <v>921</v>
      </c>
    </row>
    <row r="18" spans="2:7" ht="18.75" x14ac:dyDescent="0.25">
      <c r="B18" s="8" t="s">
        <v>20</v>
      </c>
      <c r="C18" s="4">
        <v>1608.26</v>
      </c>
      <c r="D18" s="5">
        <v>1406.57</v>
      </c>
      <c r="E18" s="5">
        <v>1580.77</v>
      </c>
      <c r="F18" s="5">
        <v>1414.35</v>
      </c>
      <c r="G18" s="5">
        <v>742</v>
      </c>
    </row>
    <row r="19" spans="2:7" ht="18.75" x14ac:dyDescent="0.25">
      <c r="B19" s="9" t="s">
        <v>22</v>
      </c>
      <c r="C19" s="6">
        <f>C14+C15+C16+C17+C18</f>
        <v>2319.5100000000002</v>
      </c>
      <c r="D19" s="6">
        <f t="shared" ref="D19:G19" si="3">D14+D15+D16+D17+D18</f>
        <v>2342.2199999999998</v>
      </c>
      <c r="E19" s="6">
        <f t="shared" si="3"/>
        <v>2945.44</v>
      </c>
      <c r="F19" s="6">
        <f t="shared" si="3"/>
        <v>2415.0299999999997</v>
      </c>
      <c r="G19" s="6">
        <f t="shared" si="3"/>
        <v>2151</v>
      </c>
    </row>
    <row r="20" spans="2:7" ht="18.75" x14ac:dyDescent="0.25">
      <c r="B20" s="8" t="s">
        <v>10</v>
      </c>
      <c r="C20" s="4">
        <v>345.73</v>
      </c>
      <c r="D20" s="4">
        <v>329.83</v>
      </c>
      <c r="E20" s="4">
        <v>385.79</v>
      </c>
      <c r="F20" s="4">
        <v>383.49</v>
      </c>
      <c r="G20" s="4">
        <v>353</v>
      </c>
    </row>
    <row r="21" spans="2:7" ht="18.75" x14ac:dyDescent="0.25">
      <c r="B21" s="9" t="s">
        <v>124</v>
      </c>
      <c r="C21" s="7">
        <f>C9+C13+C19+C20</f>
        <v>8162.0400000000009</v>
      </c>
      <c r="D21" s="7">
        <f t="shared" ref="D21:G21" si="4">D9+D13+D19+D20</f>
        <v>8500.8750773682714</v>
      </c>
      <c r="E21" s="7">
        <f t="shared" si="4"/>
        <v>9519.6287764819426</v>
      </c>
      <c r="F21" s="7">
        <f t="shared" si="4"/>
        <v>10026.947779708811</v>
      </c>
      <c r="G21" s="7">
        <f t="shared" si="4"/>
        <v>10418.633971659276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1947.92</v>
      </c>
      <c r="D23" s="5">
        <v>2124.5</v>
      </c>
      <c r="E23" s="5">
        <v>2478.89</v>
      </c>
      <c r="F23" s="5">
        <v>2311.4499999999998</v>
      </c>
      <c r="G23" s="5">
        <v>3913</v>
      </c>
    </row>
    <row r="24" spans="2:7" ht="18.75" x14ac:dyDescent="0.25">
      <c r="B24" s="8" t="s">
        <v>27</v>
      </c>
      <c r="C24" s="4">
        <v>99.46</v>
      </c>
      <c r="D24" s="4">
        <v>112.87</v>
      </c>
      <c r="E24" s="4">
        <v>148.21</v>
      </c>
      <c r="F24" s="4">
        <v>127.63</v>
      </c>
      <c r="G24" s="4">
        <v>0</v>
      </c>
    </row>
    <row r="25" spans="2:7" ht="18.75" x14ac:dyDescent="0.25">
      <c r="B25" s="8" t="s">
        <v>125</v>
      </c>
      <c r="C25" s="4"/>
      <c r="D25" s="4">
        <f>Income_Statement!D31</f>
        <v>166.04</v>
      </c>
      <c r="E25" s="4">
        <f>Income_Statement!E31+D25</f>
        <v>390.17999999999995</v>
      </c>
      <c r="F25" s="4">
        <f>Income_Statement!F31+E25</f>
        <v>636.19999999999993</v>
      </c>
      <c r="G25" s="4">
        <f>Income_Statement!G31+F25</f>
        <v>883.19999999999993</v>
      </c>
    </row>
    <row r="26" spans="2:7" ht="18.75" x14ac:dyDescent="0.25">
      <c r="B26" s="9" t="s">
        <v>126</v>
      </c>
      <c r="C26" s="7">
        <f>C23+C24-C25</f>
        <v>2047.38</v>
      </c>
      <c r="D26" s="7">
        <f t="shared" ref="D26:G26" si="5">D23+D24-D25</f>
        <v>2071.33</v>
      </c>
      <c r="E26" s="7">
        <f t="shared" si="5"/>
        <v>2236.92</v>
      </c>
      <c r="F26" s="7">
        <f t="shared" si="5"/>
        <v>1802.88</v>
      </c>
      <c r="G26" s="7">
        <f t="shared" si="5"/>
        <v>3029.8</v>
      </c>
    </row>
    <row r="27" spans="2:7" ht="18.75" x14ac:dyDescent="0.25">
      <c r="B27" s="8" t="s">
        <v>30</v>
      </c>
      <c r="C27" s="4">
        <v>0.45</v>
      </c>
      <c r="D27" s="4">
        <v>0.45</v>
      </c>
      <c r="E27" s="4">
        <v>0.45</v>
      </c>
      <c r="F27" s="4">
        <v>0.45</v>
      </c>
      <c r="G27" s="4">
        <v>0</v>
      </c>
    </row>
    <row r="28" spans="2:7" ht="18.75" x14ac:dyDescent="0.25">
      <c r="B28" s="8" t="s">
        <v>36</v>
      </c>
      <c r="C28" s="4">
        <v>213.25</v>
      </c>
      <c r="D28" s="4">
        <v>0</v>
      </c>
      <c r="E28" s="4">
        <v>0</v>
      </c>
      <c r="F28" s="4">
        <v>0</v>
      </c>
      <c r="G28" s="4">
        <v>0</v>
      </c>
    </row>
    <row r="29" spans="2:7" ht="18.75" x14ac:dyDescent="0.25">
      <c r="B29" s="8" t="s">
        <v>28</v>
      </c>
      <c r="C29" s="4">
        <v>2273.15</v>
      </c>
      <c r="D29" s="4">
        <v>899.72</v>
      </c>
      <c r="E29" s="4">
        <v>836.46</v>
      </c>
      <c r="F29" s="4">
        <v>602.82000000000005</v>
      </c>
      <c r="G29" s="5">
        <v>0</v>
      </c>
    </row>
    <row r="30" spans="2:7" ht="18.75" x14ac:dyDescent="0.25">
      <c r="B30" s="9" t="s">
        <v>127</v>
      </c>
      <c r="C30" s="7">
        <f>C26+C27+C28+C29</f>
        <v>4534.2299999999996</v>
      </c>
      <c r="D30" s="7">
        <f t="shared" ref="D30:G30" si="6">D26+D27+D28+D29</f>
        <v>2971.5</v>
      </c>
      <c r="E30" s="7">
        <f t="shared" si="6"/>
        <v>3073.83</v>
      </c>
      <c r="F30" s="7">
        <f t="shared" si="6"/>
        <v>2406.15</v>
      </c>
      <c r="G30" s="7">
        <f t="shared" si="6"/>
        <v>3029.8</v>
      </c>
    </row>
    <row r="31" spans="2:7" ht="18.75" x14ac:dyDescent="0.25">
      <c r="B31" s="8" t="s">
        <v>31</v>
      </c>
      <c r="C31" s="4">
        <v>183.56</v>
      </c>
      <c r="D31" s="4">
        <v>273.27</v>
      </c>
      <c r="E31" s="4">
        <v>429.42</v>
      </c>
      <c r="F31" s="4">
        <v>397.5</v>
      </c>
      <c r="G31" s="4">
        <v>573</v>
      </c>
    </row>
    <row r="32" spans="2:7" ht="18.75" x14ac:dyDescent="0.25">
      <c r="B32" s="8" t="s">
        <v>32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2:7" ht="18.75" x14ac:dyDescent="0.25">
      <c r="B33" s="8" t="s">
        <v>33</v>
      </c>
      <c r="C33" s="4">
        <v>277.89999999999998</v>
      </c>
      <c r="D33" s="4">
        <v>252.53</v>
      </c>
      <c r="E33" s="4">
        <v>232.39</v>
      </c>
      <c r="F33" s="4">
        <v>228.3</v>
      </c>
      <c r="G33" s="4">
        <v>277</v>
      </c>
    </row>
    <row r="34" spans="2:7" ht="18.75" x14ac:dyDescent="0.25">
      <c r="B34" s="8" t="s">
        <v>40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</row>
    <row r="35" spans="2:7" ht="18.75" x14ac:dyDescent="0.25">
      <c r="B35" s="8" t="s">
        <v>41</v>
      </c>
      <c r="C35" s="4">
        <v>265.94</v>
      </c>
      <c r="D35" s="4">
        <v>272.74</v>
      </c>
      <c r="E35" s="4">
        <v>228.85</v>
      </c>
      <c r="F35" s="4">
        <v>416.06</v>
      </c>
      <c r="G35" s="4">
        <v>496</v>
      </c>
    </row>
    <row r="36" spans="2:7" ht="18.75" x14ac:dyDescent="0.25">
      <c r="B36" s="8" t="s">
        <v>37</v>
      </c>
      <c r="C36" s="4">
        <v>855.71</v>
      </c>
      <c r="D36" s="4">
        <v>819.36</v>
      </c>
      <c r="E36" s="4">
        <v>689.83</v>
      </c>
      <c r="F36" s="4">
        <v>798.88</v>
      </c>
      <c r="G36" s="4">
        <v>769</v>
      </c>
    </row>
    <row r="37" spans="2:7" ht="18.75" x14ac:dyDescent="0.25">
      <c r="B37" s="8" t="s">
        <v>38</v>
      </c>
      <c r="C37" s="4">
        <v>962.45</v>
      </c>
      <c r="D37" s="4">
        <v>1260.69</v>
      </c>
      <c r="E37" s="5">
        <v>1242.69</v>
      </c>
      <c r="F37" s="5">
        <v>917.65</v>
      </c>
      <c r="G37" s="4">
        <v>918</v>
      </c>
    </row>
    <row r="38" spans="2:7" ht="18.75" x14ac:dyDescent="0.25">
      <c r="B38" s="8" t="s">
        <v>39</v>
      </c>
      <c r="C38" s="4">
        <v>1082.25</v>
      </c>
      <c r="D38" s="5">
        <f>CashFlow_Statement!D48+C38</f>
        <v>2650.7850773682712</v>
      </c>
      <c r="E38" s="5">
        <f>CashFlow_Statement!E48+D38</f>
        <v>3622.618776481941</v>
      </c>
      <c r="F38" s="5">
        <f>CashFlow_Statement!F48+E38</f>
        <v>4862.4077797088112</v>
      </c>
      <c r="G38" s="5">
        <f>CashFlow_Statement!G48+F38</f>
        <v>4355.8339716592754</v>
      </c>
    </row>
    <row r="39" spans="2:7" ht="18.75" x14ac:dyDescent="0.25">
      <c r="B39" s="9" t="s">
        <v>42</v>
      </c>
      <c r="C39" s="6">
        <f>C31+C32+C33+C34+C35+C36+C37+C38</f>
        <v>3627.8100000000004</v>
      </c>
      <c r="D39" s="6">
        <f t="shared" ref="D39:G39" si="7">D31+D32+D33+D34+D35+D36+D37+D38</f>
        <v>5529.3750773682714</v>
      </c>
      <c r="E39" s="6">
        <f t="shared" si="7"/>
        <v>6445.7987764819409</v>
      </c>
      <c r="F39" s="6">
        <f t="shared" si="7"/>
        <v>7620.7977797088115</v>
      </c>
      <c r="G39" s="6">
        <f t="shared" si="7"/>
        <v>7388.8339716592754</v>
      </c>
    </row>
    <row r="40" spans="2:7" ht="18.75" x14ac:dyDescent="0.25">
      <c r="B40" s="9" t="s">
        <v>43</v>
      </c>
      <c r="C40" s="7">
        <f>C30+C39</f>
        <v>8162.04</v>
      </c>
      <c r="D40" s="7">
        <f t="shared" ref="D40:G40" si="8">D30+D39</f>
        <v>8500.8750773682714</v>
      </c>
      <c r="E40" s="7">
        <f t="shared" si="8"/>
        <v>9519.6287764819408</v>
      </c>
      <c r="F40" s="7">
        <f t="shared" si="8"/>
        <v>10026.947779708811</v>
      </c>
      <c r="G40" s="7">
        <f t="shared" si="8"/>
        <v>10418.633971659276</v>
      </c>
    </row>
  </sheetData>
  <mergeCells count="1">
    <mergeCell ref="B3:G3"/>
  </mergeCells>
  <hyperlinks>
    <hyperlink ref="F1" location="Index_Data!A1" tooltip="Hi click here To return Index page" display="Index_Data!A1" xr:uid="{2C539463-8397-4D9E-AA59-CE9EA2598ECA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2CF9-9C9E-415B-A719-CE745E1C6D18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5" width="19.85546875" bestFit="1" customWidth="1"/>
    <col min="6" max="6" width="18.85546875" bestFit="1" customWidth="1"/>
    <col min="7" max="7" width="13.71093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3920.17</v>
      </c>
      <c r="D5" s="5">
        <v>4139.9399999999996</v>
      </c>
      <c r="E5" s="5">
        <v>2833.03</v>
      </c>
      <c r="F5" s="5">
        <v>2699.21</v>
      </c>
      <c r="G5" s="5">
        <v>3230</v>
      </c>
    </row>
    <row r="6" spans="2:15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15" ht="18.75" x14ac:dyDescent="0.25">
      <c r="B7" s="9" t="s">
        <v>105</v>
      </c>
      <c r="C7" s="7">
        <f>C5 - C6</f>
        <v>3920.17</v>
      </c>
      <c r="D7" s="7">
        <f t="shared" ref="D7:G7" si="0">D5 - D6</f>
        <v>4139.9399999999996</v>
      </c>
      <c r="E7" s="7">
        <f t="shared" si="0"/>
        <v>2833.03</v>
      </c>
      <c r="F7" s="7">
        <f t="shared" si="0"/>
        <v>2699.21</v>
      </c>
      <c r="G7" s="7">
        <f t="shared" si="0"/>
        <v>3230</v>
      </c>
    </row>
    <row r="8" spans="2:15" ht="18.75" x14ac:dyDescent="0.25">
      <c r="B8" s="8" t="s">
        <v>59</v>
      </c>
      <c r="C8" s="4">
        <v>120.23</v>
      </c>
      <c r="D8" s="4">
        <v>21.02</v>
      </c>
      <c r="E8" s="4">
        <v>38.81</v>
      </c>
      <c r="F8" s="4">
        <v>132.27000000000001</v>
      </c>
      <c r="G8" s="4">
        <v>20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4040.4</v>
      </c>
      <c r="D10" s="7">
        <f t="shared" ref="D10:G10" si="1">SUM(D7:D9)</f>
        <v>4160.96</v>
      </c>
      <c r="E10" s="7">
        <f t="shared" si="1"/>
        <v>2871.84</v>
      </c>
      <c r="F10" s="7">
        <f t="shared" si="1"/>
        <v>2831.48</v>
      </c>
      <c r="G10" s="7">
        <f t="shared" si="1"/>
        <v>3250</v>
      </c>
    </row>
    <row r="11" spans="2:15" ht="18.75" x14ac:dyDescent="0.25">
      <c r="B11" s="8" t="s">
        <v>62</v>
      </c>
      <c r="C11" s="4">
        <v>867.53</v>
      </c>
      <c r="D11" s="4">
        <v>854.18</v>
      </c>
      <c r="E11" s="4">
        <v>621.72</v>
      </c>
      <c r="F11" s="4">
        <v>682.43</v>
      </c>
      <c r="G11" s="4">
        <v>612</v>
      </c>
    </row>
    <row r="12" spans="2:15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15" ht="18.75" x14ac:dyDescent="0.25">
      <c r="B13" s="8" t="s">
        <v>66</v>
      </c>
      <c r="C13" s="4">
        <v>937.06</v>
      </c>
      <c r="D13" s="4">
        <v>936.9</v>
      </c>
      <c r="E13" s="4">
        <v>743.33</v>
      </c>
      <c r="F13" s="4">
        <v>762.95</v>
      </c>
      <c r="G13" s="4">
        <v>749</v>
      </c>
    </row>
    <row r="14" spans="2:15" ht="18.75" x14ac:dyDescent="0.25">
      <c r="B14" s="8" t="s">
        <v>69</v>
      </c>
      <c r="C14" s="4">
        <v>1200.48</v>
      </c>
      <c r="D14" s="4">
        <v>1297.26</v>
      </c>
      <c r="E14" s="4">
        <v>778.18</v>
      </c>
      <c r="F14" s="5">
        <v>872.89</v>
      </c>
      <c r="G14" s="5">
        <v>916</v>
      </c>
    </row>
    <row r="15" spans="2:15" ht="18.75" x14ac:dyDescent="0.25">
      <c r="B15" s="9" t="s">
        <v>108</v>
      </c>
      <c r="C15" s="6">
        <f>C11+C12+C13+C14</f>
        <v>3005.0699999999997</v>
      </c>
      <c r="D15" s="6">
        <f t="shared" ref="D15:G15" si="2">D11+D12+D13+D14</f>
        <v>3088.34</v>
      </c>
      <c r="E15" s="6">
        <f t="shared" si="2"/>
        <v>2143.23</v>
      </c>
      <c r="F15" s="6">
        <f t="shared" si="2"/>
        <v>2318.27</v>
      </c>
      <c r="G15" s="6">
        <f t="shared" si="2"/>
        <v>2277</v>
      </c>
    </row>
    <row r="16" spans="2:15" ht="18.75" x14ac:dyDescent="0.25">
      <c r="B16" s="9" t="s">
        <v>109</v>
      </c>
      <c r="C16" s="7">
        <f xml:space="preserve"> C10-C15-C8</f>
        <v>915.10000000000036</v>
      </c>
      <c r="D16" s="7">
        <f t="shared" ref="D16:G16" si="3" xml:space="preserve"> D10-D15-D8</f>
        <v>1051.5999999999999</v>
      </c>
      <c r="E16" s="7">
        <f t="shared" si="3"/>
        <v>689.80000000000018</v>
      </c>
      <c r="F16" s="7">
        <f t="shared" si="3"/>
        <v>380.94000000000005</v>
      </c>
      <c r="G16" s="7">
        <f t="shared" si="3"/>
        <v>953</v>
      </c>
    </row>
    <row r="17" spans="2:7" ht="18.75" x14ac:dyDescent="0.25">
      <c r="B17" s="9" t="s">
        <v>110</v>
      </c>
      <c r="C17" s="7">
        <f xml:space="preserve"> C16+C8</f>
        <v>1035.3300000000004</v>
      </c>
      <c r="D17" s="7">
        <f t="shared" ref="D17:G17" si="4" xml:space="preserve"> D16+D8</f>
        <v>1072.6199999999999</v>
      </c>
      <c r="E17" s="7">
        <f t="shared" si="4"/>
        <v>728.61000000000013</v>
      </c>
      <c r="F17" s="7">
        <f t="shared" si="4"/>
        <v>513.21</v>
      </c>
      <c r="G17" s="7">
        <f t="shared" si="4"/>
        <v>973</v>
      </c>
    </row>
    <row r="18" spans="2:7" ht="18.75" x14ac:dyDescent="0.25">
      <c r="B18" s="8" t="s">
        <v>68</v>
      </c>
      <c r="C18" s="4">
        <v>149.53</v>
      </c>
      <c r="D18" s="4">
        <v>166.04</v>
      </c>
      <c r="E18" s="4">
        <v>224.14</v>
      </c>
      <c r="F18" s="4">
        <v>246.02</v>
      </c>
      <c r="G18" s="4">
        <v>247</v>
      </c>
    </row>
    <row r="19" spans="2:7" ht="18.75" x14ac:dyDescent="0.25">
      <c r="B19" s="9" t="s">
        <v>111</v>
      </c>
      <c r="C19" s="7">
        <f xml:space="preserve"> C17-C18</f>
        <v>885.80000000000041</v>
      </c>
      <c r="D19" s="7">
        <f t="shared" ref="D19:G19" si="5" xml:space="preserve"> D17-D18</f>
        <v>906.57999999999993</v>
      </c>
      <c r="E19" s="7">
        <f t="shared" si="5"/>
        <v>504.47000000000014</v>
      </c>
      <c r="F19" s="7">
        <f t="shared" si="5"/>
        <v>267.19000000000005</v>
      </c>
      <c r="G19" s="7">
        <f t="shared" si="5"/>
        <v>726</v>
      </c>
    </row>
    <row r="20" spans="2:7" ht="18.75" x14ac:dyDescent="0.25">
      <c r="B20" s="8" t="s">
        <v>67</v>
      </c>
      <c r="C20" s="4">
        <v>255.49</v>
      </c>
      <c r="D20" s="4">
        <v>264.89</v>
      </c>
      <c r="E20" s="4">
        <v>275.74</v>
      </c>
      <c r="F20" s="4">
        <v>249.08</v>
      </c>
      <c r="G20" s="4">
        <v>299</v>
      </c>
    </row>
    <row r="21" spans="2:7" ht="18.75" x14ac:dyDescent="0.25">
      <c r="B21" s="9" t="s">
        <v>112</v>
      </c>
      <c r="C21" s="7">
        <f xml:space="preserve"> C19-C20</f>
        <v>630.3100000000004</v>
      </c>
      <c r="D21" s="7">
        <f t="shared" ref="D21:G21" si="6" xml:space="preserve"> D19-D20</f>
        <v>641.68999999999994</v>
      </c>
      <c r="E21" s="7">
        <f t="shared" si="6"/>
        <v>228.73000000000013</v>
      </c>
      <c r="F21" s="7">
        <f t="shared" si="6"/>
        <v>18.110000000000042</v>
      </c>
      <c r="G21" s="7">
        <f t="shared" si="6"/>
        <v>427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630.3100000000004</v>
      </c>
      <c r="D23" s="7">
        <f t="shared" ref="D23:G23" si="7" xml:space="preserve"> D21+D22</f>
        <v>641.68999999999994</v>
      </c>
      <c r="E23" s="7">
        <f t="shared" si="7"/>
        <v>228.73000000000013</v>
      </c>
      <c r="F23" s="7">
        <f t="shared" si="7"/>
        <v>18.110000000000042</v>
      </c>
      <c r="G23" s="7">
        <f t="shared" si="7"/>
        <v>427</v>
      </c>
    </row>
    <row r="24" spans="2:7" ht="18.75" x14ac:dyDescent="0.25">
      <c r="B24" s="8" t="s">
        <v>72</v>
      </c>
      <c r="C24" s="4">
        <v>-358.19</v>
      </c>
      <c r="D24" s="5">
        <v>0</v>
      </c>
      <c r="E24" s="4">
        <v>0</v>
      </c>
      <c r="F24" s="4">
        <v>1327.84</v>
      </c>
      <c r="G24" s="4">
        <v>-183</v>
      </c>
    </row>
    <row r="25" spans="2:7" ht="18.75" x14ac:dyDescent="0.25">
      <c r="B25" s="9" t="s">
        <v>115</v>
      </c>
      <c r="C25" s="7">
        <f xml:space="preserve"> C23+C24</f>
        <v>272.1200000000004</v>
      </c>
      <c r="D25" s="7">
        <f t="shared" ref="D25:G25" si="8" xml:space="preserve"> D23+D24</f>
        <v>641.68999999999994</v>
      </c>
      <c r="E25" s="7">
        <f t="shared" si="8"/>
        <v>228.73000000000013</v>
      </c>
      <c r="F25" s="7">
        <f t="shared" si="8"/>
        <v>1345.95</v>
      </c>
      <c r="G25" s="7">
        <f t="shared" si="8"/>
        <v>244</v>
      </c>
    </row>
    <row r="26" spans="2:7" ht="18.75" x14ac:dyDescent="0.25">
      <c r="B26" s="8" t="s">
        <v>79</v>
      </c>
      <c r="C26" s="4">
        <v>25.7</v>
      </c>
      <c r="D26" s="4">
        <v>-83.66</v>
      </c>
      <c r="E26" s="4">
        <v>-204.09</v>
      </c>
      <c r="F26" s="4">
        <v>-271.61</v>
      </c>
      <c r="G26" s="4">
        <v>-132</v>
      </c>
    </row>
    <row r="27" spans="2:7" ht="18.75" x14ac:dyDescent="0.25">
      <c r="B27" s="9" t="s">
        <v>116</v>
      </c>
      <c r="C27" s="7">
        <f xml:space="preserve"> C25-C26</f>
        <v>246.42000000000041</v>
      </c>
      <c r="D27" s="7">
        <f t="shared" ref="D27:G27" si="9" xml:space="preserve"> D25-D26</f>
        <v>725.34999999999991</v>
      </c>
      <c r="E27" s="7">
        <f t="shared" si="9"/>
        <v>432.82000000000016</v>
      </c>
      <c r="F27" s="7">
        <f t="shared" si="9"/>
        <v>1617.56</v>
      </c>
      <c r="G27" s="7">
        <f t="shared" si="9"/>
        <v>376</v>
      </c>
    </row>
    <row r="28" spans="2:7" ht="18.75" x14ac:dyDescent="0.25">
      <c r="B28" s="8" t="s">
        <v>88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</row>
    <row r="29" spans="2:7" ht="18.75" x14ac:dyDescent="0.25">
      <c r="B29" s="8" t="s">
        <v>89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246.42000000000041</v>
      </c>
      <c r="D30" s="7">
        <f t="shared" ref="D30:G30" si="10" xml:space="preserve"> D27-D28-D29</f>
        <v>725.34999999999991</v>
      </c>
      <c r="E30" s="7">
        <f t="shared" si="10"/>
        <v>432.82000000000016</v>
      </c>
      <c r="F30" s="7">
        <f t="shared" si="10"/>
        <v>1617.56</v>
      </c>
      <c r="G30" s="7">
        <f t="shared" si="10"/>
        <v>376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-55</v>
      </c>
      <c r="D34" s="4">
        <v>-18</v>
      </c>
      <c r="E34" s="4">
        <v>-6</v>
      </c>
      <c r="F34" s="4">
        <v>62</v>
      </c>
      <c r="G34" s="4">
        <v>-20</v>
      </c>
    </row>
    <row r="35" spans="2:7" ht="18.75" x14ac:dyDescent="0.25">
      <c r="B35" s="8" t="s">
        <v>118</v>
      </c>
      <c r="C35" s="4">
        <f>C27/C34</f>
        <v>-4.4803636363636441</v>
      </c>
      <c r="D35" s="4">
        <f t="shared" ref="D35:G35" si="11">D27/D34</f>
        <v>-40.297222222222217</v>
      </c>
      <c r="E35" s="4">
        <f t="shared" si="11"/>
        <v>-72.136666666666699</v>
      </c>
      <c r="F35" s="4">
        <f t="shared" si="11"/>
        <v>26.089677419354839</v>
      </c>
      <c r="G35" s="4">
        <f t="shared" si="11"/>
        <v>-18.8</v>
      </c>
    </row>
  </sheetData>
  <mergeCells count="1">
    <mergeCell ref="B3:G3"/>
  </mergeCells>
  <hyperlinks>
    <hyperlink ref="F1" location="Index_Data!A1" tooltip="Hi click here To return Index page" display="Index_Data!A1" xr:uid="{170B0874-C444-4111-900A-C0F03EA6A4DC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3340A-BEC9-4BCA-B528-6A165210F251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3" width="13.7109375" bestFit="1" customWidth="1"/>
    <col min="4" max="5" width="20.42578125" bestFit="1" customWidth="1"/>
    <col min="6" max="6" width="18.7109375" bestFit="1" customWidth="1"/>
    <col min="7" max="12" width="20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4">
        <v>55.32</v>
      </c>
      <c r="D5" s="4">
        <v>55.34</v>
      </c>
      <c r="E5" s="4">
        <v>55.37</v>
      </c>
      <c r="F5" s="4">
        <v>55.39</v>
      </c>
      <c r="G5" s="4">
        <v>72</v>
      </c>
      <c r="H5" s="24">
        <f>G5</f>
        <v>72</v>
      </c>
      <c r="I5" s="24">
        <f t="shared" ref="I5:L5" si="0">H5</f>
        <v>72</v>
      </c>
      <c r="J5" s="24">
        <f t="shared" si="0"/>
        <v>72</v>
      </c>
      <c r="K5" s="24">
        <f t="shared" si="0"/>
        <v>72</v>
      </c>
      <c r="L5" s="24">
        <f t="shared" si="0"/>
        <v>72</v>
      </c>
    </row>
    <row r="6" spans="2:15" x14ac:dyDescent="0.25">
      <c r="B6" s="17" t="s">
        <v>203</v>
      </c>
      <c r="C6" s="18">
        <f>C5/Balance_Sheet!C74</f>
        <v>6.7777173353720391E-3</v>
      </c>
      <c r="D6" s="18">
        <f>D5/Balance_Sheet!D74</f>
        <v>6.5099180374183713E-3</v>
      </c>
      <c r="E6" s="18">
        <f>E5/Balance_Sheet!E74</f>
        <v>5.8164032758074051E-3</v>
      </c>
      <c r="F6" s="18">
        <f>F5/Balance_Sheet!F74</f>
        <v>5.5241137399848475E-3</v>
      </c>
      <c r="G6" s="18">
        <f>G5/Balance_Sheet!G74</f>
        <v>6.9106948373322359E-3</v>
      </c>
      <c r="H6" s="25">
        <f>G6</f>
        <v>6.9106948373322359E-3</v>
      </c>
      <c r="I6" s="25">
        <f t="shared" ref="I6:L6" si="1">H6</f>
        <v>6.9106948373322359E-3</v>
      </c>
      <c r="J6" s="25">
        <f t="shared" si="1"/>
        <v>6.9106948373322359E-3</v>
      </c>
      <c r="K6" s="25">
        <f t="shared" si="1"/>
        <v>6.9106948373322359E-3</v>
      </c>
      <c r="L6" s="25">
        <f t="shared" si="1"/>
        <v>6.9106948373322359E-3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4">
        <f>G7</f>
        <v>0</v>
      </c>
      <c r="I7" s="24">
        <f t="shared" ref="I7:L7" si="2">H7</f>
        <v>0</v>
      </c>
      <c r="J7" s="24">
        <f t="shared" si="2"/>
        <v>0</v>
      </c>
      <c r="K7" s="24">
        <f t="shared" si="2"/>
        <v>0</v>
      </c>
      <c r="L7" s="24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6">
        <f>C5+C7</f>
        <v>55.32</v>
      </c>
      <c r="D9" s="6">
        <f t="shared" ref="D9:L9" si="4">D5+D7</f>
        <v>55.34</v>
      </c>
      <c r="E9" s="6">
        <f t="shared" si="4"/>
        <v>55.37</v>
      </c>
      <c r="F9" s="6">
        <f t="shared" si="4"/>
        <v>55.39</v>
      </c>
      <c r="G9" s="6">
        <f t="shared" si="4"/>
        <v>72</v>
      </c>
      <c r="H9" s="26">
        <f t="shared" si="4"/>
        <v>72</v>
      </c>
      <c r="I9" s="26">
        <f t="shared" si="4"/>
        <v>72</v>
      </c>
      <c r="J9" s="26">
        <f t="shared" si="4"/>
        <v>72</v>
      </c>
      <c r="K9" s="26">
        <f t="shared" si="4"/>
        <v>72</v>
      </c>
      <c r="L9" s="26">
        <f t="shared" si="4"/>
        <v>72</v>
      </c>
    </row>
    <row r="10" spans="2:15" x14ac:dyDescent="0.25">
      <c r="B10" s="19" t="s">
        <v>205</v>
      </c>
      <c r="C10" s="20">
        <f>C9/Balance_Sheet!C74</f>
        <v>6.7777173353720391E-3</v>
      </c>
      <c r="D10" s="20">
        <f>D9/Balance_Sheet!D74</f>
        <v>6.5099180374183713E-3</v>
      </c>
      <c r="E10" s="20">
        <f>E9/Balance_Sheet!E74</f>
        <v>5.8164032758074051E-3</v>
      </c>
      <c r="F10" s="20">
        <f>F9/Balance_Sheet!F74</f>
        <v>5.5241137399848475E-3</v>
      </c>
      <c r="G10" s="20">
        <f>G9/Balance_Sheet!G74</f>
        <v>6.9106948373322359E-3</v>
      </c>
      <c r="H10" s="27">
        <f>H9/Balance_Sheet!H74</f>
        <v>6.374429814051708E-3</v>
      </c>
      <c r="I10" s="27">
        <f>I9/Balance_Sheet!I74</f>
        <v>5.9638661561309658E-3</v>
      </c>
      <c r="J10" s="27">
        <f>J9/Balance_Sheet!J74</f>
        <v>5.6682103395653766E-3</v>
      </c>
      <c r="K10" s="27">
        <f>K9/Balance_Sheet!K74</f>
        <v>5.3087382201990867E-3</v>
      </c>
      <c r="L10" s="27">
        <f>L9/Balance_Sheet!L74</f>
        <v>4.9609949413946253E-3</v>
      </c>
    </row>
    <row r="11" spans="2:15" ht="18.75" x14ac:dyDescent="0.25">
      <c r="B11" s="8" t="s">
        <v>7</v>
      </c>
      <c r="C11" s="5">
        <v>2796.83</v>
      </c>
      <c r="D11" s="5">
        <f>Income_Statement!D55+C11</f>
        <v>3523.1850773682713</v>
      </c>
      <c r="E11" s="5">
        <f>Income_Statement!E55+D11</f>
        <v>3957.0187764819411</v>
      </c>
      <c r="F11" s="5">
        <f>Income_Statement!F55+E11</f>
        <v>5575.6277797088114</v>
      </c>
      <c r="G11" s="5">
        <f>Income_Statement!G55+F11</f>
        <v>5952.6339716592756</v>
      </c>
      <c r="H11" s="28">
        <f>H74-H9-H21-H33-H35</f>
        <v>5281.4871703501522</v>
      </c>
      <c r="I11" s="28">
        <f t="shared" ref="I11:L11" si="5">I74-I9-I21-I33-I35</f>
        <v>5650.0295956417149</v>
      </c>
      <c r="J11" s="28">
        <f t="shared" si="5"/>
        <v>5948.4918237280599</v>
      </c>
      <c r="K11" s="28">
        <f t="shared" si="5"/>
        <v>6356.1615049805359</v>
      </c>
      <c r="L11" s="28">
        <f t="shared" si="5"/>
        <v>6806.7466795937207</v>
      </c>
    </row>
    <row r="12" spans="2:15" x14ac:dyDescent="0.25">
      <c r="B12" s="17" t="s">
        <v>206</v>
      </c>
      <c r="C12" s="18">
        <f>C11/Balance_Sheet!C74</f>
        <v>0.34266310873262074</v>
      </c>
      <c r="D12" s="18">
        <f>D11/Balance_Sheet!D74</f>
        <v>0.41444969433182055</v>
      </c>
      <c r="E12" s="18">
        <f>E11/Balance_Sheet!E74</f>
        <v>0.41566944146579327</v>
      </c>
      <c r="F12" s="18">
        <f>F11/Balance_Sheet!F74</f>
        <v>0.55606430812295815</v>
      </c>
      <c r="G12" s="18">
        <f>G11/Balance_Sheet!G74</f>
        <v>0.57134495633992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2852.15</v>
      </c>
      <c r="D13" s="7">
        <f t="shared" ref="D13:L13" si="6">D9+D11</f>
        <v>3578.5250773682715</v>
      </c>
      <c r="E13" s="7">
        <f t="shared" si="6"/>
        <v>4012.388776481941</v>
      </c>
      <c r="F13" s="7">
        <f t="shared" si="6"/>
        <v>5631.0177797088118</v>
      </c>
      <c r="G13" s="7">
        <f t="shared" si="6"/>
        <v>6024.6339716592756</v>
      </c>
      <c r="H13" s="29">
        <f t="shared" si="6"/>
        <v>5353.4871703501522</v>
      </c>
      <c r="I13" s="29">
        <f t="shared" si="6"/>
        <v>5722.0295956417149</v>
      </c>
      <c r="J13" s="29">
        <f t="shared" si="6"/>
        <v>6020.4918237280599</v>
      </c>
      <c r="K13" s="29">
        <f t="shared" si="6"/>
        <v>6428.1615049805359</v>
      </c>
      <c r="L13" s="29">
        <f t="shared" si="6"/>
        <v>6878.7466795937207</v>
      </c>
    </row>
    <row r="14" spans="2:15" x14ac:dyDescent="0.25">
      <c r="B14" s="19" t="s">
        <v>207</v>
      </c>
      <c r="C14" s="20">
        <f>C13/Balance_Sheet!C74</f>
        <v>0.34944082606799282</v>
      </c>
      <c r="D14" s="20">
        <f>D13/Balance_Sheet!D74</f>
        <v>0.4209596123692389</v>
      </c>
      <c r="E14" s="20">
        <f>E13/Balance_Sheet!E74</f>
        <v>0.42148584474160067</v>
      </c>
      <c r="F14" s="20">
        <f>F13/Balance_Sheet!F74</f>
        <v>0.561588421862943</v>
      </c>
      <c r="G14" s="20">
        <f>G13/Balance_Sheet!G74</f>
        <v>0.57825565117725219</v>
      </c>
      <c r="H14" s="27">
        <f>H13/Balance_Sheet!H74</f>
        <v>0.47396428094199061</v>
      </c>
      <c r="I14" s="27">
        <f>I13/Balance_Sheet!I74</f>
        <v>0.47396414791426916</v>
      </c>
      <c r="J14" s="27">
        <f>J13/Balance_Sheet!J74</f>
        <v>0.47396408339616941</v>
      </c>
      <c r="K14" s="27">
        <f>K13/Balance_Sheet!K74</f>
        <v>0.47396425926531466</v>
      </c>
      <c r="L14" s="27">
        <f>L13/Balance_Sheet!L74</f>
        <v>0.47396427056388224</v>
      </c>
    </row>
    <row r="15" spans="2:15" ht="18.75" x14ac:dyDescent="0.25">
      <c r="B15" s="8" t="s">
        <v>12</v>
      </c>
      <c r="C15" s="4">
        <v>2173.11</v>
      </c>
      <c r="D15" s="4">
        <v>1657.52</v>
      </c>
      <c r="E15" s="5">
        <v>1240.9000000000001</v>
      </c>
      <c r="F15" s="5">
        <v>502.85</v>
      </c>
      <c r="G15" s="5">
        <v>355</v>
      </c>
      <c r="H15" s="28">
        <f>ROUND(H74*H16,2)</f>
        <v>384.87</v>
      </c>
      <c r="I15" s="28">
        <f t="shared" ref="I15:L15" si="7">ROUND(I74*I16,2)</f>
        <v>411.36</v>
      </c>
      <c r="J15" s="28">
        <f t="shared" si="7"/>
        <v>432.82</v>
      </c>
      <c r="K15" s="28">
        <f t="shared" si="7"/>
        <v>462.12</v>
      </c>
      <c r="L15" s="28">
        <f t="shared" si="7"/>
        <v>494.52</v>
      </c>
    </row>
    <row r="16" spans="2:15" x14ac:dyDescent="0.25">
      <c r="B16" s="17" t="s">
        <v>208</v>
      </c>
      <c r="C16" s="18">
        <f>C15/Balance_Sheet!C74</f>
        <v>0.26624593851537115</v>
      </c>
      <c r="D16" s="18">
        <f>D15/Balance_Sheet!D74</f>
        <v>0.19498227946117994</v>
      </c>
      <c r="E16" s="18">
        <f>E15/Balance_Sheet!E74</f>
        <v>0.13035172159923081</v>
      </c>
      <c r="F16" s="18">
        <f>F15/Balance_Sheet!F74</f>
        <v>5.0149857269387622E-2</v>
      </c>
      <c r="G16" s="18">
        <f>G15/Balance_Sheet!G74</f>
        <v>3.407356482295755E-2</v>
      </c>
      <c r="H16" s="25">
        <f>G16</f>
        <v>3.407356482295755E-2</v>
      </c>
      <c r="I16" s="25">
        <f t="shared" ref="I16:L16" si="8">H16</f>
        <v>3.407356482295755E-2</v>
      </c>
      <c r="J16" s="25">
        <f t="shared" si="8"/>
        <v>3.407356482295755E-2</v>
      </c>
      <c r="K16" s="25">
        <f t="shared" si="8"/>
        <v>3.407356482295755E-2</v>
      </c>
      <c r="L16" s="25">
        <f t="shared" si="8"/>
        <v>3.407356482295755E-2</v>
      </c>
    </row>
    <row r="17" spans="2:12" ht="18.75" x14ac:dyDescent="0.25">
      <c r="B17" s="8" t="s">
        <v>13</v>
      </c>
      <c r="C17" s="4">
        <v>34.450000000000003</v>
      </c>
      <c r="D17" s="4">
        <v>31.07</v>
      </c>
      <c r="E17" s="4">
        <v>31.25</v>
      </c>
      <c r="F17" s="4">
        <v>28.45</v>
      </c>
      <c r="G17" s="4">
        <v>28</v>
      </c>
      <c r="H17" s="24">
        <f>H74*H18</f>
        <v>37.07841502752823</v>
      </c>
      <c r="I17" s="24">
        <f t="shared" ref="I17:L17" si="9">I74*I18</f>
        <v>39.630962201638738</v>
      </c>
      <c r="J17" s="24">
        <f t="shared" si="9"/>
        <v>41.698126930727454</v>
      </c>
      <c r="K17" s="24">
        <f t="shared" si="9"/>
        <v>44.521644203506263</v>
      </c>
      <c r="L17" s="24">
        <f t="shared" si="9"/>
        <v>47.642409839429412</v>
      </c>
    </row>
    <row r="18" spans="2:12" x14ac:dyDescent="0.25">
      <c r="B18" s="17" t="s">
        <v>209</v>
      </c>
      <c r="C18" s="18">
        <f>C17/Balance_Sheet!C74</f>
        <v>4.2207585358562325E-3</v>
      </c>
      <c r="D18" s="18">
        <f>D17/Balance_Sheet!D74</f>
        <v>3.6549178428368048E-3</v>
      </c>
      <c r="E18" s="18">
        <f>E17/Balance_Sheet!E74</f>
        <v>3.2826910306841504E-3</v>
      </c>
      <c r="F18" s="18">
        <f>F17/Balance_Sheet!F74</f>
        <v>2.8373539610501695E-3</v>
      </c>
      <c r="G18" s="18">
        <f>G17/Balance_Sheet!G74</f>
        <v>2.6874924367403137E-3</v>
      </c>
      <c r="H18" s="25">
        <f>MEDIAN(C18:G18)</f>
        <v>3.2826910306841504E-3</v>
      </c>
      <c r="I18" s="25">
        <f t="shared" ref="I18:L18" si="10">H18</f>
        <v>3.2826910306841504E-3</v>
      </c>
      <c r="J18" s="25">
        <f t="shared" si="10"/>
        <v>3.2826910306841504E-3</v>
      </c>
      <c r="K18" s="25">
        <f t="shared" si="10"/>
        <v>3.2826910306841504E-3</v>
      </c>
      <c r="L18" s="25">
        <f t="shared" si="10"/>
        <v>3.2826910306841504E-3</v>
      </c>
    </row>
    <row r="19" spans="2:12" ht="18.75" x14ac:dyDescent="0.25">
      <c r="B19" s="8" t="s">
        <v>18</v>
      </c>
      <c r="C19" s="5">
        <v>437.09</v>
      </c>
      <c r="D19" s="5">
        <v>561.71</v>
      </c>
      <c r="E19" s="4">
        <v>903.86</v>
      </c>
      <c r="F19" s="4">
        <v>1066.1099999999999</v>
      </c>
      <c r="G19" s="4">
        <v>1507</v>
      </c>
      <c r="H19" s="24">
        <f>ROUND(H74*H20,2)</f>
        <v>1633.78</v>
      </c>
      <c r="I19" s="24">
        <f t="shared" ref="I19:L19" si="11">ROUND(I74*I20,2)</f>
        <v>1746.25</v>
      </c>
      <c r="J19" s="24">
        <f t="shared" si="11"/>
        <v>1837.34</v>
      </c>
      <c r="K19" s="24">
        <f t="shared" si="11"/>
        <v>1961.75</v>
      </c>
      <c r="L19" s="24">
        <f t="shared" si="11"/>
        <v>2099.2600000000002</v>
      </c>
    </row>
    <row r="20" spans="2:12" x14ac:dyDescent="0.25">
      <c r="B20" s="17" t="s">
        <v>210</v>
      </c>
      <c r="C20" s="18">
        <f>C19/Balance_Sheet!C74</f>
        <v>5.3551563089619753E-2</v>
      </c>
      <c r="D20" s="18">
        <f>D19/Balance_Sheet!D74</f>
        <v>6.6076726794330923E-2</v>
      </c>
      <c r="E20" s="18">
        <f>E19/Balance_Sheet!E74</f>
        <v>9.4946979679813637E-2</v>
      </c>
      <c r="F20" s="18">
        <f>F19/Balance_Sheet!F74</f>
        <v>0.10632447913585927</v>
      </c>
      <c r="G20" s="18">
        <f>G19/Balance_Sheet!G74</f>
        <v>0.14464468222027332</v>
      </c>
      <c r="H20" s="25">
        <f>G20</f>
        <v>0.14464468222027332</v>
      </c>
      <c r="I20" s="25">
        <f t="shared" ref="I20:L20" si="12">H20</f>
        <v>0.14464468222027332</v>
      </c>
      <c r="J20" s="25">
        <f t="shared" si="12"/>
        <v>0.14464468222027332</v>
      </c>
      <c r="K20" s="25">
        <f t="shared" si="12"/>
        <v>0.14464468222027332</v>
      </c>
      <c r="L20" s="25">
        <f t="shared" si="12"/>
        <v>0.14464468222027332</v>
      </c>
    </row>
    <row r="21" spans="2:12" ht="18.75" x14ac:dyDescent="0.25">
      <c r="B21" s="9" t="s">
        <v>123</v>
      </c>
      <c r="C21" s="7">
        <f>C15+C17+C19</f>
        <v>2644.65</v>
      </c>
      <c r="D21" s="7">
        <f t="shared" ref="D21:G21" si="13">D15+D17+D19</f>
        <v>2250.3000000000002</v>
      </c>
      <c r="E21" s="7">
        <f t="shared" si="13"/>
        <v>2176.0100000000002</v>
      </c>
      <c r="F21" s="7">
        <f t="shared" si="13"/>
        <v>1597.4099999999999</v>
      </c>
      <c r="G21" s="7">
        <f t="shared" si="13"/>
        <v>1890</v>
      </c>
      <c r="H21" s="29">
        <f>ROUND(H74*H22,2)</f>
        <v>2049</v>
      </c>
      <c r="I21" s="29">
        <f t="shared" ref="I21:L21" si="14">ROUND(I74*I22,2)</f>
        <v>2190.06</v>
      </c>
      <c r="J21" s="29">
        <f t="shared" si="14"/>
        <v>2304.29</v>
      </c>
      <c r="K21" s="29">
        <f t="shared" si="14"/>
        <v>2460.3200000000002</v>
      </c>
      <c r="L21" s="29">
        <f t="shared" si="14"/>
        <v>2632.78</v>
      </c>
    </row>
    <row r="22" spans="2:12" x14ac:dyDescent="0.25">
      <c r="B22" s="19" t="s">
        <v>211</v>
      </c>
      <c r="C22" s="20">
        <f>C21/Balance_Sheet!C74</f>
        <v>0.32401826014084717</v>
      </c>
      <c r="D22" s="20">
        <f>D21/Balance_Sheet!D74</f>
        <v>0.26471392409834771</v>
      </c>
      <c r="E22" s="20">
        <f>E21/Balance_Sheet!E74</f>
        <v>0.2285813923097286</v>
      </c>
      <c r="F22" s="20">
        <f>F21/Balance_Sheet!F74</f>
        <v>0.15931169036629705</v>
      </c>
      <c r="G22" s="20">
        <f>G21/Balance_Sheet!G74</f>
        <v>0.18140573947997118</v>
      </c>
      <c r="H22" s="27">
        <f>G22</f>
        <v>0.18140573947997118</v>
      </c>
      <c r="I22" s="27">
        <f t="shared" ref="I22:L22" si="15">H22</f>
        <v>0.18140573947997118</v>
      </c>
      <c r="J22" s="27">
        <f t="shared" si="15"/>
        <v>0.18140573947997118</v>
      </c>
      <c r="K22" s="27">
        <f t="shared" si="15"/>
        <v>0.18140573947997118</v>
      </c>
      <c r="L22" s="27">
        <f t="shared" si="15"/>
        <v>0.18140573947997118</v>
      </c>
    </row>
    <row r="23" spans="2:12" ht="18.75" x14ac:dyDescent="0.25">
      <c r="B23" s="8" t="s">
        <v>15</v>
      </c>
      <c r="C23" s="4">
        <v>64.89</v>
      </c>
      <c r="D23" s="4">
        <v>53.48</v>
      </c>
      <c r="E23" s="4">
        <v>45.6</v>
      </c>
      <c r="F23" s="4">
        <v>84.37</v>
      </c>
      <c r="G23" s="4">
        <v>32</v>
      </c>
      <c r="H23" s="24">
        <f>H74*H24</f>
        <v>71.058971489955937</v>
      </c>
      <c r="I23" s="24">
        <f t="shared" ref="I23:L23" si="16">I74*I24</f>
        <v>75.950803482699499</v>
      </c>
      <c r="J23" s="24">
        <f t="shared" si="16"/>
        <v>79.912423725644103</v>
      </c>
      <c r="K23" s="24">
        <f t="shared" si="16"/>
        <v>85.323556678302097</v>
      </c>
      <c r="L23" s="24">
        <f t="shared" si="16"/>
        <v>91.304351601312078</v>
      </c>
    </row>
    <row r="24" spans="2:12" x14ac:dyDescent="0.25">
      <c r="B24" s="17" t="s">
        <v>212</v>
      </c>
      <c r="C24" s="18">
        <f>C23/Balance_Sheet!C74</f>
        <v>7.9502183277709981E-3</v>
      </c>
      <c r="D24" s="18">
        <f>D23/Balance_Sheet!D74</f>
        <v>6.2911170336309085E-3</v>
      </c>
      <c r="E24" s="18">
        <f>E23/Balance_Sheet!E74</f>
        <v>4.7901027519743128E-3</v>
      </c>
      <c r="F24" s="18">
        <f>F23/Balance_Sheet!F74</f>
        <v>8.4143252616450913E-3</v>
      </c>
      <c r="G24" s="18">
        <f>G23/Balance_Sheet!G74</f>
        <v>3.0714199277032156E-3</v>
      </c>
      <c r="H24" s="25">
        <f>MEDIAN(C24:G24)</f>
        <v>6.2911170336309085E-3</v>
      </c>
      <c r="I24" s="25">
        <f t="shared" ref="I24:L24" si="17">H24</f>
        <v>6.2911170336309085E-3</v>
      </c>
      <c r="J24" s="25">
        <f t="shared" si="17"/>
        <v>6.2911170336309085E-3</v>
      </c>
      <c r="K24" s="25">
        <f t="shared" si="17"/>
        <v>6.2911170336309085E-3</v>
      </c>
      <c r="L24" s="25">
        <f t="shared" si="17"/>
        <v>6.2911170336309085E-3</v>
      </c>
    </row>
    <row r="25" spans="2:12" ht="18.75" x14ac:dyDescent="0.25">
      <c r="B25" s="8" t="s">
        <v>21</v>
      </c>
      <c r="C25" s="4">
        <v>44.58</v>
      </c>
      <c r="D25" s="4">
        <v>41.93</v>
      </c>
      <c r="E25" s="4">
        <v>117.28</v>
      </c>
      <c r="F25" s="4">
        <v>59.79</v>
      </c>
      <c r="G25" s="4">
        <v>37</v>
      </c>
      <c r="H25" s="24">
        <f>H74*H26</f>
        <v>61.692518231623694</v>
      </c>
      <c r="I25" s="24">
        <f t="shared" ref="I25:L25" si="18">I74*I26</f>
        <v>65.939546130712131</v>
      </c>
      <c r="J25" s="24">
        <f t="shared" si="18"/>
        <v>69.378975719123432</v>
      </c>
      <c r="K25" s="24">
        <f t="shared" si="18"/>
        <v>74.076854274581819</v>
      </c>
      <c r="L25" s="24">
        <f t="shared" si="18"/>
        <v>79.269306291418971</v>
      </c>
    </row>
    <row r="26" spans="2:12" x14ac:dyDescent="0.25">
      <c r="B26" s="17" t="s">
        <v>213</v>
      </c>
      <c r="C26" s="18">
        <f>C25/Balance_Sheet!C74</f>
        <v>5.4618698266609813E-3</v>
      </c>
      <c r="D26" s="18">
        <f>D25/Balance_Sheet!D74</f>
        <v>4.9324333810797302E-3</v>
      </c>
      <c r="E26" s="18">
        <f>E25/Balance_Sheet!E74</f>
        <v>1.2319808130516389E-2</v>
      </c>
      <c r="F26" s="18">
        <f>F25/Balance_Sheet!F74</f>
        <v>5.9629312242948911E-3</v>
      </c>
      <c r="G26" s="18">
        <f>G25/Balance_Sheet!G74</f>
        <v>3.5513292914068433E-3</v>
      </c>
      <c r="H26" s="25">
        <f>MEDIAN(C26:G26)</f>
        <v>5.4618698266609813E-3</v>
      </c>
      <c r="I26" s="25">
        <f t="shared" ref="I26:L26" si="19">H26</f>
        <v>5.4618698266609813E-3</v>
      </c>
      <c r="J26" s="25">
        <f t="shared" si="19"/>
        <v>5.4618698266609813E-3</v>
      </c>
      <c r="K26" s="25">
        <f t="shared" si="19"/>
        <v>5.4618698266609813E-3</v>
      </c>
      <c r="L26" s="25">
        <f t="shared" si="19"/>
        <v>5.4618698266609813E-3</v>
      </c>
    </row>
    <row r="27" spans="2:12" ht="18.75" x14ac:dyDescent="0.25">
      <c r="B27" s="8" t="s">
        <v>14</v>
      </c>
      <c r="C27" s="4">
        <v>0</v>
      </c>
      <c r="D27" s="4">
        <v>0</v>
      </c>
      <c r="E27" s="4">
        <v>306.52</v>
      </c>
      <c r="F27" s="4">
        <v>278.55</v>
      </c>
      <c r="G27" s="4">
        <v>419</v>
      </c>
      <c r="H27" s="24">
        <f>ROUND(H74*H28,2)</f>
        <v>454.25</v>
      </c>
      <c r="I27" s="24">
        <f t="shared" ref="I27:L27" si="20">ROUND(I74*I28,2)</f>
        <v>485.52</v>
      </c>
      <c r="J27" s="24">
        <f t="shared" si="20"/>
        <v>510.85</v>
      </c>
      <c r="K27" s="24">
        <f t="shared" si="20"/>
        <v>545.44000000000005</v>
      </c>
      <c r="L27" s="24">
        <f t="shared" si="20"/>
        <v>583.66999999999996</v>
      </c>
    </row>
    <row r="28" spans="2:12" x14ac:dyDescent="0.25">
      <c r="B28" s="17" t="s">
        <v>214</v>
      </c>
      <c r="C28" s="18">
        <f>C27/Balance_Sheet!C74</f>
        <v>0</v>
      </c>
      <c r="D28" s="18">
        <f>D27/Balance_Sheet!D74</f>
        <v>0</v>
      </c>
      <c r="E28" s="18">
        <f>E27/Balance_Sheet!E74</f>
        <v>3.2198734551209786E-2</v>
      </c>
      <c r="F28" s="18">
        <f>F27/Balance_Sheet!F74</f>
        <v>2.77801386942188E-2</v>
      </c>
      <c r="G28" s="18">
        <f>G27/Balance_Sheet!G74</f>
        <v>4.021640467836398E-2</v>
      </c>
      <c r="H28" s="25">
        <f>G28</f>
        <v>4.021640467836398E-2</v>
      </c>
      <c r="I28" s="25">
        <f t="shared" ref="I28:L28" si="21">H28</f>
        <v>4.021640467836398E-2</v>
      </c>
      <c r="J28" s="25">
        <f t="shared" si="21"/>
        <v>4.021640467836398E-2</v>
      </c>
      <c r="K28" s="25">
        <f t="shared" si="21"/>
        <v>4.021640467836398E-2</v>
      </c>
      <c r="L28" s="25">
        <f t="shared" si="21"/>
        <v>4.021640467836398E-2</v>
      </c>
    </row>
    <row r="29" spans="2:12" ht="18.75" x14ac:dyDescent="0.25">
      <c r="B29" s="8" t="s">
        <v>19</v>
      </c>
      <c r="C29" s="4">
        <v>601.78</v>
      </c>
      <c r="D29" s="4">
        <v>840.24</v>
      </c>
      <c r="E29" s="4">
        <v>895.27</v>
      </c>
      <c r="F29" s="4">
        <v>577.97</v>
      </c>
      <c r="G29" s="4">
        <v>921</v>
      </c>
      <c r="H29" s="24">
        <f>H74*H30</f>
        <v>998.48145337683684</v>
      </c>
      <c r="I29" s="24">
        <f t="shared" ref="I29:L29" si="22">I74*I30</f>
        <v>1067.2187769740451</v>
      </c>
      <c r="J29" s="24">
        <f t="shared" si="22"/>
        <v>1122.8852784018284</v>
      </c>
      <c r="K29" s="24">
        <f t="shared" si="22"/>
        <v>1198.9195325107403</v>
      </c>
      <c r="L29" s="24">
        <f t="shared" si="22"/>
        <v>1282.9583622582254</v>
      </c>
    </row>
    <row r="30" spans="2:12" x14ac:dyDescent="0.25">
      <c r="B30" s="17" t="s">
        <v>215</v>
      </c>
      <c r="C30" s="18">
        <f>C29/Balance_Sheet!C74</f>
        <v>7.3729116740422734E-2</v>
      </c>
      <c r="D30" s="18">
        <f>D29/Balance_Sheet!D74</f>
        <v>9.8841588936762051E-2</v>
      </c>
      <c r="E30" s="18">
        <f>E29/Balance_Sheet!E74</f>
        <v>9.404463356929918E-2</v>
      </c>
      <c r="F30" s="18">
        <f>F29/Balance_Sheet!F74</f>
        <v>5.7641668501517279E-2</v>
      </c>
      <c r="G30" s="18">
        <f>G29/Balance_Sheet!G74</f>
        <v>8.8399304794208183E-2</v>
      </c>
      <c r="H30" s="25">
        <f>MEDIAN(C30:G30)</f>
        <v>8.8399304794208183E-2</v>
      </c>
      <c r="I30" s="25">
        <f t="shared" ref="I30:L30" si="23">H30</f>
        <v>8.8399304794208183E-2</v>
      </c>
      <c r="J30" s="25">
        <f t="shared" si="23"/>
        <v>8.8399304794208183E-2</v>
      </c>
      <c r="K30" s="25">
        <f t="shared" si="23"/>
        <v>8.8399304794208183E-2</v>
      </c>
      <c r="L30" s="25">
        <f t="shared" si="23"/>
        <v>8.8399304794208183E-2</v>
      </c>
    </row>
    <row r="31" spans="2:12" ht="18.75" x14ac:dyDescent="0.25">
      <c r="B31" s="8" t="s">
        <v>20</v>
      </c>
      <c r="C31" s="4">
        <v>1608.26</v>
      </c>
      <c r="D31" s="5">
        <v>1406.57</v>
      </c>
      <c r="E31" s="5">
        <v>1580.77</v>
      </c>
      <c r="F31" s="5">
        <v>1414.35</v>
      </c>
      <c r="G31" s="5">
        <v>742</v>
      </c>
      <c r="H31" s="28">
        <f>H74*H32</f>
        <v>1868.9120704679751</v>
      </c>
      <c r="I31" s="28">
        <f t="shared" ref="I31:L31" si="24">I74*I32</f>
        <v>1997.5714595112308</v>
      </c>
      <c r="J31" s="28">
        <f t="shared" si="24"/>
        <v>2101.7654794274349</v>
      </c>
      <c r="K31" s="28">
        <f t="shared" si="24"/>
        <v>2244.0829303851792</v>
      </c>
      <c r="L31" s="28">
        <f t="shared" si="24"/>
        <v>2401.3829811491682</v>
      </c>
    </row>
    <row r="32" spans="2:12" x14ac:dyDescent="0.25">
      <c r="B32" s="17" t="s">
        <v>216</v>
      </c>
      <c r="C32" s="18">
        <f>C31/Balance_Sheet!C74</f>
        <v>0.19704142591803028</v>
      </c>
      <c r="D32" s="18">
        <f>D31/Balance_Sheet!D74</f>
        <v>0.16546178919211343</v>
      </c>
      <c r="E32" s="18">
        <f>E31/Balance_Sheet!E74</f>
        <v>0.16605374401838671</v>
      </c>
      <c r="F32" s="18">
        <f>F31/Balance_Sheet!F74</f>
        <v>0.14105488839407054</v>
      </c>
      <c r="G32" s="18">
        <f>G31/Balance_Sheet!G74</f>
        <v>7.1218549573618312E-2</v>
      </c>
      <c r="H32" s="25">
        <f>MEDIAN(C32:G32)</f>
        <v>0.16546178919211343</v>
      </c>
      <c r="I32" s="25">
        <f t="shared" ref="I32:L32" si="25">H32</f>
        <v>0.16546178919211343</v>
      </c>
      <c r="J32" s="25">
        <f t="shared" si="25"/>
        <v>0.16546178919211343</v>
      </c>
      <c r="K32" s="25">
        <f t="shared" si="25"/>
        <v>0.16546178919211343</v>
      </c>
      <c r="L32" s="25">
        <f t="shared" si="25"/>
        <v>0.16546178919211343</v>
      </c>
    </row>
    <row r="33" spans="2:12" ht="18.75" x14ac:dyDescent="0.25">
      <c r="B33" s="9" t="s">
        <v>22</v>
      </c>
      <c r="C33" s="6">
        <f>C23+C25+C27+C29+C31</f>
        <v>2319.5100000000002</v>
      </c>
      <c r="D33" s="6">
        <f t="shared" ref="D33:L33" si="26">D23+D25+D27+D29+D31</f>
        <v>2342.2199999999998</v>
      </c>
      <c r="E33" s="6">
        <f t="shared" si="26"/>
        <v>2945.44</v>
      </c>
      <c r="F33" s="6">
        <f t="shared" si="26"/>
        <v>2415.0299999999997</v>
      </c>
      <c r="G33" s="6">
        <f t="shared" si="26"/>
        <v>2151</v>
      </c>
      <c r="H33" s="26">
        <f t="shared" si="26"/>
        <v>3454.3950135663918</v>
      </c>
      <c r="I33" s="26">
        <f t="shared" si="26"/>
        <v>3692.2005860986874</v>
      </c>
      <c r="J33" s="26">
        <f t="shared" si="26"/>
        <v>3884.7921572740306</v>
      </c>
      <c r="K33" s="26">
        <f t="shared" si="26"/>
        <v>4147.8428738488037</v>
      </c>
      <c r="L33" s="26">
        <f t="shared" si="26"/>
        <v>4438.5850013001245</v>
      </c>
    </row>
    <row r="34" spans="2:12" x14ac:dyDescent="0.25">
      <c r="B34" s="19" t="s">
        <v>217</v>
      </c>
      <c r="C34" s="20">
        <f>C33/Balance_Sheet!C74</f>
        <v>0.28418263081288503</v>
      </c>
      <c r="D34" s="20">
        <f>D33/Balance_Sheet!D74</f>
        <v>0.27552692854358612</v>
      </c>
      <c r="E34" s="20">
        <f>E33/Balance_Sheet!E74</f>
        <v>0.3094070230213864</v>
      </c>
      <c r="F34" s="20">
        <f>F33/Balance_Sheet!F74</f>
        <v>0.24085395207574659</v>
      </c>
      <c r="G34" s="20">
        <f>G33/Balance_Sheet!G74</f>
        <v>0.20645700826530053</v>
      </c>
      <c r="H34" s="27">
        <f>H33/Balance_Sheet!H74</f>
        <v>0.30583053561096057</v>
      </c>
      <c r="I34" s="27">
        <f>I33/Balance_Sheet!I74</f>
        <v>0.30583041829278995</v>
      </c>
      <c r="J34" s="27">
        <f>J33/Balance_Sheet!J74</f>
        <v>0.3058308204572659</v>
      </c>
      <c r="K34" s="27">
        <f>K33/Balance_Sheet!K74</f>
        <v>0.30583072216363283</v>
      </c>
      <c r="L34" s="27">
        <f>L33/Balance_Sheet!L74</f>
        <v>0.30583052414444406</v>
      </c>
    </row>
    <row r="35" spans="2:12" ht="18.75" x14ac:dyDescent="0.25">
      <c r="B35" s="8" t="s">
        <v>10</v>
      </c>
      <c r="C35" s="4">
        <v>345.73</v>
      </c>
      <c r="D35" s="4">
        <v>329.83</v>
      </c>
      <c r="E35" s="4">
        <v>385.79</v>
      </c>
      <c r="F35" s="4">
        <v>383.49</v>
      </c>
      <c r="G35" s="4">
        <v>353</v>
      </c>
      <c r="H35" s="24">
        <f>H74*H36</f>
        <v>438.24570992019756</v>
      </c>
      <c r="I35" s="24">
        <f t="shared" ref="I35:L35" si="27">I74*I36</f>
        <v>468.41536112002194</v>
      </c>
      <c r="J35" s="24">
        <f t="shared" si="27"/>
        <v>492.8480687627</v>
      </c>
      <c r="K35" s="24">
        <f t="shared" si="27"/>
        <v>526.2204319222958</v>
      </c>
      <c r="L35" s="24">
        <f t="shared" si="27"/>
        <v>563.10610113427003</v>
      </c>
    </row>
    <row r="36" spans="2:12" x14ac:dyDescent="0.25">
      <c r="B36" s="17" t="s">
        <v>218</v>
      </c>
      <c r="C36" s="18">
        <f>C35/Balance_Sheet!C74</f>
        <v>4.2358282978275041E-2</v>
      </c>
      <c r="D36" s="18">
        <f>D35/Balance_Sheet!D74</f>
        <v>3.8799534988827274E-2</v>
      </c>
      <c r="E36" s="18">
        <f>E35/Balance_Sheet!E74</f>
        <v>4.0525739927284428E-2</v>
      </c>
      <c r="F36" s="18">
        <f>F35/Balance_Sheet!F74</f>
        <v>3.824593569501334E-2</v>
      </c>
      <c r="G36" s="18">
        <f>G35/Balance_Sheet!G74</f>
        <v>3.3881601077476099E-2</v>
      </c>
      <c r="H36" s="25">
        <f>MEDIAN(C36:G36)</f>
        <v>3.8799534988827274E-2</v>
      </c>
      <c r="I36" s="25">
        <f t="shared" ref="I36:L36" si="28">H36</f>
        <v>3.8799534988827274E-2</v>
      </c>
      <c r="J36" s="25">
        <f t="shared" si="28"/>
        <v>3.8799534988827274E-2</v>
      </c>
      <c r="K36" s="25">
        <f t="shared" si="28"/>
        <v>3.8799534988827274E-2</v>
      </c>
      <c r="L36" s="25">
        <f t="shared" si="28"/>
        <v>3.8799534988827274E-2</v>
      </c>
    </row>
    <row r="37" spans="2:12" ht="18.75" x14ac:dyDescent="0.25">
      <c r="B37" s="9" t="s">
        <v>124</v>
      </c>
      <c r="C37" s="7">
        <f>C13+C21+C33+C35</f>
        <v>8162.0400000000009</v>
      </c>
      <c r="D37" s="7">
        <f t="shared" ref="D37:L37" si="29">D13+D21+D33+D35</f>
        <v>8500.8750773682714</v>
      </c>
      <c r="E37" s="7">
        <f t="shared" si="29"/>
        <v>9519.6287764819426</v>
      </c>
      <c r="F37" s="7">
        <f t="shared" si="29"/>
        <v>10026.947779708811</v>
      </c>
      <c r="G37" s="7">
        <f t="shared" si="29"/>
        <v>10418.633971659276</v>
      </c>
      <c r="H37" s="29">
        <f t="shared" si="29"/>
        <v>11295.127893836741</v>
      </c>
      <c r="I37" s="29">
        <f t="shared" si="29"/>
        <v>12072.705542860424</v>
      </c>
      <c r="J37" s="29">
        <f t="shared" si="29"/>
        <v>12702.422049764789</v>
      </c>
      <c r="K37" s="29">
        <f t="shared" si="29"/>
        <v>13562.544810751637</v>
      </c>
      <c r="L37" s="29">
        <f t="shared" si="29"/>
        <v>14513.217782028116</v>
      </c>
    </row>
    <row r="38" spans="2:12" x14ac:dyDescent="0.25">
      <c r="B38" s="19" t="s">
        <v>219</v>
      </c>
      <c r="C38" s="20">
        <f>C37/Balance_Sheet!C74</f>
        <v>1.0000000000000002</v>
      </c>
      <c r="D38" s="20">
        <f>D37/Balance_Sheet!D74</f>
        <v>1</v>
      </c>
      <c r="E38" s="20">
        <f>E37/Balance_Sheet!E74</f>
        <v>1.0000000000000002</v>
      </c>
      <c r="F38" s="20">
        <f>F37/Balance_Sheet!F74</f>
        <v>1</v>
      </c>
      <c r="G38" s="20">
        <f>G37/Balance_Sheet!G74</f>
        <v>1</v>
      </c>
      <c r="H38" s="27">
        <f>H37/Balance_Sheet!H74</f>
        <v>1</v>
      </c>
      <c r="I38" s="27">
        <f>I37/Balance_Sheet!I74</f>
        <v>1</v>
      </c>
      <c r="J38" s="27">
        <f>J37/Balance_Sheet!J74</f>
        <v>1</v>
      </c>
      <c r="K38" s="27">
        <f>K37/Balance_Sheet!K74</f>
        <v>1.0000000000000002</v>
      </c>
      <c r="L38" s="27">
        <f>L37/Balance_Sheet!L74</f>
        <v>1</v>
      </c>
    </row>
    <row r="39" spans="2:12" ht="18.75" x14ac:dyDescent="0.25">
      <c r="B39" s="8"/>
      <c r="C39" s="5"/>
      <c r="D39" s="4"/>
      <c r="E39" s="4"/>
      <c r="F39" s="4"/>
      <c r="G39" s="4"/>
      <c r="H39" s="24"/>
      <c r="I39" s="24"/>
      <c r="J39" s="24"/>
      <c r="K39" s="24"/>
      <c r="L39" s="24"/>
    </row>
    <row r="40" spans="2:12" ht="18.75" x14ac:dyDescent="0.25">
      <c r="B40" s="8" t="s">
        <v>26</v>
      </c>
      <c r="C40" s="5">
        <v>1947.92</v>
      </c>
      <c r="D40" s="5">
        <v>2124.5</v>
      </c>
      <c r="E40" s="5">
        <v>2478.89</v>
      </c>
      <c r="F40" s="5">
        <v>2311.4499999999998</v>
      </c>
      <c r="G40" s="5">
        <v>3913</v>
      </c>
      <c r="H40" s="28">
        <f>ROUND(H74*H41,2)</f>
        <v>4242.1899999999996</v>
      </c>
      <c r="I40" s="28">
        <f t="shared" ref="I40:L40" si="30">ROUND(I74*I41,2)</f>
        <v>4534.2299999999996</v>
      </c>
      <c r="J40" s="28">
        <f t="shared" si="30"/>
        <v>4770.74</v>
      </c>
      <c r="K40" s="28">
        <f t="shared" si="30"/>
        <v>5093.78</v>
      </c>
      <c r="L40" s="28">
        <f t="shared" si="30"/>
        <v>5450.83</v>
      </c>
    </row>
    <row r="41" spans="2:12" x14ac:dyDescent="0.25">
      <c r="B41" s="17" t="s">
        <v>220</v>
      </c>
      <c r="C41" s="18">
        <f>C40/Balance_Sheet!C74</f>
        <v>0.23865602226894259</v>
      </c>
      <c r="D41" s="18">
        <f>D40/Balance_Sheet!D74</f>
        <v>0.24991544760562576</v>
      </c>
      <c r="E41" s="18">
        <f>E40/Balance_Sheet!E74</f>
        <v>0.26039775900968426</v>
      </c>
      <c r="F41" s="18">
        <f>F40/Balance_Sheet!F74</f>
        <v>0.23052378957010244</v>
      </c>
      <c r="G41" s="18">
        <f>G40/Balance_Sheet!G74</f>
        <v>0.37557706803445884</v>
      </c>
      <c r="H41" s="25">
        <f>G41</f>
        <v>0.37557706803445884</v>
      </c>
      <c r="I41" s="25">
        <f t="shared" ref="I41:L41" si="31">H41</f>
        <v>0.37557706803445884</v>
      </c>
      <c r="J41" s="25">
        <f t="shared" si="31"/>
        <v>0.37557706803445884</v>
      </c>
      <c r="K41" s="25">
        <f t="shared" si="31"/>
        <v>0.37557706803445884</v>
      </c>
      <c r="L41" s="25">
        <f t="shared" si="31"/>
        <v>0.37557706803445884</v>
      </c>
    </row>
    <row r="42" spans="2:12" ht="18.75" x14ac:dyDescent="0.25">
      <c r="B42" s="8" t="s">
        <v>27</v>
      </c>
      <c r="C42" s="4">
        <v>99.46</v>
      </c>
      <c r="D42" s="4">
        <v>112.87</v>
      </c>
      <c r="E42" s="4">
        <v>148.21</v>
      </c>
      <c r="F42" s="4">
        <v>127.63</v>
      </c>
      <c r="G42" s="4">
        <v>0</v>
      </c>
      <c r="H42" s="24">
        <f>ROUND(H74*H43,2)</f>
        <v>0</v>
      </c>
      <c r="I42" s="24">
        <f t="shared" ref="I42:L42" si="32">ROUND(I74*I43,2)</f>
        <v>0</v>
      </c>
      <c r="J42" s="24">
        <f t="shared" si="32"/>
        <v>0</v>
      </c>
      <c r="K42" s="24">
        <f t="shared" si="32"/>
        <v>0</v>
      </c>
      <c r="L42" s="24">
        <f t="shared" si="32"/>
        <v>0</v>
      </c>
    </row>
    <row r="43" spans="2:12" x14ac:dyDescent="0.25">
      <c r="B43" s="17" t="s">
        <v>221</v>
      </c>
      <c r="C43" s="18">
        <f>C42/Balance_Sheet!C74</f>
        <v>1.218567907042847E-2</v>
      </c>
      <c r="D43" s="18">
        <f>D42/Balance_Sheet!D74</f>
        <v>1.3277456611554238E-2</v>
      </c>
      <c r="E43" s="18">
        <f>E42/Balance_Sheet!E74</f>
        <v>1.5568884405046335E-2</v>
      </c>
      <c r="F43" s="18">
        <f>F42/Balance_Sheet!F74</f>
        <v>1.2728698982384294E-2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4">
        <f>Income_Statement!D31</f>
        <v>166.04</v>
      </c>
      <c r="E44" s="4">
        <f>Income_Statement!E31+D44</f>
        <v>390.17999999999995</v>
      </c>
      <c r="F44" s="4">
        <f>Income_Statement!F31+E44</f>
        <v>636.19999999999993</v>
      </c>
      <c r="G44" s="4">
        <f>Income_Statement!G31+F44</f>
        <v>883.19999999999993</v>
      </c>
      <c r="H44" s="24">
        <f>Income_Statement!H31+G44</f>
        <v>1214.7477654036243</v>
      </c>
      <c r="I44" s="24">
        <f>Income_Statement!I31+H44</f>
        <v>1569.1198761120263</v>
      </c>
      <c r="J44" s="24">
        <f>Income_Statement!J31+I44</f>
        <v>1941.9763927512354</v>
      </c>
      <c r="K44" s="24">
        <f>Income_Statement!K31+J44</f>
        <v>2340.0800553542008</v>
      </c>
      <c r="L44" s="24">
        <f>Income_Statement!L31+K44</f>
        <v>2766.0889107084017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1.953210681122057E-2</v>
      </c>
      <c r="E45" s="18">
        <f>E44/Balance_Sheet!E74</f>
        <v>4.0986892363274935E-2</v>
      </c>
      <c r="F45" s="18">
        <f>F44/Balance_Sheet!F74</f>
        <v>6.3449018981374963E-2</v>
      </c>
      <c r="G45" s="18">
        <f>G44/Balance_Sheet!G74</f>
        <v>8.4771190004608754E-2</v>
      </c>
      <c r="H45" s="25">
        <f>H44/Balance_Sheet!H74</f>
        <v>0.10754617183807712</v>
      </c>
      <c r="I45" s="25">
        <f>I44/Balance_Sheet!I74</f>
        <v>0.129972512834124</v>
      </c>
      <c r="J45" s="25">
        <f>J44/Balance_Sheet!J74</f>
        <v>0.15288237039700589</v>
      </c>
      <c r="K45" s="25">
        <f>K44/Balance_Sheet!K74</f>
        <v>0.17253989483589502</v>
      </c>
      <c r="L45" s="25">
        <f>L44/Balance_Sheet!L74</f>
        <v>0.19059101518711319</v>
      </c>
    </row>
    <row r="46" spans="2:12" ht="18.75" x14ac:dyDescent="0.25">
      <c r="B46" s="9" t="s">
        <v>126</v>
      </c>
      <c r="C46" s="7">
        <f>C40+C42-C44</f>
        <v>2047.38</v>
      </c>
      <c r="D46" s="7">
        <f t="shared" ref="D46:L46" si="34">D40+D42-D44</f>
        <v>2071.33</v>
      </c>
      <c r="E46" s="7">
        <f t="shared" si="34"/>
        <v>2236.92</v>
      </c>
      <c r="F46" s="7">
        <f t="shared" si="34"/>
        <v>1802.88</v>
      </c>
      <c r="G46" s="7">
        <f t="shared" si="34"/>
        <v>3029.8</v>
      </c>
      <c r="H46" s="29">
        <f t="shared" si="34"/>
        <v>3027.4422345963753</v>
      </c>
      <c r="I46" s="29">
        <f t="shared" si="34"/>
        <v>2965.1101238879733</v>
      </c>
      <c r="J46" s="29">
        <f t="shared" si="34"/>
        <v>2828.7636072487644</v>
      </c>
      <c r="K46" s="29">
        <f t="shared" si="34"/>
        <v>2753.699944645799</v>
      </c>
      <c r="L46" s="29">
        <f t="shared" si="34"/>
        <v>2684.7410892915982</v>
      </c>
    </row>
    <row r="47" spans="2:12" x14ac:dyDescent="0.25">
      <c r="B47" s="19" t="s">
        <v>223</v>
      </c>
      <c r="C47" s="20">
        <f>C46/Balance_Sheet!C74</f>
        <v>0.25084170133937106</v>
      </c>
      <c r="D47" s="20">
        <f>D46/Balance_Sheet!D74</f>
        <v>0.24366079740595942</v>
      </c>
      <c r="E47" s="20">
        <f>E46/Balance_Sheet!E74</f>
        <v>0.23497975105145569</v>
      </c>
      <c r="F47" s="20">
        <f>F46/Balance_Sheet!F74</f>
        <v>0.17980346957111179</v>
      </c>
      <c r="G47" s="20">
        <f>G46/Balance_Sheet!G74</f>
        <v>0.29080587802985014</v>
      </c>
      <c r="H47" s="27">
        <f>H46/Balance_Sheet!H74</f>
        <v>0.26803080611847863</v>
      </c>
      <c r="I47" s="27">
        <f>I46/Balance_Sheet!I74</f>
        <v>0.24560444329245526</v>
      </c>
      <c r="J47" s="27">
        <f>J46/Balance_Sheet!J74</f>
        <v>0.22269482120546802</v>
      </c>
      <c r="K47" s="27">
        <f>K46/Balance_Sheet!K74</f>
        <v>0.20303711309862865</v>
      </c>
      <c r="L47" s="27">
        <f>L46/Balance_Sheet!L74</f>
        <v>0.18498593004069325</v>
      </c>
    </row>
    <row r="48" spans="2:12" ht="18.75" x14ac:dyDescent="0.25">
      <c r="B48" s="8" t="s">
        <v>30</v>
      </c>
      <c r="C48" s="4">
        <v>0.45</v>
      </c>
      <c r="D48" s="4">
        <v>0.45</v>
      </c>
      <c r="E48" s="4">
        <v>0.45</v>
      </c>
      <c r="F48" s="4">
        <v>0.45</v>
      </c>
      <c r="G48" s="4">
        <v>0</v>
      </c>
      <c r="H48" s="24">
        <f>H74*H49</f>
        <v>0.53392917639640647</v>
      </c>
      <c r="I48" s="24">
        <f t="shared" ref="I48:L48" si="35">I74*I49</f>
        <v>0.57068585570359787</v>
      </c>
      <c r="J48" s="24">
        <f t="shared" si="35"/>
        <v>0.60045302780247534</v>
      </c>
      <c r="K48" s="24">
        <f t="shared" si="35"/>
        <v>0.64111167653049017</v>
      </c>
      <c r="L48" s="24">
        <f t="shared" si="35"/>
        <v>0.68605070168778359</v>
      </c>
    </row>
    <row r="49" spans="2:12" x14ac:dyDescent="0.25">
      <c r="B49" s="17" t="s">
        <v>224</v>
      </c>
      <c r="C49" s="18">
        <f>C48/Balance_Sheet!C74</f>
        <v>5.5133275504653253E-5</v>
      </c>
      <c r="D49" s="18">
        <f>D48/Balance_Sheet!D74</f>
        <v>5.2935726722773166E-5</v>
      </c>
      <c r="E49" s="18">
        <f>E48/Balance_Sheet!E74</f>
        <v>4.7270750841851767E-5</v>
      </c>
      <c r="F49" s="18">
        <f>F48/Balance_Sheet!F74</f>
        <v>4.4879060895345395E-5</v>
      </c>
      <c r="G49" s="18">
        <f>G48/Balance_Sheet!G74</f>
        <v>0</v>
      </c>
      <c r="H49" s="25">
        <f>MEDIAN(C49:G49)</f>
        <v>4.7270750841851767E-5</v>
      </c>
      <c r="I49" s="25">
        <f t="shared" ref="I49:L49" si="36">H49</f>
        <v>4.7270750841851767E-5</v>
      </c>
      <c r="J49" s="25">
        <f t="shared" si="36"/>
        <v>4.7270750841851767E-5</v>
      </c>
      <c r="K49" s="25">
        <f t="shared" si="36"/>
        <v>4.7270750841851767E-5</v>
      </c>
      <c r="L49" s="25">
        <f t="shared" si="36"/>
        <v>4.7270750841851767E-5</v>
      </c>
    </row>
    <row r="50" spans="2:12" ht="18.75" x14ac:dyDescent="0.25">
      <c r="B50" s="8" t="s">
        <v>36</v>
      </c>
      <c r="C50" s="4">
        <v>213.25</v>
      </c>
      <c r="D50" s="4">
        <v>0</v>
      </c>
      <c r="E50" s="4">
        <v>0</v>
      </c>
      <c r="F50" s="4">
        <v>0</v>
      </c>
      <c r="G50" s="4">
        <v>0</v>
      </c>
      <c r="H50" s="24">
        <f>H74*H51</f>
        <v>0</v>
      </c>
      <c r="I50" s="24">
        <f t="shared" ref="I50:L50" si="37">I74*I51</f>
        <v>0</v>
      </c>
      <c r="J50" s="24">
        <f t="shared" si="37"/>
        <v>0</v>
      </c>
      <c r="K50" s="24">
        <f t="shared" si="37"/>
        <v>0</v>
      </c>
      <c r="L50" s="24">
        <f t="shared" si="37"/>
        <v>0</v>
      </c>
    </row>
    <row r="51" spans="2:12" x14ac:dyDescent="0.25">
      <c r="B51" s="17" t="s">
        <v>225</v>
      </c>
      <c r="C51" s="18">
        <f>C50/Balance_Sheet!C74</f>
        <v>2.6127046669705122E-2</v>
      </c>
      <c r="D51" s="18">
        <f>D50/Balance_Sheet!D74</f>
        <v>0</v>
      </c>
      <c r="E51" s="18">
        <f>E50/Balance_Sheet!E74</f>
        <v>0</v>
      </c>
      <c r="F51" s="18">
        <f>F50/Balance_Sheet!F74</f>
        <v>0</v>
      </c>
      <c r="G51" s="18">
        <f>G50/Balance_Sheet!G74</f>
        <v>0</v>
      </c>
      <c r="H51" s="25">
        <f>MEDIAN(C51:G51)</f>
        <v>0</v>
      </c>
      <c r="I51" s="25">
        <f t="shared" ref="I51:L51" si="38">H51</f>
        <v>0</v>
      </c>
      <c r="J51" s="25">
        <f t="shared" si="38"/>
        <v>0</v>
      </c>
      <c r="K51" s="25">
        <f t="shared" si="38"/>
        <v>0</v>
      </c>
      <c r="L51" s="25">
        <f t="shared" si="38"/>
        <v>0</v>
      </c>
    </row>
    <row r="52" spans="2:12" ht="18.75" x14ac:dyDescent="0.25">
      <c r="B52" s="8" t="s">
        <v>28</v>
      </c>
      <c r="C52" s="4">
        <v>2273.15</v>
      </c>
      <c r="D52" s="4">
        <v>899.72</v>
      </c>
      <c r="E52" s="4">
        <v>836.46</v>
      </c>
      <c r="F52" s="4">
        <v>602.82000000000005</v>
      </c>
      <c r="G52" s="5">
        <v>0</v>
      </c>
      <c r="H52" s="28">
        <f>H74*H53</f>
        <v>992.46755308564036</v>
      </c>
      <c r="I52" s="28">
        <f t="shared" ref="I52:L52" si="39">I74*I53</f>
        <v>1060.7908685818477</v>
      </c>
      <c r="J52" s="28">
        <f t="shared" si="39"/>
        <v>1116.1220880792412</v>
      </c>
      <c r="K52" s="28">
        <f t="shared" si="39"/>
        <v>1191.6983843348751</v>
      </c>
      <c r="L52" s="28">
        <f t="shared" si="39"/>
        <v>1275.2310442972521</v>
      </c>
    </row>
    <row r="53" spans="2:12" x14ac:dyDescent="0.25">
      <c r="B53" s="17" t="s">
        <v>226</v>
      </c>
      <c r="C53" s="18">
        <f>C52/Balance_Sheet!C74</f>
        <v>0.27850267825200564</v>
      </c>
      <c r="D53" s="18">
        <f>D52/Balance_Sheet!D74</f>
        <v>0.10583851566002994</v>
      </c>
      <c r="E53" s="18">
        <f>E52/Balance_Sheet!E74</f>
        <v>8.7866871664834062E-2</v>
      </c>
      <c r="F53" s="18">
        <f>F52/Balance_Sheet!F74</f>
        <v>6.0119989975404693E-2</v>
      </c>
      <c r="G53" s="18">
        <f>G52/Balance_Sheet!G74</f>
        <v>0</v>
      </c>
      <c r="H53" s="25">
        <f>MEDIAN(C53:G53)</f>
        <v>8.7866871664834062E-2</v>
      </c>
      <c r="I53" s="25">
        <f t="shared" ref="I53:L53" si="40">H53</f>
        <v>8.7866871664834062E-2</v>
      </c>
      <c r="J53" s="25">
        <f t="shared" si="40"/>
        <v>8.7866871664834062E-2</v>
      </c>
      <c r="K53" s="25">
        <f t="shared" si="40"/>
        <v>8.7866871664834062E-2</v>
      </c>
      <c r="L53" s="25">
        <f t="shared" si="40"/>
        <v>8.7866871664834062E-2</v>
      </c>
    </row>
    <row r="54" spans="2:12" ht="18.75" x14ac:dyDescent="0.25">
      <c r="B54" s="9" t="s">
        <v>127</v>
      </c>
      <c r="C54" s="7">
        <f>C46+C48+C50+C52</f>
        <v>4534.2299999999996</v>
      </c>
      <c r="D54" s="7">
        <f t="shared" ref="D54:L54" si="41">D46+D48+D50+D52</f>
        <v>2971.5</v>
      </c>
      <c r="E54" s="7">
        <f t="shared" si="41"/>
        <v>3073.83</v>
      </c>
      <c r="F54" s="7">
        <f t="shared" si="41"/>
        <v>2406.15</v>
      </c>
      <c r="G54" s="7">
        <f t="shared" si="41"/>
        <v>3029.8</v>
      </c>
      <c r="H54" s="29">
        <f t="shared" si="41"/>
        <v>4020.4437168584118</v>
      </c>
      <c r="I54" s="29">
        <f t="shared" si="41"/>
        <v>4026.4716783255244</v>
      </c>
      <c r="J54" s="29">
        <f t="shared" si="41"/>
        <v>3945.4861483558079</v>
      </c>
      <c r="K54" s="29">
        <f t="shared" si="41"/>
        <v>3946.0394406572041</v>
      </c>
      <c r="L54" s="29">
        <f t="shared" si="41"/>
        <v>3960.658184290538</v>
      </c>
    </row>
    <row r="55" spans="2:12" x14ac:dyDescent="0.25">
      <c r="B55" s="19" t="s">
        <v>227</v>
      </c>
      <c r="C55" s="20">
        <f>C54/Balance_Sheet!C74</f>
        <v>0.55552655953658636</v>
      </c>
      <c r="D55" s="20">
        <f>D54/Balance_Sheet!D74</f>
        <v>0.34955224879271213</v>
      </c>
      <c r="E55" s="20">
        <f>E54/Balance_Sheet!E74</f>
        <v>0.3228938934671316</v>
      </c>
      <c r="F55" s="20">
        <f>F54/Balance_Sheet!F74</f>
        <v>0.23996833860741182</v>
      </c>
      <c r="G55" s="20">
        <f>G54/Balance_Sheet!G74</f>
        <v>0.29080587802985014</v>
      </c>
      <c r="H55" s="27">
        <f>H54/Balance_Sheet!H74</f>
        <v>0.35594494853415448</v>
      </c>
      <c r="I55" s="27">
        <f>I54/Balance_Sheet!I74</f>
        <v>0.33351858570813114</v>
      </c>
      <c r="J55" s="27">
        <f>J54/Balance_Sheet!J74</f>
        <v>0.31060896362114393</v>
      </c>
      <c r="K55" s="27">
        <f>K54/Balance_Sheet!K74</f>
        <v>0.29095125551430456</v>
      </c>
      <c r="L55" s="27">
        <f>L54/Balance_Sheet!L74</f>
        <v>0.27290007245636916</v>
      </c>
    </row>
    <row r="56" spans="2:12" ht="18.75" x14ac:dyDescent="0.25">
      <c r="B56" s="8" t="s">
        <v>31</v>
      </c>
      <c r="C56" s="4">
        <v>183.56</v>
      </c>
      <c r="D56" s="4">
        <v>273.27</v>
      </c>
      <c r="E56" s="4">
        <v>429.42</v>
      </c>
      <c r="F56" s="4">
        <v>397.5</v>
      </c>
      <c r="G56" s="4">
        <v>573</v>
      </c>
      <c r="H56" s="24">
        <f>H74*H57</f>
        <v>447.77468043525522</v>
      </c>
      <c r="I56" s="24">
        <f t="shared" ref="I56:L56" si="42">I74*I57</f>
        <v>478.60032371948603</v>
      </c>
      <c r="J56" s="24">
        <f t="shared" si="42"/>
        <v>503.56428254263193</v>
      </c>
      <c r="K56" s="24">
        <f t="shared" si="42"/>
        <v>537.66227577085635</v>
      </c>
      <c r="L56" s="24">
        <f t="shared" si="42"/>
        <v>575.34996642056035</v>
      </c>
    </row>
    <row r="57" spans="2:12" x14ac:dyDescent="0.25">
      <c r="B57" s="17" t="s">
        <v>228</v>
      </c>
      <c r="C57" s="18">
        <f>C56/Balance_Sheet!C74</f>
        <v>2.2489475670298111E-2</v>
      </c>
      <c r="D57" s="18">
        <f>D56/Balance_Sheet!D74</f>
        <v>3.2146102314516048E-2</v>
      </c>
      <c r="E57" s="18">
        <f>E56/Balance_Sheet!E74</f>
        <v>4.5108901836684416E-2</v>
      </c>
      <c r="F57" s="18">
        <f>F56/Balance_Sheet!F74</f>
        <v>3.9643170457555096E-2</v>
      </c>
      <c r="G57" s="18">
        <f>G56/Balance_Sheet!G74</f>
        <v>5.4997613080435707E-2</v>
      </c>
      <c r="H57" s="25">
        <f>MEDIAN(C57:G57)</f>
        <v>3.9643170457555096E-2</v>
      </c>
      <c r="I57" s="25">
        <f t="shared" ref="I57:L57" si="43">H57</f>
        <v>3.9643170457555096E-2</v>
      </c>
      <c r="J57" s="25">
        <f t="shared" si="43"/>
        <v>3.9643170457555096E-2</v>
      </c>
      <c r="K57" s="25">
        <f t="shared" si="43"/>
        <v>3.9643170457555096E-2</v>
      </c>
      <c r="L57" s="25">
        <f t="shared" si="43"/>
        <v>3.9643170457555096E-2</v>
      </c>
    </row>
    <row r="58" spans="2:12" ht="18.75" x14ac:dyDescent="0.25">
      <c r="B58" s="8" t="s">
        <v>32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24">
        <f>ROUND(H74*H59,2)</f>
        <v>0</v>
      </c>
      <c r="I58" s="24">
        <f t="shared" ref="I58:L58" si="44">ROUND(I74*I59,2)</f>
        <v>0</v>
      </c>
      <c r="J58" s="24">
        <f t="shared" si="44"/>
        <v>0</v>
      </c>
      <c r="K58" s="24">
        <f t="shared" si="44"/>
        <v>0</v>
      </c>
      <c r="L58" s="24">
        <f t="shared" si="44"/>
        <v>0</v>
      </c>
    </row>
    <row r="59" spans="2:12" x14ac:dyDescent="0.25">
      <c r="B59" s="17" t="s">
        <v>229</v>
      </c>
      <c r="C59" s="18">
        <f>C58/Balance_Sheet!C74</f>
        <v>0</v>
      </c>
      <c r="D59" s="18">
        <f>D58/Balance_Sheet!D74</f>
        <v>0</v>
      </c>
      <c r="E59" s="18">
        <f>E58/Balance_Sheet!E74</f>
        <v>0</v>
      </c>
      <c r="F59" s="18">
        <f>F58/Balance_Sheet!F74</f>
        <v>0</v>
      </c>
      <c r="G59" s="18">
        <f>G58/Balance_Sheet!G74</f>
        <v>0</v>
      </c>
      <c r="H59" s="25">
        <f>G59</f>
        <v>0</v>
      </c>
      <c r="I59" s="25">
        <f t="shared" ref="I59:L59" si="45">H59</f>
        <v>0</v>
      </c>
      <c r="J59" s="25">
        <f t="shared" si="45"/>
        <v>0</v>
      </c>
      <c r="K59" s="25">
        <f t="shared" si="45"/>
        <v>0</v>
      </c>
      <c r="L59" s="25">
        <f t="shared" si="45"/>
        <v>0</v>
      </c>
    </row>
    <row r="60" spans="2:12" ht="18.75" x14ac:dyDescent="0.25">
      <c r="B60" s="8" t="s">
        <v>33</v>
      </c>
      <c r="C60" s="4">
        <v>277.89999999999998</v>
      </c>
      <c r="D60" s="4">
        <v>252.53</v>
      </c>
      <c r="E60" s="4">
        <v>232.39</v>
      </c>
      <c r="F60" s="4">
        <v>228.3</v>
      </c>
      <c r="G60" s="4">
        <v>277</v>
      </c>
      <c r="H60" s="24"/>
      <c r="I60" s="24"/>
      <c r="J60" s="24"/>
      <c r="K60" s="24"/>
      <c r="L60" s="24"/>
    </row>
    <row r="61" spans="2:12" x14ac:dyDescent="0.25">
      <c r="B61" s="17" t="s">
        <v>230</v>
      </c>
      <c r="C61" s="18">
        <f>C60/Balance_Sheet!C74</f>
        <v>3.4047860583873636E-2</v>
      </c>
      <c r="D61" s="18">
        <f>D60/Balance_Sheet!D74</f>
        <v>2.9706353487337571E-2</v>
      </c>
      <c r="E61" s="18">
        <f>E60/Balance_Sheet!E74</f>
        <v>2.4411666195862068E-2</v>
      </c>
      <c r="F61" s="18">
        <f>F60/Balance_Sheet!F74</f>
        <v>2.276864356090523E-2</v>
      </c>
      <c r="G61" s="18">
        <f>G60/Balance_Sheet!G74</f>
        <v>2.6586978749180961E-2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24">
        <f>ROUND(H74*H63,2)</f>
        <v>0</v>
      </c>
      <c r="I62" s="24">
        <f t="shared" ref="I62:L62" si="46">ROUND(I74*I63,2)</f>
        <v>0</v>
      </c>
      <c r="J62" s="24">
        <f t="shared" si="46"/>
        <v>0</v>
      </c>
      <c r="K62" s="24">
        <f t="shared" si="46"/>
        <v>0</v>
      </c>
      <c r="L62" s="24">
        <f t="shared" si="46"/>
        <v>0</v>
      </c>
    </row>
    <row r="63" spans="2:12" x14ac:dyDescent="0.25">
      <c r="B63" s="17" t="s">
        <v>231</v>
      </c>
      <c r="C63" s="18">
        <f>C62/Balance_Sheet!C74</f>
        <v>0</v>
      </c>
      <c r="D63" s="18">
        <f>D62/Balance_Sheet!D74</f>
        <v>0</v>
      </c>
      <c r="E63" s="18">
        <f>E62/Balance_Sheet!E74</f>
        <v>0</v>
      </c>
      <c r="F63" s="18">
        <f>F62/Balance_Sheet!F74</f>
        <v>0</v>
      </c>
      <c r="G63" s="18">
        <f>G62/Balance_Sheet!G74</f>
        <v>0</v>
      </c>
      <c r="H63" s="25">
        <f>G63</f>
        <v>0</v>
      </c>
      <c r="I63" s="25">
        <f t="shared" ref="I63:L63" si="47">H63</f>
        <v>0</v>
      </c>
      <c r="J63" s="25">
        <f t="shared" si="47"/>
        <v>0</v>
      </c>
      <c r="K63" s="25">
        <f t="shared" si="47"/>
        <v>0</v>
      </c>
      <c r="L63" s="25">
        <f t="shared" si="47"/>
        <v>0</v>
      </c>
    </row>
    <row r="64" spans="2:12" ht="18.75" x14ac:dyDescent="0.25">
      <c r="B64" s="8" t="s">
        <v>41</v>
      </c>
      <c r="C64" s="4">
        <v>265.94</v>
      </c>
      <c r="D64" s="4">
        <v>272.74</v>
      </c>
      <c r="E64" s="4">
        <v>228.85</v>
      </c>
      <c r="F64" s="4">
        <v>416.06</v>
      </c>
      <c r="G64" s="4">
        <v>496</v>
      </c>
      <c r="H64" s="24">
        <f>H74*H65</f>
        <v>368.02396362759106</v>
      </c>
      <c r="I64" s="24">
        <f t="shared" ref="I64:L64" si="48">I74*I65</f>
        <v>393.35941897715537</v>
      </c>
      <c r="J64" s="24">
        <f t="shared" si="48"/>
        <v>413.87718265463639</v>
      </c>
      <c r="K64" s="24">
        <f t="shared" si="48"/>
        <v>441.9021674693202</v>
      </c>
      <c r="L64" s="24">
        <f t="shared" si="48"/>
        <v>472.8775081906677</v>
      </c>
    </row>
    <row r="65" spans="2:12" x14ac:dyDescent="0.25">
      <c r="B65" s="17" t="s">
        <v>232</v>
      </c>
      <c r="C65" s="18">
        <f>C64/Balance_Sheet!C74</f>
        <v>3.2582540639349969E-2</v>
      </c>
      <c r="D65" s="18">
        <f>D64/Balance_Sheet!D74</f>
        <v>3.2083755791931449E-2</v>
      </c>
      <c r="E65" s="18">
        <f>E64/Balance_Sheet!E74</f>
        <v>2.4039802955906169E-2</v>
      </c>
      <c r="F65" s="18">
        <f>F64/Balance_Sheet!F74</f>
        <v>4.1494182391372009E-2</v>
      </c>
      <c r="G65" s="18">
        <f>G64/Balance_Sheet!G74</f>
        <v>4.7607008879399844E-2</v>
      </c>
      <c r="H65" s="25">
        <f>MEDIAN(C65:G65)</f>
        <v>3.2582540639349969E-2</v>
      </c>
      <c r="I65" s="25">
        <f t="shared" ref="I65:L65" si="49">H65</f>
        <v>3.2582540639349969E-2</v>
      </c>
      <c r="J65" s="25">
        <f t="shared" si="49"/>
        <v>3.2582540639349969E-2</v>
      </c>
      <c r="K65" s="25">
        <f t="shared" si="49"/>
        <v>3.2582540639349969E-2</v>
      </c>
      <c r="L65" s="25">
        <f t="shared" si="49"/>
        <v>3.2582540639349969E-2</v>
      </c>
    </row>
    <row r="66" spans="2:12" ht="18.75" x14ac:dyDescent="0.25">
      <c r="B66" s="8" t="s">
        <v>37</v>
      </c>
      <c r="C66" s="4">
        <v>855.71</v>
      </c>
      <c r="D66" s="4">
        <v>819.36</v>
      </c>
      <c r="E66" s="4">
        <v>689.83</v>
      </c>
      <c r="F66" s="4">
        <v>798.88</v>
      </c>
      <c r="G66" s="4">
        <v>769</v>
      </c>
      <c r="H66" s="24">
        <f>H74*H67</f>
        <v>899.92009234243187</v>
      </c>
      <c r="I66" s="24">
        <f t="shared" ref="I66:L66" si="50">I74*I67</f>
        <v>961.87226820886269</v>
      </c>
      <c r="J66" s="24">
        <f t="shared" si="50"/>
        <v>1012.0438592142334</v>
      </c>
      <c r="K66" s="24">
        <f t="shared" si="50"/>
        <v>1080.5726763970358</v>
      </c>
      <c r="L66" s="24">
        <f t="shared" si="50"/>
        <v>1156.3159274819047</v>
      </c>
    </row>
    <row r="67" spans="2:12" x14ac:dyDescent="0.25">
      <c r="B67" s="17" t="s">
        <v>233</v>
      </c>
      <c r="C67" s="18">
        <f>C66/Balance_Sheet!C74</f>
        <v>0.10484021151574852</v>
      </c>
      <c r="D67" s="18">
        <f>D66/Balance_Sheet!D74</f>
        <v>9.6385371216825375E-2</v>
      </c>
      <c r="E67" s="18">
        <f>E66/Balance_Sheet!E74</f>
        <v>7.2463960118299128E-2</v>
      </c>
      <c r="F67" s="18">
        <f>F66/Balance_Sheet!F74</f>
        <v>7.9673298151274496E-2</v>
      </c>
      <c r="G67" s="18">
        <f>G66/Balance_Sheet!G74</f>
        <v>7.38100601376179E-2</v>
      </c>
      <c r="H67" s="25">
        <f>MEDIAN(C67:G67)</f>
        <v>7.9673298151274496E-2</v>
      </c>
      <c r="I67" s="25">
        <f t="shared" ref="I67:L67" si="51">H67</f>
        <v>7.9673298151274496E-2</v>
      </c>
      <c r="J67" s="25">
        <f t="shared" si="51"/>
        <v>7.9673298151274496E-2</v>
      </c>
      <c r="K67" s="25">
        <f t="shared" si="51"/>
        <v>7.9673298151274496E-2</v>
      </c>
      <c r="L67" s="25">
        <f t="shared" si="51"/>
        <v>7.9673298151274496E-2</v>
      </c>
    </row>
    <row r="68" spans="2:12" ht="18.75" x14ac:dyDescent="0.25">
      <c r="B68" s="8" t="s">
        <v>38</v>
      </c>
      <c r="C68" s="4">
        <v>962.45</v>
      </c>
      <c r="D68" s="4">
        <v>1260.69</v>
      </c>
      <c r="E68" s="5">
        <v>1242.69</v>
      </c>
      <c r="F68" s="5">
        <v>917.65</v>
      </c>
      <c r="G68" s="4">
        <v>918</v>
      </c>
      <c r="H68" s="24">
        <f>H69*H74</f>
        <v>926.98592196660411</v>
      </c>
      <c r="I68" s="24">
        <f t="shared" ref="I68:L68" si="52">I69*I74</f>
        <v>990.80135997276909</v>
      </c>
      <c r="J68" s="24">
        <f t="shared" si="52"/>
        <v>1042.4819024346966</v>
      </c>
      <c r="K68" s="24">
        <f t="shared" si="52"/>
        <v>1113.0717796004892</v>
      </c>
      <c r="L68" s="24">
        <f t="shared" si="52"/>
        <v>1191.0930706430036</v>
      </c>
    </row>
    <row r="69" spans="2:12" x14ac:dyDescent="0.25">
      <c r="B69" s="17" t="s">
        <v>234</v>
      </c>
      <c r="C69" s="18">
        <f>C68/Balance_Sheet!C74</f>
        <v>0.11791782446545226</v>
      </c>
      <c r="D69" s="18">
        <f>D68/Balance_Sheet!D74</f>
        <v>0.14830120293807311</v>
      </c>
      <c r="E69" s="18">
        <f>E68/Balance_Sheet!E74</f>
        <v>0.13053975414146837</v>
      </c>
      <c r="F69" s="18">
        <f>F68/Balance_Sheet!F74</f>
        <v>9.1518378290252667E-2</v>
      </c>
      <c r="G69" s="18">
        <f>G68/Balance_Sheet!G74</f>
        <v>8.8111359175986004E-2</v>
      </c>
      <c r="H69" s="25">
        <f>GROWTH(C69:G69,C4:G4,H4)</f>
        <v>8.2069537474862939E-2</v>
      </c>
      <c r="I69" s="25">
        <f t="shared" ref="I69:L69" si="53">H69</f>
        <v>8.2069537474862939E-2</v>
      </c>
      <c r="J69" s="25">
        <f t="shared" si="53"/>
        <v>8.2069537474862939E-2</v>
      </c>
      <c r="K69" s="25">
        <f t="shared" si="53"/>
        <v>8.2069537474862939E-2</v>
      </c>
      <c r="L69" s="25">
        <f t="shared" si="53"/>
        <v>8.2069537474862939E-2</v>
      </c>
    </row>
    <row r="70" spans="2:12" ht="18.75" x14ac:dyDescent="0.25">
      <c r="B70" s="8" t="s">
        <v>39</v>
      </c>
      <c r="C70" s="4">
        <v>1082.25</v>
      </c>
      <c r="D70" s="5">
        <f>CashFlow_Statement!D48+C70</f>
        <v>2650.7850773682712</v>
      </c>
      <c r="E70" s="5">
        <f>CashFlow_Statement!E48+D70</f>
        <v>3622.618776481941</v>
      </c>
      <c r="F70" s="5">
        <f>CashFlow_Statement!F48+E70</f>
        <v>4862.4077797088112</v>
      </c>
      <c r="G70" s="5">
        <f>CashFlow_Statement!G48+F70</f>
        <v>4355.8339716592754</v>
      </c>
      <c r="H70" s="28">
        <f>CashFlow_Statement!H48+G70</f>
        <v>5243.1340861373437</v>
      </c>
      <c r="I70" s="28">
        <f>CashFlow_Statement!I48+H70</f>
        <v>5257.5368588951496</v>
      </c>
      <c r="J70" s="28">
        <f>CashFlow_Statement!J48+I70</f>
        <v>5277.561490508162</v>
      </c>
      <c r="K70" s="28">
        <f>CashFlow_Statement!K48+J70</f>
        <v>5150.7705332223932</v>
      </c>
      <c r="L70" s="28">
        <f>CashFlow_Statement!L48+K70</f>
        <v>4866.8281330765085</v>
      </c>
    </row>
    <row r="71" spans="2:12" x14ac:dyDescent="0.25">
      <c r="B71" s="17" t="s">
        <v>235</v>
      </c>
      <c r="C71" s="18">
        <f>C70/Balance_Sheet!C74</f>
        <v>0.13259552758869106</v>
      </c>
      <c r="D71" s="18">
        <f>D70/Balance_Sheet!D74</f>
        <v>0.31182496545860428</v>
      </c>
      <c r="E71" s="18">
        <f>E70/Balance_Sheet!E74</f>
        <v>0.38054202128464831</v>
      </c>
      <c r="F71" s="18">
        <f>F70/Balance_Sheet!F74</f>
        <v>0.48493398854122871</v>
      </c>
      <c r="G71" s="18">
        <f>G70/Balance_Sheet!G74</f>
        <v>0.41808110194752945</v>
      </c>
      <c r="H71" s="25">
        <f>H70/Balance_Sheet!H74</f>
        <v>0.46419430885756446</v>
      </c>
      <c r="I71" s="25">
        <f>I70/Balance_Sheet!I74</f>
        <v>0.43548952968577626</v>
      </c>
      <c r="J71" s="25">
        <f>J70/Balance_Sheet!J74</f>
        <v>0.415476786224867</v>
      </c>
      <c r="K71" s="25">
        <f>K70/Balance_Sheet!K74</f>
        <v>0.37977906101656878</v>
      </c>
      <c r="L71" s="25">
        <f>L70/Balance_Sheet!L74</f>
        <v>0.33533763540041117</v>
      </c>
    </row>
    <row r="72" spans="2:12" ht="18.75" x14ac:dyDescent="0.25">
      <c r="B72" s="9" t="s">
        <v>42</v>
      </c>
      <c r="C72" s="6">
        <f>C56+C58+C60+C62+C64+C66+C68+C70</f>
        <v>3627.8100000000004</v>
      </c>
      <c r="D72" s="6">
        <f t="shared" ref="D72:L72" si="54">D56+D58+D60+D62+D64+D66+D68+D70</f>
        <v>5529.3750773682714</v>
      </c>
      <c r="E72" s="6">
        <f t="shared" si="54"/>
        <v>6445.7987764819409</v>
      </c>
      <c r="F72" s="6">
        <f t="shared" si="54"/>
        <v>7620.7977797088115</v>
      </c>
      <c r="G72" s="6">
        <f t="shared" si="54"/>
        <v>7388.8339716592754</v>
      </c>
      <c r="H72" s="26">
        <f t="shared" si="54"/>
        <v>7885.8387445092258</v>
      </c>
      <c r="I72" s="26">
        <f t="shared" si="54"/>
        <v>8082.1702297734228</v>
      </c>
      <c r="J72" s="26">
        <f t="shared" si="54"/>
        <v>8249.5287173543602</v>
      </c>
      <c r="K72" s="26">
        <f t="shared" si="54"/>
        <v>8323.9794324600953</v>
      </c>
      <c r="L72" s="26">
        <f t="shared" si="54"/>
        <v>8262.4646058126455</v>
      </c>
    </row>
    <row r="73" spans="2:12" x14ac:dyDescent="0.25">
      <c r="B73" s="19" t="s">
        <v>236</v>
      </c>
      <c r="C73" s="20">
        <f>C72/Balance_Sheet!C74</f>
        <v>0.44447344046341358</v>
      </c>
      <c r="D73" s="20">
        <f>D72/Balance_Sheet!D74</f>
        <v>0.65044775120728782</v>
      </c>
      <c r="E73" s="20">
        <f>E72/Balance_Sheet!E74</f>
        <v>0.6771061065328684</v>
      </c>
      <c r="F73" s="20">
        <f>F72/Balance_Sheet!F74</f>
        <v>0.76003166139258826</v>
      </c>
      <c r="G73" s="20">
        <f>G72/Balance_Sheet!G74</f>
        <v>0.70919412197014986</v>
      </c>
      <c r="H73" s="27">
        <f>H72/Balance_Sheet!H74</f>
        <v>0.69816285558060698</v>
      </c>
      <c r="I73" s="27">
        <f>I72/Balance_Sheet!I74</f>
        <v>0.66945807640881871</v>
      </c>
      <c r="J73" s="27">
        <f>J72/Balance_Sheet!J74</f>
        <v>0.64944533294790951</v>
      </c>
      <c r="K73" s="27">
        <f>K72/Balance_Sheet!K74</f>
        <v>0.61374760773961134</v>
      </c>
      <c r="L73" s="27">
        <f>L72/Balance_Sheet!L74</f>
        <v>0.56930618212345374</v>
      </c>
    </row>
    <row r="74" spans="2:12" ht="18.75" x14ac:dyDescent="0.25">
      <c r="B74" s="9" t="s">
        <v>43</v>
      </c>
      <c r="C74" s="7">
        <f>C54+C72</f>
        <v>8162.04</v>
      </c>
      <c r="D74" s="7">
        <f t="shared" ref="D74:G74" si="55">D54+D72</f>
        <v>8500.8750773682714</v>
      </c>
      <c r="E74" s="7">
        <f t="shared" si="55"/>
        <v>9519.6287764819408</v>
      </c>
      <c r="F74" s="7">
        <f t="shared" si="55"/>
        <v>10026.947779708811</v>
      </c>
      <c r="G74" s="7">
        <f t="shared" si="55"/>
        <v>10418.633971659276</v>
      </c>
      <c r="H74" s="29">
        <f>Income_Statement!H5/H80</f>
        <v>11295.127893836741</v>
      </c>
      <c r="I74" s="29">
        <f>Income_Statement!I5/I80</f>
        <v>12072.705542860424</v>
      </c>
      <c r="J74" s="29">
        <f>Income_Statement!J5/J80</f>
        <v>12702.422049764789</v>
      </c>
      <c r="K74" s="29">
        <f>Income_Statement!K5/K80</f>
        <v>13562.544810751635</v>
      </c>
      <c r="L74" s="29">
        <f>Income_Statement!L5/L80</f>
        <v>14513.217782028116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7">
        <f>H74/Balance_Sheet!H74</f>
        <v>1</v>
      </c>
      <c r="I75" s="27">
        <f>I74/Balance_Sheet!I74</f>
        <v>1</v>
      </c>
      <c r="J75" s="27">
        <f>J74/Balance_Sheet!J74</f>
        <v>1</v>
      </c>
      <c r="K75" s="27">
        <f>K74/Balance_Sheet!K74</f>
        <v>1</v>
      </c>
      <c r="L75" s="27">
        <f>L74/Balance_Sheet!L74</f>
        <v>1</v>
      </c>
    </row>
    <row r="80" spans="2:12" x14ac:dyDescent="0.25">
      <c r="B80" t="s">
        <v>265</v>
      </c>
      <c r="C80">
        <f>Income_Statement!C5/C74</f>
        <v>0.48029291696683674</v>
      </c>
      <c r="D80">
        <f>Income_Statement!D5/D74</f>
        <v>0.48700162775261668</v>
      </c>
      <c r="E80">
        <f>Income_Statement!E5/E74</f>
        <v>0.29759878946109181</v>
      </c>
      <c r="F80">
        <f>Income_Statement!F5/F74</f>
        <v>0.26919557768738939</v>
      </c>
      <c r="G80">
        <f>Income_Statement!G5/G74</f>
        <v>0.31002144895254335</v>
      </c>
      <c r="H80">
        <f>GROWTH(C80:G80,C4:G4,H4)</f>
        <v>0.22988893687384662</v>
      </c>
      <c r="I80">
        <f t="shared" ref="I80:L80" si="56">GROWTH(D80:H80,D4:H4,I4)</f>
        <v>0.19886054779467507</v>
      </c>
      <c r="J80">
        <f t="shared" si="56"/>
        <v>0.19293767164171327</v>
      </c>
      <c r="K80">
        <f t="shared" si="56"/>
        <v>0.16933440809571643</v>
      </c>
      <c r="L80">
        <f t="shared" si="56"/>
        <v>0.14213659594443606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CFFCAB81-DB00-40A9-A42D-630740B33F45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1BFF7-EDB9-434C-BCA6-03E4E39D10A1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6" width="13.7109375" bestFit="1" customWidth="1"/>
    <col min="7" max="7" width="13.5703125" bestFit="1" customWidth="1"/>
    <col min="8" max="12" width="21.71093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143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642.69507736827143</v>
      </c>
      <c r="E5" s="5">
        <f>Income_Statement!E45</f>
        <v>229.74369911366978</v>
      </c>
      <c r="F5" s="5">
        <f>Income_Statement!F45</f>
        <v>1346.9990032268699</v>
      </c>
      <c r="G5" s="5">
        <f>Income_Statement!G45</f>
        <v>245.0061919504642</v>
      </c>
      <c r="H5" s="28">
        <f>Income_Statement!H45</f>
        <v>-43.359956513685717</v>
      </c>
      <c r="I5" s="28">
        <f>Income_Statement!I45</f>
        <v>-134.60713122145944</v>
      </c>
      <c r="J5" s="28">
        <f>Income_Statement!J45</f>
        <v>-159.39339731720852</v>
      </c>
      <c r="K5" s="28">
        <f>Income_Statement!K45</f>
        <v>-245.62123034807786</v>
      </c>
      <c r="L5" s="28">
        <f>Income_Statement!L45</f>
        <v>-355.8410482304073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4"/>
      <c r="I6" s="24"/>
      <c r="J6" s="24"/>
      <c r="K6" s="24"/>
      <c r="L6" s="24"/>
    </row>
    <row r="7" spans="2:15" ht="18.75" x14ac:dyDescent="0.25">
      <c r="B7" s="8" t="s">
        <v>125</v>
      </c>
      <c r="C7" s="4"/>
      <c r="D7" s="4">
        <f>Income_Statement!D31</f>
        <v>166.04</v>
      </c>
      <c r="E7" s="4">
        <f>Income_Statement!E31</f>
        <v>224.14</v>
      </c>
      <c r="F7" s="4">
        <f>Income_Statement!F31</f>
        <v>246.02</v>
      </c>
      <c r="G7" s="4">
        <f>Income_Statement!G31</f>
        <v>247</v>
      </c>
      <c r="H7" s="24">
        <f>Income_Statement!H31</f>
        <v>331.54776540362434</v>
      </c>
      <c r="I7" s="24">
        <f>Income_Statement!I31</f>
        <v>354.37211070840192</v>
      </c>
      <c r="J7" s="24">
        <f>Income_Statement!J31</f>
        <v>372.85651663920919</v>
      </c>
      <c r="K7" s="24">
        <f>Income_Statement!K31</f>
        <v>398.10366260296541</v>
      </c>
      <c r="L7" s="24">
        <f>Income_Statement!L31</f>
        <v>426.00885535420099</v>
      </c>
    </row>
    <row r="8" spans="2:15" ht="18.75" x14ac:dyDescent="0.25">
      <c r="B8" s="8" t="s">
        <v>131</v>
      </c>
      <c r="C8" s="4"/>
      <c r="D8" s="4">
        <f>Income_Statement!D35</f>
        <v>264.89</v>
      </c>
      <c r="E8" s="4">
        <f>Income_Statement!E35</f>
        <v>275.74</v>
      </c>
      <c r="F8" s="4">
        <f>Income_Statement!F35</f>
        <v>249.08</v>
      </c>
      <c r="G8" s="4">
        <f>Income_Statement!G35</f>
        <v>299</v>
      </c>
      <c r="H8" s="24">
        <f>Income_Statement!H35</f>
        <v>324.15396825396823</v>
      </c>
      <c r="I8" s="24">
        <f>Income_Statement!I35</f>
        <v>346.46980952380954</v>
      </c>
      <c r="J8" s="24">
        <f>Income_Statement!J35</f>
        <v>364.54111640211642</v>
      </c>
      <c r="K8" s="24">
        <f>Income_Statement!K35</f>
        <v>389.22522751322754</v>
      </c>
      <c r="L8" s="24">
        <f>Income_Statement!L35</f>
        <v>416.50858201058207</v>
      </c>
    </row>
    <row r="9" spans="2:15" ht="18.75" x14ac:dyDescent="0.25">
      <c r="B9" s="8" t="s">
        <v>59</v>
      </c>
      <c r="C9" s="4"/>
      <c r="D9" s="4">
        <f>Income_Statement!D11</f>
        <v>21.02</v>
      </c>
      <c r="E9" s="4">
        <f>Income_Statement!E11</f>
        <v>38.81</v>
      </c>
      <c r="F9" s="4">
        <f>Income_Statement!F11</f>
        <v>132.27000000000001</v>
      </c>
      <c r="G9" s="4">
        <f>Income_Statement!G11</f>
        <v>20</v>
      </c>
      <c r="H9" s="24">
        <f>Income_Statement!H11</f>
        <v>35.571460257082386</v>
      </c>
      <c r="I9" s="24">
        <f>Income_Statement!I11</f>
        <v>32.888624387287493</v>
      </c>
      <c r="J9" s="24">
        <f>Income_Statement!J11</f>
        <v>33.573455366033414</v>
      </c>
      <c r="K9" s="24">
        <f>Income_Statement!K11</f>
        <v>31.461459769091054</v>
      </c>
      <c r="L9" s="24">
        <f>Income_Statement!L11</f>
        <v>28.259345018281305</v>
      </c>
    </row>
    <row r="10" spans="2:15" ht="18.75" x14ac:dyDescent="0.25">
      <c r="B10" s="9" t="s">
        <v>132</v>
      </c>
      <c r="C10" s="6"/>
      <c r="D10" s="6">
        <f>D7+D8-D9</f>
        <v>409.90999999999997</v>
      </c>
      <c r="E10" s="6">
        <f t="shared" ref="E10:L10" si="0">E7+E8-E9</f>
        <v>461.07</v>
      </c>
      <c r="F10" s="6">
        <f t="shared" si="0"/>
        <v>362.83000000000004</v>
      </c>
      <c r="G10" s="6">
        <f t="shared" si="0"/>
        <v>526</v>
      </c>
      <c r="H10" s="26">
        <f t="shared" si="0"/>
        <v>620.13027340051008</v>
      </c>
      <c r="I10" s="26">
        <f t="shared" si="0"/>
        <v>667.95329584492401</v>
      </c>
      <c r="J10" s="26">
        <f t="shared" si="0"/>
        <v>703.82417767529228</v>
      </c>
      <c r="K10" s="26">
        <f t="shared" si="0"/>
        <v>755.86743034710184</v>
      </c>
      <c r="L10" s="26">
        <f t="shared" si="0"/>
        <v>814.25809234650171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4"/>
      <c r="I11" s="24"/>
      <c r="J11" s="24"/>
      <c r="K11" s="24"/>
      <c r="L11" s="24"/>
    </row>
    <row r="12" spans="2:15" ht="18.75" x14ac:dyDescent="0.25">
      <c r="B12" s="8" t="str">
        <f>Balance_Sheet!B56</f>
        <v>Deferred Tax Assets [Net]</v>
      </c>
      <c r="C12" s="4"/>
      <c r="D12" s="4">
        <f>Balance_Sheet!C56-Balance_Sheet!D56</f>
        <v>-89.70999999999998</v>
      </c>
      <c r="E12" s="4">
        <f>Balance_Sheet!D56-Balance_Sheet!E56</f>
        <v>-156.15000000000003</v>
      </c>
      <c r="F12" s="4">
        <f>Balance_Sheet!E56-Balance_Sheet!F56</f>
        <v>31.920000000000016</v>
      </c>
      <c r="G12" s="4">
        <f>Balance_Sheet!F56-Balance_Sheet!G56</f>
        <v>-175.5</v>
      </c>
      <c r="H12" s="24">
        <f>Balance_Sheet!G56-Balance_Sheet!H56</f>
        <v>125.22531956474478</v>
      </c>
      <c r="I12" s="24">
        <f>Balance_Sheet!H56-Balance_Sheet!I56</f>
        <v>-30.825643284230807</v>
      </c>
      <c r="J12" s="24">
        <f>Balance_Sheet!I56-Balance_Sheet!J56</f>
        <v>-24.963958823145902</v>
      </c>
      <c r="K12" s="24">
        <f>Balance_Sheet!J56-Balance_Sheet!K56</f>
        <v>-34.097993228224425</v>
      </c>
      <c r="L12" s="24">
        <f>Balance_Sheet!K56-Balance_Sheet!L56</f>
        <v>-37.687690649703995</v>
      </c>
    </row>
    <row r="13" spans="2:15" ht="18.75" x14ac:dyDescent="0.25">
      <c r="B13" s="8" t="str">
        <f>Balance_Sheet!B58</f>
        <v>Long Term Loans And Advances</v>
      </c>
      <c r="C13" s="4"/>
      <c r="D13" s="4">
        <f>Balance_Sheet!C58-Balance_Sheet!D58</f>
        <v>0</v>
      </c>
      <c r="E13" s="4">
        <f>Balance_Sheet!D58-Balance_Sheet!E58</f>
        <v>0</v>
      </c>
      <c r="F13" s="4">
        <f>Balance_Sheet!E58-Balance_Sheet!F58</f>
        <v>0</v>
      </c>
      <c r="G13" s="4">
        <f>Balance_Sheet!F58-Balance_Sheet!G58</f>
        <v>0</v>
      </c>
      <c r="H13" s="24">
        <f>Balance_Sheet!G58-Balance_Sheet!H58</f>
        <v>0</v>
      </c>
      <c r="I13" s="24">
        <f>Balance_Sheet!H58-Balance_Sheet!I58</f>
        <v>0</v>
      </c>
      <c r="J13" s="24">
        <f>Balance_Sheet!I58-Balance_Sheet!J58</f>
        <v>0</v>
      </c>
      <c r="K13" s="24">
        <f>Balance_Sheet!J58-Balance_Sheet!K58</f>
        <v>0</v>
      </c>
      <c r="L13" s="24">
        <f>Balance_Sheet!K58-Balance_Sheet!L58</f>
        <v>0</v>
      </c>
    </row>
    <row r="14" spans="2:15" ht="18.75" x14ac:dyDescent="0.25">
      <c r="B14" s="8" t="str">
        <f>Balance_Sheet!B60</f>
        <v>Other Non-Current Assets</v>
      </c>
      <c r="C14" s="4"/>
      <c r="D14" s="4">
        <f>Balance_Sheet!C60-Balance_Sheet!D60</f>
        <v>25.369999999999976</v>
      </c>
      <c r="E14" s="4">
        <f>Balance_Sheet!D60-Balance_Sheet!E60</f>
        <v>20.140000000000015</v>
      </c>
      <c r="F14" s="4">
        <f>Balance_Sheet!E60-Balance_Sheet!F60</f>
        <v>4.089999999999975</v>
      </c>
      <c r="G14" s="4">
        <f>Balance_Sheet!F60-Balance_Sheet!G60</f>
        <v>-48.699999999999989</v>
      </c>
      <c r="H14" s="24">
        <f>Balance_Sheet!G60-Balance_Sheet!H60</f>
        <v>277</v>
      </c>
      <c r="I14" s="24">
        <f>Balance_Sheet!H60-Balance_Sheet!I60</f>
        <v>0</v>
      </c>
      <c r="J14" s="24">
        <f>Balance_Sheet!I60-Balance_Sheet!J60</f>
        <v>0</v>
      </c>
      <c r="K14" s="24">
        <f>Balance_Sheet!J60-Balance_Sheet!K60</f>
        <v>0</v>
      </c>
      <c r="L14" s="24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0</v>
      </c>
      <c r="E15" s="4">
        <f>Balance_Sheet!D62-Balance_Sheet!E62</f>
        <v>0</v>
      </c>
      <c r="F15" s="4">
        <f>Balance_Sheet!E62-Balance_Sheet!F62</f>
        <v>0</v>
      </c>
      <c r="G15" s="4">
        <f>Balance_Sheet!F62-Balance_Sheet!G62</f>
        <v>0</v>
      </c>
      <c r="H15" s="24">
        <f>Balance_Sheet!G62-Balance_Sheet!H62</f>
        <v>0</v>
      </c>
      <c r="I15" s="24">
        <f>Balance_Sheet!H62-Balance_Sheet!I62</f>
        <v>0</v>
      </c>
      <c r="J15" s="24">
        <f>Balance_Sheet!I62-Balance_Sheet!J62</f>
        <v>0</v>
      </c>
      <c r="K15" s="24">
        <f>Balance_Sheet!J62-Balance_Sheet!K62</f>
        <v>0</v>
      </c>
      <c r="L15" s="24">
        <f>Balance_Sheet!K62-Balance_Sheet!L62</f>
        <v>0</v>
      </c>
    </row>
    <row r="16" spans="2:15" ht="18.75" x14ac:dyDescent="0.25">
      <c r="B16" s="8" t="str">
        <f>Balance_Sheet!B64</f>
        <v>OtherCurrentAssets</v>
      </c>
      <c r="C16" s="4"/>
      <c r="D16" s="4">
        <f>Balance_Sheet!C64-Balance_Sheet!D64</f>
        <v>-6.8000000000000114</v>
      </c>
      <c r="E16" s="4">
        <f>Balance_Sheet!D64-Balance_Sheet!E64</f>
        <v>43.890000000000015</v>
      </c>
      <c r="F16" s="4">
        <f>Balance_Sheet!E64-Balance_Sheet!F64</f>
        <v>-187.21</v>
      </c>
      <c r="G16" s="4">
        <f>Balance_Sheet!F64-Balance_Sheet!G64</f>
        <v>-79.94</v>
      </c>
      <c r="H16" s="24">
        <f>Balance_Sheet!G64-Balance_Sheet!H64</f>
        <v>127.97603637240894</v>
      </c>
      <c r="I16" s="24">
        <f>Balance_Sheet!H64-Balance_Sheet!I64</f>
        <v>-25.335455349564313</v>
      </c>
      <c r="J16" s="24">
        <f>Balance_Sheet!I64-Balance_Sheet!J64</f>
        <v>-20.517763677481014</v>
      </c>
      <c r="K16" s="24">
        <f>Balance_Sheet!J64-Balance_Sheet!K64</f>
        <v>-28.024984814683819</v>
      </c>
      <c r="L16" s="24">
        <f>Balance_Sheet!K64-Balance_Sheet!L64</f>
        <v>-30.975340721347493</v>
      </c>
    </row>
    <row r="17" spans="2:12" ht="18.75" x14ac:dyDescent="0.25">
      <c r="B17" s="8" t="str">
        <f>Balance_Sheet!B66</f>
        <v>Inventories</v>
      </c>
      <c r="C17" s="4"/>
      <c r="D17" s="4">
        <f>Balance_Sheet!C66-Balance_Sheet!D66</f>
        <v>36.350000000000023</v>
      </c>
      <c r="E17" s="4">
        <f>Balance_Sheet!D66-Balance_Sheet!E66</f>
        <v>129.52999999999997</v>
      </c>
      <c r="F17" s="4">
        <f>Balance_Sheet!E66-Balance_Sheet!F66</f>
        <v>-109.04999999999995</v>
      </c>
      <c r="G17" s="4">
        <f>Balance_Sheet!F66-Balance_Sheet!G66</f>
        <v>29.879999999999995</v>
      </c>
      <c r="H17" s="24">
        <f>Balance_Sheet!G66-Balance_Sheet!H66</f>
        <v>-130.92009234243187</v>
      </c>
      <c r="I17" s="24">
        <f>Balance_Sheet!H66-Balance_Sheet!I66</f>
        <v>-61.952175866430821</v>
      </c>
      <c r="J17" s="24">
        <f>Balance_Sheet!I66-Balance_Sheet!J66</f>
        <v>-50.171591005370715</v>
      </c>
      <c r="K17" s="24">
        <f>Balance_Sheet!J66-Balance_Sheet!K66</f>
        <v>-68.528817182802413</v>
      </c>
      <c r="L17" s="24">
        <f>Balance_Sheet!K66-Balance_Sheet!L66</f>
        <v>-75.743251084868916</v>
      </c>
    </row>
    <row r="18" spans="2:12" ht="18.75" x14ac:dyDescent="0.25">
      <c r="B18" s="8" t="str">
        <f>Balance_Sheet!B68</f>
        <v>Trade Receivables</v>
      </c>
      <c r="C18" s="4"/>
      <c r="D18" s="4">
        <f>Balance_Sheet!C68-Balance_Sheet!D68</f>
        <v>-298.24</v>
      </c>
      <c r="E18" s="4">
        <f>Balance_Sheet!D68-Balance_Sheet!E68</f>
        <v>18</v>
      </c>
      <c r="F18" s="4">
        <f>Balance_Sheet!E68-Balance_Sheet!F68</f>
        <v>325.04000000000008</v>
      </c>
      <c r="G18" s="4">
        <f>Balance_Sheet!F68-Balance_Sheet!G68</f>
        <v>-0.35000000000002274</v>
      </c>
      <c r="H18" s="24">
        <f>Balance_Sheet!G68-Balance_Sheet!H68</f>
        <v>-8.9859219666041099</v>
      </c>
      <c r="I18" s="24">
        <f>Balance_Sheet!H68-Balance_Sheet!I68</f>
        <v>-63.815438006164982</v>
      </c>
      <c r="J18" s="24">
        <f>Balance_Sheet!I68-Balance_Sheet!J68</f>
        <v>-51.68054246192753</v>
      </c>
      <c r="K18" s="24">
        <f>Balance_Sheet!J68-Balance_Sheet!K68</f>
        <v>-70.589877165792586</v>
      </c>
      <c r="L18" s="24">
        <f>Balance_Sheet!K68-Balance_Sheet!L68</f>
        <v>-78.021291042514349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4"/>
      <c r="I19" s="24"/>
      <c r="J19" s="24"/>
      <c r="K19" s="24"/>
      <c r="L19" s="24"/>
    </row>
    <row r="20" spans="2:12" ht="18.75" x14ac:dyDescent="0.25">
      <c r="B20" s="8" t="str">
        <f>Balance_Sheet!B23</f>
        <v>Long Term Provisions</v>
      </c>
      <c r="C20" s="4"/>
      <c r="D20" s="4">
        <f>Balance_Sheet!D23-Balance_Sheet!C23</f>
        <v>-11.410000000000004</v>
      </c>
      <c r="E20" s="4">
        <f>Balance_Sheet!E23-Balance_Sheet!D23</f>
        <v>-7.8799999999999955</v>
      </c>
      <c r="F20" s="4">
        <f>Balance_Sheet!F23-Balance_Sheet!E23</f>
        <v>38.770000000000003</v>
      </c>
      <c r="G20" s="4">
        <f>Balance_Sheet!G23-Balance_Sheet!F23</f>
        <v>-52.370000000000005</v>
      </c>
      <c r="H20" s="24">
        <f>Balance_Sheet!H23-Balance_Sheet!G23</f>
        <v>39.058971489955937</v>
      </c>
      <c r="I20" s="24">
        <f>Balance_Sheet!I23-Balance_Sheet!H23</f>
        <v>4.8918319927435618</v>
      </c>
      <c r="J20" s="24">
        <f>Balance_Sheet!J23-Balance_Sheet!I23</f>
        <v>3.9616202429446048</v>
      </c>
      <c r="K20" s="24">
        <f>Balance_Sheet!K23-Balance_Sheet!J23</f>
        <v>5.4111329526579937</v>
      </c>
      <c r="L20" s="24">
        <f>Balance_Sheet!L23-Balance_Sheet!K23</f>
        <v>5.9807949230099808</v>
      </c>
    </row>
    <row r="21" spans="2:12" ht="18.75" x14ac:dyDescent="0.25">
      <c r="B21" s="8" t="str">
        <f>Balance_Sheet!B25</f>
        <v>Short Term Provisions</v>
      </c>
      <c r="C21" s="4"/>
      <c r="D21" s="4">
        <f>Balance_Sheet!D25-Balance_Sheet!C25</f>
        <v>-2.6499999999999986</v>
      </c>
      <c r="E21" s="4">
        <f>Balance_Sheet!E25-Balance_Sheet!D25</f>
        <v>75.349999999999994</v>
      </c>
      <c r="F21" s="4">
        <f>Balance_Sheet!F25-Balance_Sheet!E25</f>
        <v>-57.49</v>
      </c>
      <c r="G21" s="4">
        <f>Balance_Sheet!G25-Balance_Sheet!F25</f>
        <v>-22.79</v>
      </c>
      <c r="H21" s="24">
        <f>Balance_Sheet!H25-Balance_Sheet!G25</f>
        <v>24.692518231623694</v>
      </c>
      <c r="I21" s="24">
        <f>Balance_Sheet!I25-Balance_Sheet!H25</f>
        <v>4.2470278990884367</v>
      </c>
      <c r="J21" s="24">
        <f>Balance_Sheet!J25-Balance_Sheet!I25</f>
        <v>3.4394295884113006</v>
      </c>
      <c r="K21" s="24">
        <f>Balance_Sheet!K25-Balance_Sheet!J25</f>
        <v>4.697878555458388</v>
      </c>
      <c r="L21" s="24">
        <f>Balance_Sheet!L25-Balance_Sheet!K25</f>
        <v>5.1924520168371515</v>
      </c>
    </row>
    <row r="22" spans="2:12" ht="18.75" x14ac:dyDescent="0.25">
      <c r="B22" s="8" t="str">
        <f>Balance_Sheet!B27</f>
        <v>Other Long Term Liabilities</v>
      </c>
      <c r="C22" s="4"/>
      <c r="D22" s="4">
        <f>Balance_Sheet!D27-Balance_Sheet!C27</f>
        <v>0</v>
      </c>
      <c r="E22" s="4">
        <f>Balance_Sheet!E27-Balance_Sheet!D27</f>
        <v>306.52</v>
      </c>
      <c r="F22" s="4">
        <f>Balance_Sheet!F27-Balance_Sheet!E27</f>
        <v>-27.96999999999997</v>
      </c>
      <c r="G22" s="4">
        <f>Balance_Sheet!G27-Balance_Sheet!F27</f>
        <v>140.44999999999999</v>
      </c>
      <c r="H22" s="24">
        <f>Balance_Sheet!H27-Balance_Sheet!G27</f>
        <v>35.25</v>
      </c>
      <c r="I22" s="24">
        <f>Balance_Sheet!I27-Balance_Sheet!H27</f>
        <v>31.269999999999982</v>
      </c>
      <c r="J22" s="24">
        <f>Balance_Sheet!J27-Balance_Sheet!I27</f>
        <v>25.330000000000041</v>
      </c>
      <c r="K22" s="24">
        <f>Balance_Sheet!K27-Balance_Sheet!J27</f>
        <v>34.590000000000032</v>
      </c>
      <c r="L22" s="24">
        <f>Balance_Sheet!L27-Balance_Sheet!K27</f>
        <v>38.229999999999905</v>
      </c>
    </row>
    <row r="23" spans="2:12" ht="18.75" x14ac:dyDescent="0.25">
      <c r="B23" s="8" t="str">
        <f>Balance_Sheet!B29</f>
        <v>Trade Payables</v>
      </c>
      <c r="C23" s="4"/>
      <c r="D23" s="4">
        <f>Balance_Sheet!D29-Balance_Sheet!C29</f>
        <v>238.46000000000004</v>
      </c>
      <c r="E23" s="4">
        <f>Balance_Sheet!E29-Balance_Sheet!D29</f>
        <v>55.029999999999973</v>
      </c>
      <c r="F23" s="4">
        <f>Balance_Sheet!F29-Balance_Sheet!E29</f>
        <v>-317.29999999999995</v>
      </c>
      <c r="G23" s="4">
        <f>Balance_Sheet!G29-Balance_Sheet!F29</f>
        <v>343.03</v>
      </c>
      <c r="H23" s="24">
        <f>Balance_Sheet!H29-Balance_Sheet!G29</f>
        <v>77.481453376836839</v>
      </c>
      <c r="I23" s="24">
        <f>Balance_Sheet!I29-Balance_Sheet!H29</f>
        <v>68.737323597208274</v>
      </c>
      <c r="J23" s="24">
        <f>Balance_Sheet!J29-Balance_Sheet!I29</f>
        <v>55.66650142778326</v>
      </c>
      <c r="K23" s="24">
        <f>Balance_Sheet!K29-Balance_Sheet!J29</f>
        <v>76.034254108911909</v>
      </c>
      <c r="L23" s="24">
        <f>Balance_Sheet!L29-Balance_Sheet!K29</f>
        <v>84.038829747485124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-201.69000000000005</v>
      </c>
      <c r="E24" s="5">
        <f>Balance_Sheet!E31-Balance_Sheet!D31</f>
        <v>174.20000000000005</v>
      </c>
      <c r="F24" s="5">
        <f>Balance_Sheet!F31-Balance_Sheet!E31</f>
        <v>-166.42000000000007</v>
      </c>
      <c r="G24" s="5">
        <f>Balance_Sheet!G31-Balance_Sheet!F31</f>
        <v>-672.34999999999991</v>
      </c>
      <c r="H24" s="28">
        <f>Balance_Sheet!H31-Balance_Sheet!G31</f>
        <v>1126.9120704679751</v>
      </c>
      <c r="I24" s="28">
        <f>Balance_Sheet!I31-Balance_Sheet!H31</f>
        <v>128.65938904325571</v>
      </c>
      <c r="J24" s="28">
        <f>Balance_Sheet!J31-Balance_Sheet!I31</f>
        <v>104.19401991620407</v>
      </c>
      <c r="K24" s="28">
        <f>Balance_Sheet!K31-Balance_Sheet!J31</f>
        <v>142.31745095774431</v>
      </c>
      <c r="L24" s="28">
        <f>Balance_Sheet!L31-Balance_Sheet!K31</f>
        <v>157.30005076398902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4"/>
      <c r="I25" s="24"/>
      <c r="J25" s="24"/>
      <c r="K25" s="24"/>
      <c r="L25" s="24"/>
    </row>
    <row r="26" spans="2:12" ht="18.75" x14ac:dyDescent="0.25">
      <c r="B26" s="8" t="str">
        <f>Income_Statement!B47</f>
        <v>Total Tax Expenses</v>
      </c>
      <c r="C26" s="4"/>
      <c r="D26" s="4">
        <f>Income_Statement!D47</f>
        <v>-83.66</v>
      </c>
      <c r="E26" s="4">
        <f>Income_Statement!E47</f>
        <v>-204.09</v>
      </c>
      <c r="F26" s="4">
        <f>Income_Statement!F47</f>
        <v>-271.61</v>
      </c>
      <c r="G26" s="4">
        <f>Income_Statement!G47</f>
        <v>-132</v>
      </c>
      <c r="H26" s="24">
        <f>Income_Statement!H47</f>
        <v>23.360692292069519</v>
      </c>
      <c r="I26" s="24">
        <f>Income_Statement!I47</f>
        <v>72.521192953462332</v>
      </c>
      <c r="J26" s="24">
        <f>Income_Statement!J47</f>
        <v>85.875088618680365</v>
      </c>
      <c r="K26" s="24">
        <f>Income_Statement!K47</f>
        <v>132.33135925193847</v>
      </c>
      <c r="L26" s="24">
        <f>Income_Statement!L47</f>
        <v>191.71359708292781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825.94507736827143</v>
      </c>
      <c r="E27" s="7">
        <f t="shared" ref="E27:L27" si="1">E12+E13+E14+E15+E16+E17+E18+E20+E21+E22+E23+E24-E26+E10+E5</f>
        <v>1553.5336991136696</v>
      </c>
      <c r="F27" s="7">
        <f t="shared" si="1"/>
        <v>1515.8190032268701</v>
      </c>
      <c r="G27" s="7">
        <f t="shared" si="1"/>
        <v>364.36619195046421</v>
      </c>
      <c r="H27" s="29">
        <f t="shared" si="1"/>
        <v>2247.0999797892646</v>
      </c>
      <c r="I27" s="29">
        <f t="shared" si="1"/>
        <v>516.70183169590723</v>
      </c>
      <c r="J27" s="29">
        <f t="shared" si="1"/>
        <v>503.8134069468216</v>
      </c>
      <c r="K27" s="29">
        <f t="shared" si="1"/>
        <v>439.72388493035493</v>
      </c>
      <c r="L27" s="29">
        <f t="shared" si="1"/>
        <v>335.01800098605304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4"/>
      <c r="I28" s="24"/>
      <c r="J28" s="24"/>
      <c r="K28" s="24"/>
      <c r="L28" s="24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-176.57999999999993</v>
      </c>
      <c r="E29" s="5">
        <f>Balance_Sheet!D40-Balance_Sheet!E40</f>
        <v>-354.38999999999987</v>
      </c>
      <c r="F29" s="5">
        <f>Balance_Sheet!E40-Balance_Sheet!F40</f>
        <v>167.44000000000005</v>
      </c>
      <c r="G29" s="5">
        <f>Balance_Sheet!F40-Balance_Sheet!G40</f>
        <v>-1601.5500000000002</v>
      </c>
      <c r="H29" s="28">
        <f>Balance_Sheet!G40-Balance_Sheet!H40</f>
        <v>-329.1899999999996</v>
      </c>
      <c r="I29" s="28">
        <f>Balance_Sheet!H40-Balance_Sheet!I40</f>
        <v>-292.03999999999996</v>
      </c>
      <c r="J29" s="28">
        <f>Balance_Sheet!I40-Balance_Sheet!J40</f>
        <v>-236.51000000000022</v>
      </c>
      <c r="K29" s="28">
        <f>Balance_Sheet!J40-Balance_Sheet!K40</f>
        <v>-323.03999999999996</v>
      </c>
      <c r="L29" s="28">
        <f>Balance_Sheet!K40-Balance_Sheet!L40</f>
        <v>-357.05000000000018</v>
      </c>
    </row>
    <row r="30" spans="2:12" ht="18.75" x14ac:dyDescent="0.25">
      <c r="B30" s="8" t="str">
        <f>Balance_Sheet!B42</f>
        <v>Intangible Assets</v>
      </c>
      <c r="C30" s="4"/>
      <c r="D30" s="4">
        <f>Balance_Sheet!C42-Balance_Sheet!D42</f>
        <v>-13.410000000000011</v>
      </c>
      <c r="E30" s="4">
        <f>Balance_Sheet!D42-Balance_Sheet!E42</f>
        <v>-35.340000000000003</v>
      </c>
      <c r="F30" s="4">
        <f>Balance_Sheet!E42-Balance_Sheet!F42</f>
        <v>20.580000000000013</v>
      </c>
      <c r="G30" s="4">
        <f>Balance_Sheet!F42-Balance_Sheet!G42</f>
        <v>127.63</v>
      </c>
      <c r="H30" s="24">
        <f>Balance_Sheet!G42-Balance_Sheet!H42</f>
        <v>0</v>
      </c>
      <c r="I30" s="24">
        <f>Balance_Sheet!H42-Balance_Sheet!I42</f>
        <v>0</v>
      </c>
      <c r="J30" s="24">
        <f>Balance_Sheet!I42-Balance_Sheet!J42</f>
        <v>0</v>
      </c>
      <c r="K30" s="24">
        <f>Balance_Sheet!J42-Balance_Sheet!K42</f>
        <v>0</v>
      </c>
      <c r="L30" s="24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4">
        <f>Balance_Sheet!C48-Balance_Sheet!D48</f>
        <v>0</v>
      </c>
      <c r="E31" s="4">
        <f>Balance_Sheet!D48-Balance_Sheet!E48</f>
        <v>0</v>
      </c>
      <c r="F31" s="4">
        <f>Balance_Sheet!E48-Balance_Sheet!F48</f>
        <v>0</v>
      </c>
      <c r="G31" s="4">
        <f>Balance_Sheet!F48-Balance_Sheet!G48</f>
        <v>0.45</v>
      </c>
      <c r="H31" s="24">
        <f>Balance_Sheet!G48-Balance_Sheet!H48</f>
        <v>-0.53392917639640647</v>
      </c>
      <c r="I31" s="24">
        <f>Balance_Sheet!H48-Balance_Sheet!I48</f>
        <v>-3.6756679307191398E-2</v>
      </c>
      <c r="J31" s="24">
        <f>Balance_Sheet!I48-Balance_Sheet!J48</f>
        <v>-2.976717209887747E-2</v>
      </c>
      <c r="K31" s="24">
        <f>Balance_Sheet!J48-Balance_Sheet!K48</f>
        <v>-4.0658648728014835E-2</v>
      </c>
      <c r="L31" s="24">
        <f>Balance_Sheet!K48-Balance_Sheet!L48</f>
        <v>-4.4939025157293422E-2</v>
      </c>
    </row>
    <row r="32" spans="2:12" ht="18.75" x14ac:dyDescent="0.25">
      <c r="B32" s="8" t="str">
        <f>Balance_Sheet!B50</f>
        <v>Current Investments</v>
      </c>
      <c r="C32" s="4"/>
      <c r="D32" s="4">
        <f>Balance_Sheet!C50-Balance_Sheet!D50</f>
        <v>213.25</v>
      </c>
      <c r="E32" s="4">
        <f>Balance_Sheet!D50-Balance_Sheet!E50</f>
        <v>0</v>
      </c>
      <c r="F32" s="4">
        <f>Balance_Sheet!E50-Balance_Sheet!F50</f>
        <v>0</v>
      </c>
      <c r="G32" s="4">
        <f>Balance_Sheet!F50-Balance_Sheet!G50</f>
        <v>0</v>
      </c>
      <c r="H32" s="24">
        <f>Balance_Sheet!G50-Balance_Sheet!H50</f>
        <v>0</v>
      </c>
      <c r="I32" s="24">
        <f>Balance_Sheet!H50-Balance_Sheet!I50</f>
        <v>0</v>
      </c>
      <c r="J32" s="24">
        <f>Balance_Sheet!I50-Balance_Sheet!J50</f>
        <v>0</v>
      </c>
      <c r="K32" s="24">
        <f>Balance_Sheet!J50-Balance_Sheet!K50</f>
        <v>0</v>
      </c>
      <c r="L32" s="24">
        <f>Balance_Sheet!K50-Balance_Sheet!L50</f>
        <v>0</v>
      </c>
    </row>
    <row r="33" spans="2:12" ht="18.75" x14ac:dyDescent="0.25">
      <c r="B33" s="8" t="str">
        <f>Balance_Sheet!B52</f>
        <v>Capital Work-In-Progress</v>
      </c>
      <c r="C33" s="4"/>
      <c r="D33" s="4">
        <f>Balance_Sheet!C52-Balance_Sheet!D52</f>
        <v>1373.43</v>
      </c>
      <c r="E33" s="4">
        <f>Balance_Sheet!D52-Balance_Sheet!E52</f>
        <v>63.259999999999991</v>
      </c>
      <c r="F33" s="4">
        <f>Balance_Sheet!E52-Balance_Sheet!F52</f>
        <v>233.64</v>
      </c>
      <c r="G33" s="4">
        <f>Balance_Sheet!F52-Balance_Sheet!G52</f>
        <v>602.82000000000005</v>
      </c>
      <c r="H33" s="24">
        <f>Balance_Sheet!G52-Balance_Sheet!H52</f>
        <v>-992.46755308564036</v>
      </c>
      <c r="I33" s="24">
        <f>Balance_Sheet!H52-Balance_Sheet!I52</f>
        <v>-68.323315496207329</v>
      </c>
      <c r="J33" s="24">
        <f>Balance_Sheet!I52-Balance_Sheet!J52</f>
        <v>-55.331219497393477</v>
      </c>
      <c r="K33" s="24">
        <f>Balance_Sheet!J52-Balance_Sheet!K52</f>
        <v>-75.576296255633906</v>
      </c>
      <c r="L33" s="24">
        <f>Balance_Sheet!K52-Balance_Sheet!L52</f>
        <v>-83.532659962377011</v>
      </c>
    </row>
    <row r="34" spans="2:12" ht="18.75" x14ac:dyDescent="0.25">
      <c r="B34" s="8" t="s">
        <v>59</v>
      </c>
      <c r="C34" s="4"/>
      <c r="D34" s="4">
        <f>Income_Statement!D11</f>
        <v>21.02</v>
      </c>
      <c r="E34" s="4">
        <f>Income_Statement!E11</f>
        <v>38.81</v>
      </c>
      <c r="F34" s="4">
        <f>Income_Statement!F11</f>
        <v>132.27000000000001</v>
      </c>
      <c r="G34" s="4">
        <f>Income_Statement!G11</f>
        <v>20</v>
      </c>
      <c r="H34" s="24">
        <f>Income_Statement!H11</f>
        <v>35.571460257082386</v>
      </c>
      <c r="I34" s="24">
        <f>Income_Statement!I11</f>
        <v>32.888624387287493</v>
      </c>
      <c r="J34" s="24">
        <f>Income_Statement!J11</f>
        <v>33.573455366033414</v>
      </c>
      <c r="K34" s="24">
        <f>Income_Statement!K11</f>
        <v>31.461459769091054</v>
      </c>
      <c r="L34" s="24">
        <f>Income_Statement!L11</f>
        <v>28.259345018281305</v>
      </c>
    </row>
    <row r="35" spans="2:12" ht="18.75" x14ac:dyDescent="0.25">
      <c r="B35" s="9" t="s">
        <v>137</v>
      </c>
      <c r="C35" s="6"/>
      <c r="D35" s="7">
        <f>D29+D30+D31+D32+D33+D34</f>
        <v>1417.71</v>
      </c>
      <c r="E35" s="7">
        <f t="shared" ref="E35:L35" si="2">E29+E30+E31+E32+E33+E34</f>
        <v>-287.65999999999991</v>
      </c>
      <c r="F35" s="7">
        <f t="shared" si="2"/>
        <v>553.93000000000006</v>
      </c>
      <c r="G35" s="7">
        <f t="shared" si="2"/>
        <v>-850.65</v>
      </c>
      <c r="H35" s="29">
        <f t="shared" si="2"/>
        <v>-1286.6200220049539</v>
      </c>
      <c r="I35" s="29">
        <f t="shared" si="2"/>
        <v>-327.51144778822697</v>
      </c>
      <c r="J35" s="29">
        <f t="shared" si="2"/>
        <v>-258.29753130345921</v>
      </c>
      <c r="K35" s="29">
        <f t="shared" si="2"/>
        <v>-367.19549513527085</v>
      </c>
      <c r="L35" s="29">
        <f t="shared" si="2"/>
        <v>-412.3682539692532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4"/>
      <c r="I36" s="24"/>
      <c r="J36" s="24"/>
      <c r="K36" s="24"/>
      <c r="L36" s="24"/>
    </row>
    <row r="37" spans="2:12" ht="18.75" x14ac:dyDescent="0.25">
      <c r="B37" s="8" t="str">
        <f>Balance_Sheet!B5</f>
        <v>Equity Share Capital</v>
      </c>
      <c r="C37" s="4"/>
      <c r="D37" s="4">
        <f>Balance_Sheet!D5-Balance_Sheet!C5</f>
        <v>2.0000000000003126E-2</v>
      </c>
      <c r="E37" s="4">
        <f>Balance_Sheet!E5-Balance_Sheet!D5</f>
        <v>2.9999999999994031E-2</v>
      </c>
      <c r="F37" s="4">
        <f>Balance_Sheet!F5-Balance_Sheet!E5</f>
        <v>2.0000000000003126E-2</v>
      </c>
      <c r="G37" s="4">
        <f>Balance_Sheet!G5-Balance_Sheet!F5</f>
        <v>16.61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4">
        <f>Balance_Sheet!H7-Balance_Sheet!G7</f>
        <v>0</v>
      </c>
      <c r="I38" s="24">
        <f>Balance_Sheet!I7-Balance_Sheet!H7</f>
        <v>0</v>
      </c>
      <c r="J38" s="24">
        <f>Balance_Sheet!J7-Balance_Sheet!I7</f>
        <v>0</v>
      </c>
      <c r="K38" s="24">
        <f>Balance_Sheet!K7-Balance_Sheet!J7</f>
        <v>0</v>
      </c>
      <c r="L38" s="24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4">
        <f>Balance_Sheet!D15-Balance_Sheet!C15</f>
        <v>-515.59000000000015</v>
      </c>
      <c r="E39" s="4">
        <f>Balance_Sheet!E15-Balance_Sheet!D15</f>
        <v>-416.61999999999989</v>
      </c>
      <c r="F39" s="4">
        <f>Balance_Sheet!F15-Balance_Sheet!E15</f>
        <v>-738.05000000000007</v>
      </c>
      <c r="G39" s="4">
        <f>Balance_Sheet!G15-Balance_Sheet!F15</f>
        <v>-147.85000000000002</v>
      </c>
      <c r="H39" s="24">
        <f>Balance_Sheet!H15-Balance_Sheet!G15</f>
        <v>29.870000000000005</v>
      </c>
      <c r="I39" s="24">
        <f>Balance_Sheet!I15-Balance_Sheet!H15</f>
        <v>26.490000000000009</v>
      </c>
      <c r="J39" s="24">
        <f>Balance_Sheet!J15-Balance_Sheet!I15</f>
        <v>21.45999999999998</v>
      </c>
      <c r="K39" s="24">
        <f>Balance_Sheet!K15-Balance_Sheet!J15</f>
        <v>29.300000000000011</v>
      </c>
      <c r="L39" s="24">
        <f>Balance_Sheet!L15-Balance_Sheet!K15</f>
        <v>32.399999999999977</v>
      </c>
    </row>
    <row r="40" spans="2:12" ht="18.75" x14ac:dyDescent="0.25">
      <c r="B40" s="8" t="str">
        <f>Balance_Sheet!B17</f>
        <v>Deferred Tax Liabilities [Net]</v>
      </c>
      <c r="C40" s="4"/>
      <c r="D40" s="4">
        <f>Balance_Sheet!D17-Balance_Sheet!C17</f>
        <v>-3.3800000000000026</v>
      </c>
      <c r="E40" s="4">
        <f>Balance_Sheet!E17-Balance_Sheet!D17</f>
        <v>0.17999999999999972</v>
      </c>
      <c r="F40" s="4">
        <f>Balance_Sheet!F17-Balance_Sheet!E17</f>
        <v>-2.8000000000000007</v>
      </c>
      <c r="G40" s="4">
        <f>Balance_Sheet!G17-Balance_Sheet!F17</f>
        <v>-0.44999999999999929</v>
      </c>
      <c r="H40" s="24">
        <f>Balance_Sheet!H17-Balance_Sheet!G17</f>
        <v>9.07841502752823</v>
      </c>
      <c r="I40" s="24">
        <f>Balance_Sheet!I17-Balance_Sheet!H17</f>
        <v>2.5525471741105079</v>
      </c>
      <c r="J40" s="24">
        <f>Balance_Sheet!J17-Balance_Sheet!I17</f>
        <v>2.0671647290887165</v>
      </c>
      <c r="K40" s="24">
        <f>Balance_Sheet!K17-Balance_Sheet!J17</f>
        <v>2.8235172727788083</v>
      </c>
      <c r="L40" s="24">
        <f>Balance_Sheet!L17-Balance_Sheet!K17</f>
        <v>3.1207656359231493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124.62000000000006</v>
      </c>
      <c r="E41" s="5">
        <f>Balance_Sheet!E19-Balance_Sheet!D19</f>
        <v>342.15</v>
      </c>
      <c r="F41" s="5">
        <f>Balance_Sheet!F19-Balance_Sheet!E19</f>
        <v>162.24999999999989</v>
      </c>
      <c r="G41" s="5">
        <f>Balance_Sheet!G19-Balance_Sheet!F19</f>
        <v>440.8900000000001</v>
      </c>
      <c r="H41" s="28">
        <f>Balance_Sheet!H19-Balance_Sheet!G19</f>
        <v>126.77999999999997</v>
      </c>
      <c r="I41" s="28">
        <f>Balance_Sheet!I19-Balance_Sheet!H19</f>
        <v>112.47000000000003</v>
      </c>
      <c r="J41" s="28">
        <f>Balance_Sheet!J19-Balance_Sheet!I19</f>
        <v>91.089999999999918</v>
      </c>
      <c r="K41" s="28">
        <f>Balance_Sheet!K19-Balance_Sheet!J19</f>
        <v>124.41000000000008</v>
      </c>
      <c r="L41" s="28">
        <f>Balance_Sheet!L19-Balance_Sheet!K19</f>
        <v>137.51000000000022</v>
      </c>
    </row>
    <row r="42" spans="2:12" ht="18.75" x14ac:dyDescent="0.25">
      <c r="B42" s="8" t="str">
        <f>Balance_Sheet!B35:G35</f>
        <v>Minority Interest</v>
      </c>
      <c r="C42" s="4"/>
      <c r="D42" s="4">
        <f>Balance_Sheet!D35-Balance_Sheet!C35</f>
        <v>-15.900000000000034</v>
      </c>
      <c r="E42" s="4">
        <f>Balance_Sheet!E35-Balance_Sheet!D35</f>
        <v>55.960000000000036</v>
      </c>
      <c r="F42" s="4">
        <f>Balance_Sheet!F35-Balance_Sheet!E35</f>
        <v>-2.3000000000000114</v>
      </c>
      <c r="G42" s="4">
        <f>Balance_Sheet!G35-Balance_Sheet!F35</f>
        <v>-30.490000000000009</v>
      </c>
      <c r="H42" s="24">
        <f>Balance_Sheet!H35-Balance_Sheet!G35</f>
        <v>85.245709920197555</v>
      </c>
      <c r="I42" s="24">
        <f>Balance_Sheet!I35-Balance_Sheet!H35</f>
        <v>30.169651199824386</v>
      </c>
      <c r="J42" s="24">
        <f>Balance_Sheet!J35-Balance_Sheet!I35</f>
        <v>24.432707642678054</v>
      </c>
      <c r="K42" s="24">
        <f>Balance_Sheet!K35-Balance_Sheet!J35</f>
        <v>33.372363159595807</v>
      </c>
      <c r="L42" s="24">
        <f>Balance_Sheet!L35-Balance_Sheet!K35</f>
        <v>36.885669211974232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4"/>
      <c r="I43" s="24"/>
      <c r="J43" s="24"/>
      <c r="K43" s="24"/>
      <c r="L43" s="24"/>
    </row>
    <row r="44" spans="2:12" ht="18.75" x14ac:dyDescent="0.25">
      <c r="B44" s="8" t="str">
        <f>Income_Statement!B51</f>
        <v>Equity Share Dividend</v>
      </c>
      <c r="C44" s="4"/>
      <c r="D44" s="4">
        <f>Income_Statement!D51</f>
        <v>0</v>
      </c>
      <c r="E44" s="4">
        <f>Income_Statement!E51</f>
        <v>0</v>
      </c>
      <c r="F44" s="4">
        <f>Income_Statement!F51</f>
        <v>0</v>
      </c>
      <c r="G44" s="4">
        <f>Income_Statement!G51</f>
        <v>0</v>
      </c>
      <c r="H44" s="24">
        <f>Income_Statement!H51</f>
        <v>0</v>
      </c>
      <c r="I44" s="24">
        <f>Income_Statement!I51</f>
        <v>0</v>
      </c>
      <c r="J44" s="24">
        <f>Income_Statement!J51</f>
        <v>0</v>
      </c>
      <c r="K44" s="24">
        <f>Income_Statement!K51</f>
        <v>0</v>
      </c>
      <c r="L44" s="24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0</v>
      </c>
      <c r="E45" s="4">
        <f>Income_Statement!E53</f>
        <v>0</v>
      </c>
      <c r="F45" s="4">
        <f>Income_Statement!F53</f>
        <v>0</v>
      </c>
      <c r="G45" s="4">
        <f>Income_Statement!G53</f>
        <v>0</v>
      </c>
      <c r="H45" s="24">
        <f>Income_Statement!H53</f>
        <v>0</v>
      </c>
      <c r="I45" s="24">
        <f>Income_Statement!I53</f>
        <v>0</v>
      </c>
      <c r="J45" s="24">
        <f>Income_Statement!J53</f>
        <v>0</v>
      </c>
      <c r="K45" s="24">
        <f>Income_Statement!K53</f>
        <v>0</v>
      </c>
      <c r="L45" s="24">
        <f>Income_Statement!L53</f>
        <v>0</v>
      </c>
    </row>
    <row r="46" spans="2:12" ht="18.75" x14ac:dyDescent="0.25">
      <c r="B46" s="8" t="s">
        <v>140</v>
      </c>
      <c r="C46" s="4"/>
      <c r="D46" s="4">
        <f>Income_Statement!D35</f>
        <v>264.89</v>
      </c>
      <c r="E46" s="4">
        <f>Income_Statement!E35</f>
        <v>275.74</v>
      </c>
      <c r="F46" s="4">
        <f>Income_Statement!F35</f>
        <v>249.08</v>
      </c>
      <c r="G46" s="4">
        <f>Income_Statement!G35</f>
        <v>299</v>
      </c>
      <c r="H46" s="24">
        <f>Income_Statement!H35</f>
        <v>324.15396825396823</v>
      </c>
      <c r="I46" s="24">
        <f>Income_Statement!I35</f>
        <v>346.46980952380954</v>
      </c>
      <c r="J46" s="24">
        <f>Income_Statement!J35</f>
        <v>364.54111640211642</v>
      </c>
      <c r="K46" s="24">
        <f>Income_Statement!K35</f>
        <v>389.22522751322754</v>
      </c>
      <c r="L46" s="24">
        <f>Income_Statement!L35</f>
        <v>416.50858201058207</v>
      </c>
    </row>
    <row r="47" spans="2:12" ht="18.75" x14ac:dyDescent="0.25">
      <c r="B47" s="9" t="s">
        <v>141</v>
      </c>
      <c r="C47" s="6"/>
      <c r="D47" s="7">
        <f>D37+D38+D39+D40+D41+D42-D44-D45-D46</f>
        <v>-675.12000000000012</v>
      </c>
      <c r="E47" s="7">
        <f t="shared" ref="E47:L47" si="3">E37+E38+E39+E40+E41+E42-E44-E45-E46</f>
        <v>-294.03999999999991</v>
      </c>
      <c r="F47" s="7">
        <f t="shared" si="3"/>
        <v>-829.96000000000015</v>
      </c>
      <c r="G47" s="7">
        <f t="shared" si="3"/>
        <v>-20.289999999999907</v>
      </c>
      <c r="H47" s="29">
        <f t="shared" si="3"/>
        <v>-73.179843306242475</v>
      </c>
      <c r="I47" s="29">
        <f t="shared" si="3"/>
        <v>-174.78761114987461</v>
      </c>
      <c r="J47" s="29">
        <f t="shared" si="3"/>
        <v>-225.49124403034975</v>
      </c>
      <c r="K47" s="29">
        <f t="shared" si="3"/>
        <v>-199.31934708085282</v>
      </c>
      <c r="L47" s="29">
        <f t="shared" si="3"/>
        <v>-206.59214716268451</v>
      </c>
    </row>
    <row r="48" spans="2:12" ht="18.75" x14ac:dyDescent="0.25">
      <c r="B48" s="9" t="s">
        <v>142</v>
      </c>
      <c r="C48" s="6"/>
      <c r="D48" s="7">
        <f>D27+D35+D47</f>
        <v>1568.5350773682715</v>
      </c>
      <c r="E48" s="7">
        <f t="shared" ref="E48:L48" si="4">E27+E35+E47</f>
        <v>971.83369911366981</v>
      </c>
      <c r="F48" s="7">
        <f t="shared" si="4"/>
        <v>1239.7890032268701</v>
      </c>
      <c r="G48" s="7">
        <f t="shared" si="4"/>
        <v>-506.57380804953567</v>
      </c>
      <c r="H48" s="29">
        <f t="shared" si="4"/>
        <v>887.30011447806828</v>
      </c>
      <c r="I48" s="29">
        <f t="shared" si="4"/>
        <v>14.40277275780565</v>
      </c>
      <c r="J48" s="29">
        <f t="shared" si="4"/>
        <v>20.024631613012644</v>
      </c>
      <c r="K48" s="29">
        <f t="shared" si="4"/>
        <v>-126.79095728576874</v>
      </c>
      <c r="L48" s="29">
        <f t="shared" si="4"/>
        <v>-283.94240014588468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09AF2AAE-6970-4179-B179-22B945D48488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47F6D-D97B-415C-BCE1-8D330D57DE05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5" width="12.42578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4" t="s">
        <v>145</v>
      </c>
      <c r="C5" s="44"/>
      <c r="D5" s="44"/>
      <c r="E5" s="44"/>
      <c r="F5" s="44"/>
      <c r="G5" s="44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247.4506695883091</v>
      </c>
      <c r="D6" s="13">
        <f>Income_Statement!D49</f>
        <v>726.3550773682714</v>
      </c>
      <c r="E6" s="13">
        <f>Income_Statement!E49</f>
        <v>433.83369911366981</v>
      </c>
      <c r="F6" s="13">
        <f>Income_Statement!F49</f>
        <v>1618.6090032268698</v>
      </c>
      <c r="G6" s="13">
        <f>Income_Statement!G49</f>
        <v>377.0061919504642</v>
      </c>
      <c r="I6" s="35"/>
      <c r="J6" s="36"/>
      <c r="K6" s="36"/>
      <c r="L6" s="37"/>
    </row>
    <row r="7" spans="2:15" ht="18.75" x14ac:dyDescent="0.25">
      <c r="B7" s="12" t="str">
        <f>Income_Statement!B61</f>
        <v>Total Shares Outstanding(cr)</v>
      </c>
      <c r="C7" s="13">
        <f>Income_Statement!C61</f>
        <v>-4.4991030834238019</v>
      </c>
      <c r="D7" s="13">
        <f>Income_Statement!D61</f>
        <v>-40.353059853792857</v>
      </c>
      <c r="E7" s="13">
        <f>Income_Statement!E61</f>
        <v>-72.305616518944973</v>
      </c>
      <c r="F7" s="13">
        <f>Income_Statement!F61</f>
        <v>26.106596826239837</v>
      </c>
      <c r="G7" s="13">
        <f>Income_Statement!G61</f>
        <v>-18.850309597523211</v>
      </c>
      <c r="I7" s="38"/>
      <c r="J7" s="39"/>
      <c r="K7" s="39"/>
      <c r="L7" s="40"/>
    </row>
    <row r="8" spans="2:15" ht="19.5" thickBot="1" x14ac:dyDescent="0.3">
      <c r="B8" s="14" t="s">
        <v>146</v>
      </c>
      <c r="C8" s="14">
        <f>ROUND(C6/C7, 2)</f>
        <v>-55</v>
      </c>
      <c r="D8" s="14">
        <f t="shared" ref="D8:G8" si="0">ROUND(D6/D7, 2)</f>
        <v>-18</v>
      </c>
      <c r="E8" s="14">
        <f t="shared" si="0"/>
        <v>-6</v>
      </c>
      <c r="F8" s="14">
        <f t="shared" si="0"/>
        <v>62</v>
      </c>
      <c r="G8" s="14">
        <f t="shared" si="0"/>
        <v>-20</v>
      </c>
      <c r="I8" s="41"/>
      <c r="J8" s="42"/>
      <c r="K8" s="42"/>
      <c r="L8" s="43"/>
    </row>
    <row r="9" spans="2:15" ht="15.75" thickTop="1" x14ac:dyDescent="0.25"/>
    <row r="10" spans="2:15" ht="19.5" thickBot="1" x14ac:dyDescent="0.3">
      <c r="B10" s="44" t="s">
        <v>147</v>
      </c>
      <c r="C10" s="44"/>
      <c r="D10" s="44"/>
      <c r="E10" s="44"/>
      <c r="F10" s="44"/>
      <c r="G10" s="44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0</v>
      </c>
      <c r="D11" s="13">
        <f>Income_Statement!D51</f>
        <v>0</v>
      </c>
      <c r="E11" s="13">
        <f>Income_Statement!E51</f>
        <v>0</v>
      </c>
      <c r="F11" s="13">
        <f>Income_Statement!F51</f>
        <v>0</v>
      </c>
      <c r="G11" s="13">
        <f>Income_Statement!G51</f>
        <v>0</v>
      </c>
      <c r="I11" s="35"/>
      <c r="J11" s="36"/>
      <c r="K11" s="36"/>
      <c r="L11" s="37"/>
    </row>
    <row r="12" spans="2:15" ht="18.75" x14ac:dyDescent="0.25">
      <c r="B12" s="12" t="str">
        <f>Income_Statement!B61</f>
        <v>Total Shares Outstanding(cr)</v>
      </c>
      <c r="C12" s="13">
        <f>Income_Statement!C61</f>
        <v>-4.4991030834238019</v>
      </c>
      <c r="D12" s="13">
        <f>Income_Statement!D61</f>
        <v>-40.353059853792857</v>
      </c>
      <c r="E12" s="13">
        <f>Income_Statement!E61</f>
        <v>-72.305616518944973</v>
      </c>
      <c r="F12" s="13">
        <f>Income_Statement!F61</f>
        <v>26.106596826239837</v>
      </c>
      <c r="G12" s="13">
        <f>Income_Statement!G61</f>
        <v>-18.850309597523211</v>
      </c>
      <c r="I12" s="38"/>
      <c r="J12" s="39"/>
      <c r="K12" s="39"/>
      <c r="L12" s="40"/>
    </row>
    <row r="13" spans="2:15" ht="19.5" thickBot="1" x14ac:dyDescent="0.3">
      <c r="B13" s="14" t="s">
        <v>148</v>
      </c>
      <c r="C13" s="14">
        <f>ROUND(C11/C12, 2)</f>
        <v>0</v>
      </c>
      <c r="D13" s="14">
        <f t="shared" ref="D13:G13" si="1">ROUND(D11/D12, 2)</f>
        <v>0</v>
      </c>
      <c r="E13" s="14">
        <f t="shared" si="1"/>
        <v>0</v>
      </c>
      <c r="F13" s="14">
        <f t="shared" si="1"/>
        <v>0</v>
      </c>
      <c r="G13" s="14">
        <f t="shared" si="1"/>
        <v>0</v>
      </c>
      <c r="I13" s="41"/>
      <c r="J13" s="42"/>
      <c r="K13" s="42"/>
      <c r="L13" s="43"/>
    </row>
    <row r="14" spans="2:15" ht="15.75" thickTop="1" x14ac:dyDescent="0.25"/>
    <row r="15" spans="2:15" ht="19.5" thickBot="1" x14ac:dyDescent="0.3">
      <c r="B15" s="44" t="s">
        <v>149</v>
      </c>
      <c r="C15" s="44"/>
      <c r="D15" s="44"/>
      <c r="E15" s="44"/>
      <c r="F15" s="44"/>
      <c r="G15" s="44"/>
    </row>
    <row r="16" spans="2:15" ht="19.5" thickTop="1" x14ac:dyDescent="0.25">
      <c r="B16" s="12" t="str">
        <f>Balance_Sheet!B13</f>
        <v>Net Worth</v>
      </c>
      <c r="C16" s="13">
        <f>Balance_Sheet!C13</f>
        <v>2852.15</v>
      </c>
      <c r="D16" s="13">
        <f>Balance_Sheet!D13</f>
        <v>3578.5250773682715</v>
      </c>
      <c r="E16" s="13">
        <f>Balance_Sheet!E13</f>
        <v>4012.388776481941</v>
      </c>
      <c r="F16" s="13">
        <f>Balance_Sheet!F13</f>
        <v>5631.0177797088118</v>
      </c>
      <c r="G16" s="13">
        <f>Balance_Sheet!G13</f>
        <v>6024.6339716592756</v>
      </c>
      <c r="I16" s="35"/>
      <c r="J16" s="36"/>
      <c r="K16" s="36"/>
      <c r="L16" s="37"/>
    </row>
    <row r="17" spans="2:12" ht="18.75" x14ac:dyDescent="0.25">
      <c r="B17" s="12" t="str">
        <f>Income_Statement!B61</f>
        <v>Total Shares Outstanding(cr)</v>
      </c>
      <c r="C17" s="13">
        <f>Income_Statement!C61</f>
        <v>-4.4991030834238019</v>
      </c>
      <c r="D17" s="13">
        <f>Income_Statement!D61</f>
        <v>-40.353059853792857</v>
      </c>
      <c r="E17" s="13">
        <f>Income_Statement!E61</f>
        <v>-72.305616518944973</v>
      </c>
      <c r="F17" s="13">
        <f>Income_Statement!F61</f>
        <v>26.106596826239837</v>
      </c>
      <c r="G17" s="13">
        <f>Income_Statement!G61</f>
        <v>-18.850309597523211</v>
      </c>
      <c r="I17" s="38"/>
      <c r="J17" s="39"/>
      <c r="K17" s="39"/>
      <c r="L17" s="40"/>
    </row>
    <row r="18" spans="2:12" ht="19.5" thickBot="1" x14ac:dyDescent="0.3">
      <c r="B18" s="14" t="s">
        <v>150</v>
      </c>
      <c r="C18" s="14">
        <f>ROUND(C16/C17, 2)</f>
        <v>-633.94000000000005</v>
      </c>
      <c r="D18" s="14">
        <f t="shared" ref="D18:G18" si="2">ROUND(D16/D17, 2)</f>
        <v>-88.68</v>
      </c>
      <c r="E18" s="14">
        <f t="shared" si="2"/>
        <v>-55.49</v>
      </c>
      <c r="F18" s="14">
        <f t="shared" si="2"/>
        <v>215.69</v>
      </c>
      <c r="G18" s="14">
        <f t="shared" si="2"/>
        <v>-319.60000000000002</v>
      </c>
      <c r="I18" s="41"/>
      <c r="J18" s="42"/>
      <c r="K18" s="42"/>
      <c r="L18" s="43"/>
    </row>
    <row r="19" spans="2:12" ht="15.75" thickTop="1" x14ac:dyDescent="0.25"/>
    <row r="20" spans="2:12" ht="18.75" x14ac:dyDescent="0.25">
      <c r="B20" s="44" t="s">
        <v>151</v>
      </c>
      <c r="C20" s="44"/>
      <c r="D20" s="44"/>
      <c r="E20" s="44"/>
      <c r="F20" s="44"/>
      <c r="G20" s="44"/>
    </row>
    <row r="21" spans="2:12" ht="18.75" x14ac:dyDescent="0.25">
      <c r="B21" s="12" t="str">
        <f>Income_Statement!B51</f>
        <v>Equity Share Dividend</v>
      </c>
      <c r="C21" s="13">
        <f>Income_Statement!C51</f>
        <v>0</v>
      </c>
      <c r="D21" s="13">
        <f>Income_Statement!D51</f>
        <v>0</v>
      </c>
      <c r="E21" s="13">
        <f>Income_Statement!E51</f>
        <v>0</v>
      </c>
      <c r="F21" s="13">
        <f>Income_Statement!F51</f>
        <v>0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-4.4991030834238019</v>
      </c>
      <c r="D22" s="13">
        <f>Income_Statement!D61</f>
        <v>-40.353059853792857</v>
      </c>
      <c r="E22" s="13">
        <f>Income_Statement!E61</f>
        <v>-72.305616518944973</v>
      </c>
      <c r="F22" s="13">
        <f>Income_Statement!F61</f>
        <v>26.106596826239837</v>
      </c>
      <c r="G22" s="13">
        <f>Income_Statement!G61</f>
        <v>-18.850309597523211</v>
      </c>
    </row>
    <row r="23" spans="2:12" ht="18.75" x14ac:dyDescent="0.25">
      <c r="B23" s="12" t="s">
        <v>148</v>
      </c>
      <c r="C23" s="13">
        <f>ROUND(C21/C22, 2)</f>
        <v>0</v>
      </c>
      <c r="D23" s="13">
        <f t="shared" ref="D23:G23" si="3">ROUND(D21/D22, 2)</f>
        <v>0</v>
      </c>
      <c r="E23" s="13">
        <f t="shared" si="3"/>
        <v>0</v>
      </c>
      <c r="F23" s="13">
        <f t="shared" si="3"/>
        <v>0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247.4506695883091</v>
      </c>
      <c r="D24" s="13">
        <f>Income_Statement!D49</f>
        <v>726.3550773682714</v>
      </c>
      <c r="E24" s="13">
        <f>Income_Statement!E49</f>
        <v>433.83369911366981</v>
      </c>
      <c r="F24" s="13">
        <f>Income_Statement!F49</f>
        <v>1618.6090032268698</v>
      </c>
      <c r="G24" s="13">
        <f>Income_Statement!G49</f>
        <v>377.0061919504642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-4.4991030834238019</v>
      </c>
      <c r="D25" s="13">
        <f>Income_Statement!D61</f>
        <v>-40.353059853792857</v>
      </c>
      <c r="E25" s="13">
        <f>Income_Statement!E61</f>
        <v>-72.305616518944973</v>
      </c>
      <c r="F25" s="13">
        <f>Income_Statement!F61</f>
        <v>26.106596826239837</v>
      </c>
      <c r="G25" s="13">
        <f>Income_Statement!G61</f>
        <v>-18.850309597523211</v>
      </c>
      <c r="I25" s="35"/>
      <c r="J25" s="36"/>
      <c r="K25" s="36"/>
      <c r="L25" s="37"/>
    </row>
    <row r="26" spans="2:12" ht="18.75" x14ac:dyDescent="0.25">
      <c r="B26" s="12" t="s">
        <v>146</v>
      </c>
      <c r="C26" s="13">
        <f>C24/C25</f>
        <v>-55</v>
      </c>
      <c r="D26" s="13">
        <f t="shared" ref="D26:G26" si="4">D24/D25</f>
        <v>-18</v>
      </c>
      <c r="E26" s="13">
        <f t="shared" si="4"/>
        <v>-6</v>
      </c>
      <c r="F26" s="13">
        <f t="shared" si="4"/>
        <v>62</v>
      </c>
      <c r="G26" s="13">
        <f t="shared" si="4"/>
        <v>-20</v>
      </c>
      <c r="I26" s="38"/>
      <c r="J26" s="39"/>
      <c r="K26" s="39"/>
      <c r="L26" s="40"/>
    </row>
    <row r="27" spans="2:12" ht="19.5" thickBot="1" x14ac:dyDescent="0.3">
      <c r="B27" s="14" t="s">
        <v>152</v>
      </c>
      <c r="C27" s="14">
        <f>ROUND(C23/C26, 2)</f>
        <v>0</v>
      </c>
      <c r="D27" s="14">
        <f t="shared" ref="D27:G27" si="5">ROUND(D23/D26, 2)</f>
        <v>0</v>
      </c>
      <c r="E27" s="14">
        <f t="shared" si="5"/>
        <v>0</v>
      </c>
      <c r="F27" s="14">
        <f t="shared" si="5"/>
        <v>0</v>
      </c>
      <c r="G27" s="14">
        <f t="shared" si="5"/>
        <v>0</v>
      </c>
      <c r="I27" s="41"/>
      <c r="J27" s="42"/>
      <c r="K27" s="42"/>
      <c r="L27" s="43"/>
    </row>
    <row r="28" spans="2:12" ht="15.75" thickTop="1" x14ac:dyDescent="0.25"/>
    <row r="29" spans="2:12" ht="18.75" x14ac:dyDescent="0.25">
      <c r="B29" s="44" t="s">
        <v>153</v>
      </c>
      <c r="C29" s="44"/>
      <c r="D29" s="44"/>
      <c r="E29" s="44"/>
      <c r="F29" s="44"/>
      <c r="G29" s="44"/>
    </row>
    <row r="30" spans="2:12" ht="19.5" thickBot="1" x14ac:dyDescent="0.3">
      <c r="B30" s="12" t="str">
        <f>Income_Statement!B51</f>
        <v>Equity Share Dividend</v>
      </c>
      <c r="C30" s="13">
        <f>Income_Statement!C51</f>
        <v>0</v>
      </c>
      <c r="D30" s="13">
        <f>Income_Statement!D51</f>
        <v>0</v>
      </c>
      <c r="E30" s="13">
        <f>Income_Statement!E51</f>
        <v>0</v>
      </c>
      <c r="F30" s="13">
        <f>Income_Statement!F51</f>
        <v>0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-4.4991030834238019</v>
      </c>
      <c r="D31" s="13">
        <f>Income_Statement!D61</f>
        <v>-40.353059853792857</v>
      </c>
      <c r="E31" s="13">
        <f>Income_Statement!E61</f>
        <v>-72.305616518944973</v>
      </c>
      <c r="F31" s="13">
        <f>Income_Statement!F61</f>
        <v>26.106596826239837</v>
      </c>
      <c r="G31" s="13">
        <f>Income_Statement!G61</f>
        <v>-18.850309597523211</v>
      </c>
      <c r="I31" s="35"/>
      <c r="J31" s="36"/>
      <c r="K31" s="36"/>
      <c r="L31" s="37"/>
    </row>
    <row r="32" spans="2:12" ht="18.75" x14ac:dyDescent="0.25">
      <c r="B32" s="12" t="s">
        <v>154</v>
      </c>
      <c r="C32" s="13">
        <f>ROUND(C30/C31, 2)</f>
        <v>0</v>
      </c>
      <c r="D32" s="13">
        <f t="shared" ref="D32:G32" si="6">ROUND(D30/D31, 2)</f>
        <v>0</v>
      </c>
      <c r="E32" s="13">
        <f t="shared" si="6"/>
        <v>0</v>
      </c>
      <c r="F32" s="13">
        <f t="shared" si="6"/>
        <v>0</v>
      </c>
      <c r="G32" s="13">
        <f t="shared" si="6"/>
        <v>0</v>
      </c>
      <c r="I32" s="38"/>
      <c r="J32" s="39"/>
      <c r="K32" s="39"/>
      <c r="L32" s="40"/>
    </row>
    <row r="33" spans="2:12" ht="19.5" thickBot="1" x14ac:dyDescent="0.3">
      <c r="B33" s="14" t="s">
        <v>155</v>
      </c>
      <c r="C33" s="15">
        <f>1-C32</f>
        <v>1</v>
      </c>
      <c r="D33" s="15">
        <f t="shared" ref="D33:G33" si="7">1-D32</f>
        <v>1</v>
      </c>
      <c r="E33" s="15">
        <f t="shared" si="7"/>
        <v>1</v>
      </c>
      <c r="F33" s="15">
        <f t="shared" si="7"/>
        <v>1</v>
      </c>
      <c r="G33" s="15">
        <f t="shared" si="7"/>
        <v>1</v>
      </c>
      <c r="I33" s="41"/>
      <c r="J33" s="42"/>
      <c r="K33" s="42"/>
      <c r="L33" s="43"/>
    </row>
    <row r="34" spans="2:12" ht="15.75" thickTop="1" x14ac:dyDescent="0.25"/>
    <row r="35" spans="2:12" ht="19.5" thickBot="1" x14ac:dyDescent="0.3">
      <c r="B35" s="44" t="s">
        <v>156</v>
      </c>
      <c r="C35" s="44"/>
      <c r="D35" s="44"/>
      <c r="E35" s="44"/>
      <c r="F35" s="44"/>
      <c r="G35" s="44"/>
    </row>
    <row r="36" spans="2:12" ht="19.5" thickTop="1" x14ac:dyDescent="0.25">
      <c r="B36" s="12" t="str">
        <f>Income_Statement!B5</f>
        <v>Gross Sales</v>
      </c>
      <c r="C36" s="13">
        <f>Income_Statement!C5</f>
        <v>3920.17</v>
      </c>
      <c r="D36" s="13">
        <f>Income_Statement!D5</f>
        <v>4139.9399999999996</v>
      </c>
      <c r="E36" s="13">
        <f>Income_Statement!E5</f>
        <v>2833.03</v>
      </c>
      <c r="F36" s="13">
        <f>Income_Statement!F5</f>
        <v>2699.21</v>
      </c>
      <c r="G36" s="13">
        <f>Income_Statement!G5</f>
        <v>3230</v>
      </c>
      <c r="I36" s="35"/>
      <c r="J36" s="36"/>
      <c r="K36" s="36"/>
      <c r="L36" s="37"/>
    </row>
    <row r="37" spans="2:12" ht="18.75" x14ac:dyDescent="0.25">
      <c r="B37" s="12" t="str">
        <f>Income_Statement!B17</f>
        <v>Cost Of Materials Consumed</v>
      </c>
      <c r="C37" s="13">
        <f>Income_Statement!C17</f>
        <v>867.53</v>
      </c>
      <c r="D37" s="13">
        <f>Income_Statement!D17</f>
        <v>854.18</v>
      </c>
      <c r="E37" s="13">
        <f>Income_Statement!E17</f>
        <v>621.72</v>
      </c>
      <c r="F37" s="13">
        <f>Income_Statement!F17</f>
        <v>682.43</v>
      </c>
      <c r="G37" s="13">
        <f>Income_Statement!G17</f>
        <v>612</v>
      </c>
      <c r="I37" s="38"/>
      <c r="J37" s="39"/>
      <c r="K37" s="39"/>
      <c r="L37" s="40"/>
    </row>
    <row r="38" spans="2:12" ht="19.5" thickBot="1" x14ac:dyDescent="0.3">
      <c r="B38" s="14" t="s">
        <v>157</v>
      </c>
      <c r="C38" s="16">
        <f>ROUND(C36- C37, 2)</f>
        <v>3052.64</v>
      </c>
      <c r="D38" s="16">
        <f t="shared" ref="D38:G38" si="8">ROUND(D36- D37, 2)</f>
        <v>3285.76</v>
      </c>
      <c r="E38" s="16">
        <f t="shared" si="8"/>
        <v>2211.31</v>
      </c>
      <c r="F38" s="16">
        <f t="shared" si="8"/>
        <v>2016.78</v>
      </c>
      <c r="G38" s="16">
        <f t="shared" si="8"/>
        <v>2618</v>
      </c>
      <c r="I38" s="41"/>
      <c r="J38" s="42"/>
      <c r="K38" s="42"/>
      <c r="L38" s="43"/>
    </row>
    <row r="39" spans="2:12" ht="15.75" thickTop="1" x14ac:dyDescent="0.25"/>
    <row r="40" spans="2:12" ht="19.5" thickBot="1" x14ac:dyDescent="0.3">
      <c r="B40" s="44" t="s">
        <v>158</v>
      </c>
      <c r="C40" s="44"/>
      <c r="D40" s="44"/>
      <c r="E40" s="44"/>
      <c r="F40" s="44"/>
      <c r="G40" s="44"/>
    </row>
    <row r="41" spans="2:12" ht="19.5" thickTop="1" x14ac:dyDescent="0.25">
      <c r="B41" s="12" t="str">
        <f>Income_Statement!B5</f>
        <v>Gross Sales</v>
      </c>
      <c r="C41" s="13">
        <f>Income_Statement!C5</f>
        <v>3920.17</v>
      </c>
      <c r="D41" s="13">
        <f>Income_Statement!D5</f>
        <v>4139.9399999999996</v>
      </c>
      <c r="E41" s="13">
        <f>Income_Statement!E5</f>
        <v>2833.03</v>
      </c>
      <c r="F41" s="13">
        <f>Income_Statement!F5</f>
        <v>2699.21</v>
      </c>
      <c r="G41" s="13">
        <f>Income_Statement!G5</f>
        <v>3230</v>
      </c>
      <c r="I41" s="35"/>
      <c r="J41" s="36"/>
      <c r="K41" s="36"/>
      <c r="L41" s="37"/>
    </row>
    <row r="42" spans="2:12" ht="18.75" x14ac:dyDescent="0.25">
      <c r="B42" s="12" t="str">
        <f>Income_Statement!B25</f>
        <v>Total Expenditure</v>
      </c>
      <c r="C42" s="13">
        <f>Income_Statement!C25</f>
        <v>3005.0699999999997</v>
      </c>
      <c r="D42" s="13">
        <f>Income_Statement!D25</f>
        <v>3088.34</v>
      </c>
      <c r="E42" s="13">
        <f>Income_Statement!E25</f>
        <v>2143.23</v>
      </c>
      <c r="F42" s="13">
        <f>Income_Statement!F25</f>
        <v>2318.27</v>
      </c>
      <c r="G42" s="13">
        <f>Income_Statement!G25</f>
        <v>2277</v>
      </c>
      <c r="I42" s="38"/>
      <c r="J42" s="39"/>
      <c r="K42" s="39"/>
      <c r="L42" s="40"/>
    </row>
    <row r="43" spans="2:12" ht="19.5" thickBot="1" x14ac:dyDescent="0.3">
      <c r="B43" s="14" t="s">
        <v>159</v>
      </c>
      <c r="C43" s="16">
        <f>ROUND(C41- C42, 2)</f>
        <v>915.1</v>
      </c>
      <c r="D43" s="16">
        <f t="shared" ref="D43:G43" si="9">ROUND(D41- D42, 2)</f>
        <v>1051.5999999999999</v>
      </c>
      <c r="E43" s="16">
        <f t="shared" si="9"/>
        <v>689.8</v>
      </c>
      <c r="F43" s="16">
        <f t="shared" si="9"/>
        <v>380.94</v>
      </c>
      <c r="G43" s="16">
        <f t="shared" si="9"/>
        <v>953</v>
      </c>
      <c r="I43" s="41"/>
      <c r="J43" s="42"/>
      <c r="K43" s="42"/>
      <c r="L43" s="43"/>
    </row>
    <row r="44" spans="2:12" ht="15.75" thickTop="1" x14ac:dyDescent="0.25"/>
    <row r="45" spans="2:12" ht="19.5" thickBot="1" x14ac:dyDescent="0.3">
      <c r="B45" s="44" t="s">
        <v>160</v>
      </c>
      <c r="C45" s="44"/>
      <c r="D45" s="44"/>
      <c r="E45" s="44"/>
      <c r="F45" s="44"/>
      <c r="G45" s="44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247.4506695883091</v>
      </c>
      <c r="D46" s="13">
        <f>Income_Statement!D49</f>
        <v>726.3550773682714</v>
      </c>
      <c r="E46" s="13">
        <f>Income_Statement!E49</f>
        <v>433.83369911366981</v>
      </c>
      <c r="F46" s="13">
        <f>Income_Statement!F49</f>
        <v>1618.6090032268698</v>
      </c>
      <c r="G46" s="13">
        <f>Income_Statement!G49</f>
        <v>377.0061919504642</v>
      </c>
      <c r="I46" s="35"/>
      <c r="J46" s="36"/>
      <c r="K46" s="36"/>
      <c r="L46" s="37"/>
    </row>
    <row r="47" spans="2:12" ht="18.75" x14ac:dyDescent="0.25">
      <c r="B47" s="12" t="str">
        <f>Balance_Sheet!B74</f>
        <v>Total Assets</v>
      </c>
      <c r="C47" s="13">
        <f>Balance_Sheet!C74</f>
        <v>8162.04</v>
      </c>
      <c r="D47" s="13">
        <f>Balance_Sheet!D74</f>
        <v>8500.8750773682714</v>
      </c>
      <c r="E47" s="13">
        <f>Balance_Sheet!E74</f>
        <v>9519.6287764819408</v>
      </c>
      <c r="F47" s="13">
        <f>Balance_Sheet!F74</f>
        <v>10026.947779708811</v>
      </c>
      <c r="G47" s="13">
        <f>Balance_Sheet!G74</f>
        <v>10418.633971659276</v>
      </c>
      <c r="I47" s="38"/>
      <c r="J47" s="39"/>
      <c r="K47" s="39"/>
      <c r="L47" s="40"/>
    </row>
    <row r="48" spans="2:12" ht="19.5" thickBot="1" x14ac:dyDescent="0.3">
      <c r="B48" s="14" t="s">
        <v>161</v>
      </c>
      <c r="C48" s="15">
        <f>ROUND(C46/ C47, 2)</f>
        <v>0.03</v>
      </c>
      <c r="D48" s="15">
        <f t="shared" ref="D48:G48" si="10">ROUND(D46/ D47, 2)</f>
        <v>0.09</v>
      </c>
      <c r="E48" s="15">
        <f t="shared" si="10"/>
        <v>0.05</v>
      </c>
      <c r="F48" s="15">
        <f t="shared" si="10"/>
        <v>0.16</v>
      </c>
      <c r="G48" s="15">
        <f t="shared" si="10"/>
        <v>0.04</v>
      </c>
      <c r="I48" s="41"/>
      <c r="J48" s="42"/>
      <c r="K48" s="42"/>
      <c r="L48" s="43"/>
    </row>
    <row r="49" spans="2:12" ht="15.75" thickTop="1" x14ac:dyDescent="0.25"/>
    <row r="50" spans="2:12" ht="18.75" x14ac:dyDescent="0.25">
      <c r="B50" s="44" t="s">
        <v>162</v>
      </c>
      <c r="C50" s="44"/>
      <c r="D50" s="44"/>
      <c r="E50" s="44"/>
      <c r="F50" s="44"/>
      <c r="G50" s="44"/>
    </row>
    <row r="51" spans="2:12" ht="19.5" thickBot="1" x14ac:dyDescent="0.3">
      <c r="B51" s="12" t="str">
        <f>Income_Statement!B33</f>
        <v>PBIT</v>
      </c>
      <c r="C51" s="13">
        <f>Income_Statement!C33</f>
        <v>886.83066958830909</v>
      </c>
      <c r="D51" s="13">
        <f>Income_Statement!D33</f>
        <v>907.58507736827141</v>
      </c>
      <c r="E51" s="13">
        <f>Income_Statement!E33</f>
        <v>505.48369911366979</v>
      </c>
      <c r="F51" s="13">
        <f>Income_Statement!F33</f>
        <v>268.23900322686995</v>
      </c>
      <c r="G51" s="13">
        <f>Income_Statement!G33</f>
        <v>727.0061919504642</v>
      </c>
    </row>
    <row r="52" spans="2:12" ht="19.5" thickTop="1" x14ac:dyDescent="0.25">
      <c r="B52" s="12" t="str">
        <f>Balance_Sheet!B21</f>
        <v>Total Debt</v>
      </c>
      <c r="C52" s="13">
        <f>Balance_Sheet!C21</f>
        <v>2644.65</v>
      </c>
      <c r="D52" s="13">
        <f>Balance_Sheet!D21</f>
        <v>2250.3000000000002</v>
      </c>
      <c r="E52" s="13">
        <f>Balance_Sheet!E21</f>
        <v>2176.0100000000002</v>
      </c>
      <c r="F52" s="13">
        <f>Balance_Sheet!F21</f>
        <v>1597.4099999999999</v>
      </c>
      <c r="G52" s="13">
        <f>Balance_Sheet!G21</f>
        <v>1890</v>
      </c>
      <c r="I52" s="35"/>
      <c r="J52" s="36"/>
      <c r="K52" s="36"/>
      <c r="L52" s="37"/>
    </row>
    <row r="53" spans="2:12" ht="18.75" x14ac:dyDescent="0.25">
      <c r="B53" s="12" t="str">
        <f>Balance_Sheet!B13</f>
        <v>Net Worth</v>
      </c>
      <c r="C53" s="13">
        <f>Balance_Sheet!C13</f>
        <v>2852.15</v>
      </c>
      <c r="D53" s="13">
        <f>Balance_Sheet!D13</f>
        <v>3578.5250773682715</v>
      </c>
      <c r="E53" s="13">
        <f>Balance_Sheet!E13</f>
        <v>4012.388776481941</v>
      </c>
      <c r="F53" s="13">
        <f>Balance_Sheet!F13</f>
        <v>5631.0177797088118</v>
      </c>
      <c r="G53" s="13">
        <f>Balance_Sheet!G13</f>
        <v>6024.6339716592756</v>
      </c>
      <c r="I53" s="38"/>
      <c r="J53" s="39"/>
      <c r="K53" s="39"/>
      <c r="L53" s="40"/>
    </row>
    <row r="54" spans="2:12" ht="19.5" thickBot="1" x14ac:dyDescent="0.3">
      <c r="B54" s="14" t="s">
        <v>163</v>
      </c>
      <c r="C54" s="15">
        <f>ROUND(C51/ (C52+ C52), 2)</f>
        <v>0.17</v>
      </c>
      <c r="D54" s="15">
        <f t="shared" ref="D54:G54" si="11">ROUND(D51/ (D52+ D52), 2)</f>
        <v>0.2</v>
      </c>
      <c r="E54" s="15">
        <f t="shared" si="11"/>
        <v>0.12</v>
      </c>
      <c r="F54" s="15">
        <f t="shared" si="11"/>
        <v>0.08</v>
      </c>
      <c r="G54" s="15">
        <f t="shared" si="11"/>
        <v>0.19</v>
      </c>
      <c r="I54" s="41"/>
      <c r="J54" s="42"/>
      <c r="K54" s="42"/>
      <c r="L54" s="43"/>
    </row>
    <row r="55" spans="2:12" ht="15.75" thickTop="1" x14ac:dyDescent="0.25"/>
    <row r="56" spans="2:12" ht="19.5" thickBot="1" x14ac:dyDescent="0.3">
      <c r="B56" s="44" t="s">
        <v>164</v>
      </c>
      <c r="C56" s="44"/>
      <c r="D56" s="44"/>
      <c r="E56" s="44"/>
      <c r="F56" s="44"/>
      <c r="G56" s="44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247.4506695883091</v>
      </c>
      <c r="D57" s="13">
        <f>Income_Statement!D49</f>
        <v>726.3550773682714</v>
      </c>
      <c r="E57" s="13">
        <f>Income_Statement!E49</f>
        <v>433.83369911366981</v>
      </c>
      <c r="F57" s="13">
        <f>Income_Statement!F49</f>
        <v>1618.6090032268698</v>
      </c>
      <c r="G57" s="13">
        <f>Income_Statement!G49</f>
        <v>377.0061919504642</v>
      </c>
      <c r="I57" s="35"/>
      <c r="J57" s="36"/>
      <c r="K57" s="36"/>
      <c r="L57" s="37"/>
    </row>
    <row r="58" spans="2:12" ht="18.75" x14ac:dyDescent="0.25">
      <c r="B58" s="12" t="str">
        <f>Balance_Sheet!B13</f>
        <v>Net Worth</v>
      </c>
      <c r="C58" s="13">
        <f>Balance_Sheet!C13</f>
        <v>2852.15</v>
      </c>
      <c r="D58" s="13">
        <f>Balance_Sheet!D13</f>
        <v>3578.5250773682715</v>
      </c>
      <c r="E58" s="13">
        <f>Balance_Sheet!E13</f>
        <v>4012.388776481941</v>
      </c>
      <c r="F58" s="13">
        <f>Balance_Sheet!F13</f>
        <v>5631.0177797088118</v>
      </c>
      <c r="G58" s="13">
        <f>Balance_Sheet!G13</f>
        <v>6024.6339716592756</v>
      </c>
      <c r="I58" s="38"/>
      <c r="J58" s="39"/>
      <c r="K58" s="39"/>
      <c r="L58" s="40"/>
    </row>
    <row r="59" spans="2:12" ht="19.5" thickBot="1" x14ac:dyDescent="0.3">
      <c r="B59" s="14" t="s">
        <v>165</v>
      </c>
      <c r="C59" s="15">
        <f>ROUND(C57/ (C58+ C58), 2)</f>
        <v>0.04</v>
      </c>
      <c r="D59" s="15">
        <f t="shared" ref="D59:G59" si="12">ROUND(D57/ (D58+ D58), 2)</f>
        <v>0.1</v>
      </c>
      <c r="E59" s="15">
        <f t="shared" si="12"/>
        <v>0.05</v>
      </c>
      <c r="F59" s="15">
        <f t="shared" si="12"/>
        <v>0.14000000000000001</v>
      </c>
      <c r="G59" s="15">
        <f t="shared" si="12"/>
        <v>0.03</v>
      </c>
      <c r="I59" s="41"/>
      <c r="J59" s="42"/>
      <c r="K59" s="42"/>
      <c r="L59" s="43"/>
    </row>
    <row r="60" spans="2:12" ht="15.75" thickTop="1" x14ac:dyDescent="0.25"/>
    <row r="61" spans="2:12" ht="19.5" thickBot="1" x14ac:dyDescent="0.3">
      <c r="B61" s="44" t="s">
        <v>166</v>
      </c>
      <c r="C61" s="44"/>
      <c r="D61" s="44"/>
      <c r="E61" s="44"/>
      <c r="F61" s="44"/>
      <c r="G61" s="44"/>
    </row>
    <row r="62" spans="2:12" ht="19.5" thickTop="1" x14ac:dyDescent="0.25">
      <c r="B62" s="12" t="str">
        <f>Balance_Sheet!B21</f>
        <v>Total Debt</v>
      </c>
      <c r="C62" s="13">
        <f>Balance_Sheet!C21</f>
        <v>2644.65</v>
      </c>
      <c r="D62" s="13">
        <f>Balance_Sheet!D21</f>
        <v>2250.3000000000002</v>
      </c>
      <c r="E62" s="13">
        <f>Balance_Sheet!E21</f>
        <v>2176.0100000000002</v>
      </c>
      <c r="F62" s="13">
        <f>Balance_Sheet!F21</f>
        <v>1597.4099999999999</v>
      </c>
      <c r="G62" s="13">
        <f>Balance_Sheet!G21</f>
        <v>1890</v>
      </c>
      <c r="I62" s="35"/>
      <c r="J62" s="36"/>
      <c r="K62" s="36"/>
      <c r="L62" s="37"/>
    </row>
    <row r="63" spans="2:12" ht="18.75" x14ac:dyDescent="0.25">
      <c r="B63" s="12" t="str">
        <f>Balance_Sheet!B13</f>
        <v>Net Worth</v>
      </c>
      <c r="C63" s="13">
        <f>Balance_Sheet!C13</f>
        <v>2852.15</v>
      </c>
      <c r="D63" s="13">
        <f>Balance_Sheet!D13</f>
        <v>3578.5250773682715</v>
      </c>
      <c r="E63" s="13">
        <f>Balance_Sheet!E13</f>
        <v>4012.388776481941</v>
      </c>
      <c r="F63" s="13">
        <f>Balance_Sheet!F13</f>
        <v>5631.0177797088118</v>
      </c>
      <c r="G63" s="13">
        <f>Balance_Sheet!G13</f>
        <v>6024.6339716592756</v>
      </c>
      <c r="I63" s="38"/>
      <c r="J63" s="39"/>
      <c r="K63" s="39"/>
      <c r="L63" s="40"/>
    </row>
    <row r="64" spans="2:12" ht="19.5" thickBot="1" x14ac:dyDescent="0.3">
      <c r="B64" s="14" t="s">
        <v>167</v>
      </c>
      <c r="C64" s="14">
        <f>ROUND(C62/ C63, 2)</f>
        <v>0.93</v>
      </c>
      <c r="D64" s="14">
        <f t="shared" ref="D64:G64" si="13">ROUND(D62/ D63, 2)</f>
        <v>0.63</v>
      </c>
      <c r="E64" s="14">
        <f t="shared" si="13"/>
        <v>0.54</v>
      </c>
      <c r="F64" s="14">
        <f t="shared" si="13"/>
        <v>0.28000000000000003</v>
      </c>
      <c r="G64" s="14">
        <f t="shared" si="13"/>
        <v>0.31</v>
      </c>
      <c r="I64" s="41"/>
      <c r="J64" s="42"/>
      <c r="K64" s="42"/>
      <c r="L64" s="43"/>
    </row>
    <row r="65" spans="2:12" ht="15.75" thickTop="1" x14ac:dyDescent="0.25"/>
    <row r="66" spans="2:12" ht="19.5" thickBot="1" x14ac:dyDescent="0.3">
      <c r="B66" s="44" t="s">
        <v>168</v>
      </c>
      <c r="C66" s="44"/>
      <c r="D66" s="44"/>
      <c r="E66" s="44"/>
      <c r="F66" s="44"/>
      <c r="G66" s="44"/>
    </row>
    <row r="67" spans="2:12" ht="19.5" thickTop="1" x14ac:dyDescent="0.25">
      <c r="B67" s="12" t="str">
        <f>Balance_Sheet!B72</f>
        <v>Total Current Assets</v>
      </c>
      <c r="C67" s="13">
        <f>Balance_Sheet!C72</f>
        <v>3627.8100000000004</v>
      </c>
      <c r="D67" s="13">
        <f>Balance_Sheet!D72</f>
        <v>5529.3750773682714</v>
      </c>
      <c r="E67" s="13">
        <f>Balance_Sheet!E72</f>
        <v>6445.7987764819409</v>
      </c>
      <c r="F67" s="13">
        <f>Balance_Sheet!F72</f>
        <v>7620.7977797088115</v>
      </c>
      <c r="G67" s="13">
        <f>Balance_Sheet!G72</f>
        <v>7388.8339716592754</v>
      </c>
      <c r="I67" s="35"/>
      <c r="J67" s="36"/>
      <c r="K67" s="36"/>
      <c r="L67" s="37"/>
    </row>
    <row r="68" spans="2:12" ht="18.75" x14ac:dyDescent="0.25">
      <c r="B68" s="12" t="str">
        <f>Balance_Sheet!B33</f>
        <v>Total Current Liabilities</v>
      </c>
      <c r="C68" s="13">
        <f>Balance_Sheet!C33</f>
        <v>2319.5100000000002</v>
      </c>
      <c r="D68" s="13">
        <f>Balance_Sheet!D33</f>
        <v>2342.2199999999998</v>
      </c>
      <c r="E68" s="13">
        <f>Balance_Sheet!E33</f>
        <v>2945.44</v>
      </c>
      <c r="F68" s="13">
        <f>Balance_Sheet!F33</f>
        <v>2415.0299999999997</v>
      </c>
      <c r="G68" s="13">
        <f>Balance_Sheet!G33</f>
        <v>2151</v>
      </c>
      <c r="I68" s="38"/>
      <c r="J68" s="39"/>
      <c r="K68" s="39"/>
      <c r="L68" s="40"/>
    </row>
    <row r="69" spans="2:12" ht="19.5" thickBot="1" x14ac:dyDescent="0.3">
      <c r="B69" s="14" t="s">
        <v>169</v>
      </c>
      <c r="C69" s="14">
        <f>ROUND(C67/ C68, 2)</f>
        <v>1.56</v>
      </c>
      <c r="D69" s="14">
        <f t="shared" ref="D69:G69" si="14">ROUND(D67/ D68, 2)</f>
        <v>2.36</v>
      </c>
      <c r="E69" s="14">
        <f t="shared" si="14"/>
        <v>2.19</v>
      </c>
      <c r="F69" s="14">
        <f t="shared" si="14"/>
        <v>3.16</v>
      </c>
      <c r="G69" s="14">
        <f t="shared" si="14"/>
        <v>3.44</v>
      </c>
      <c r="I69" s="41"/>
      <c r="J69" s="42"/>
      <c r="K69" s="42"/>
      <c r="L69" s="43"/>
    </row>
    <row r="70" spans="2:12" ht="15.75" thickTop="1" x14ac:dyDescent="0.25"/>
    <row r="71" spans="2:12" ht="18.75" x14ac:dyDescent="0.25">
      <c r="B71" s="44" t="s">
        <v>170</v>
      </c>
      <c r="C71" s="44"/>
      <c r="D71" s="44"/>
      <c r="E71" s="44"/>
      <c r="F71" s="44"/>
      <c r="G71" s="44"/>
    </row>
    <row r="72" spans="2:12" ht="19.5" thickBot="1" x14ac:dyDescent="0.3">
      <c r="B72" s="12" t="str">
        <f>Balance_Sheet!B72</f>
        <v>Total Current Assets</v>
      </c>
      <c r="C72" s="13">
        <f>Balance_Sheet!C72</f>
        <v>3627.8100000000004</v>
      </c>
      <c r="D72" s="13">
        <f>Balance_Sheet!D72</f>
        <v>5529.3750773682714</v>
      </c>
      <c r="E72" s="13">
        <f>Balance_Sheet!E72</f>
        <v>6445.7987764819409</v>
      </c>
      <c r="F72" s="13">
        <f>Balance_Sheet!F72</f>
        <v>7620.7977797088115</v>
      </c>
      <c r="G72" s="13">
        <f>Balance_Sheet!G72</f>
        <v>7388.8339716592754</v>
      </c>
    </row>
    <row r="73" spans="2:12" ht="19.5" thickTop="1" x14ac:dyDescent="0.25">
      <c r="B73" s="12" t="str">
        <f>Balance_Sheet!B66</f>
        <v>Inventories</v>
      </c>
      <c r="C73" s="13">
        <f>Balance_Sheet!C66</f>
        <v>855.71</v>
      </c>
      <c r="D73" s="13">
        <f>Balance_Sheet!D66</f>
        <v>819.36</v>
      </c>
      <c r="E73" s="13">
        <f>Balance_Sheet!E66</f>
        <v>689.83</v>
      </c>
      <c r="F73" s="13">
        <f>Balance_Sheet!F66</f>
        <v>798.88</v>
      </c>
      <c r="G73" s="13">
        <f>Balance_Sheet!G66</f>
        <v>769</v>
      </c>
      <c r="I73" s="35"/>
      <c r="J73" s="36"/>
      <c r="K73" s="36"/>
      <c r="L73" s="37"/>
    </row>
    <row r="74" spans="2:12" ht="18.75" x14ac:dyDescent="0.25">
      <c r="B74" s="12" t="str">
        <f>Balance_Sheet!B33</f>
        <v>Total Current Liabilities</v>
      </c>
      <c r="C74" s="13">
        <f>Balance_Sheet!C33</f>
        <v>2319.5100000000002</v>
      </c>
      <c r="D74" s="13">
        <f>Balance_Sheet!D33</f>
        <v>2342.2199999999998</v>
      </c>
      <c r="E74" s="13">
        <f>Balance_Sheet!E33</f>
        <v>2945.44</v>
      </c>
      <c r="F74" s="13">
        <f>Balance_Sheet!F33</f>
        <v>2415.0299999999997</v>
      </c>
      <c r="G74" s="13">
        <f>Balance_Sheet!G33</f>
        <v>2151</v>
      </c>
      <c r="I74" s="38"/>
      <c r="J74" s="39"/>
      <c r="K74" s="39"/>
      <c r="L74" s="40"/>
    </row>
    <row r="75" spans="2:12" ht="19.5" thickBot="1" x14ac:dyDescent="0.3">
      <c r="B75" s="14" t="s">
        <v>171</v>
      </c>
      <c r="C75" s="14">
        <f>ROUND((C72-C73)/ C74, 2)</f>
        <v>1.2</v>
      </c>
      <c r="D75" s="14">
        <f t="shared" ref="D75:G75" si="15">ROUND((D72-D73)/ D74, 2)</f>
        <v>2.0099999999999998</v>
      </c>
      <c r="E75" s="14">
        <f t="shared" si="15"/>
        <v>1.95</v>
      </c>
      <c r="F75" s="14">
        <f t="shared" si="15"/>
        <v>2.82</v>
      </c>
      <c r="G75" s="14">
        <f t="shared" si="15"/>
        <v>3.08</v>
      </c>
      <c r="I75" s="41"/>
      <c r="J75" s="42"/>
      <c r="K75" s="42"/>
      <c r="L75" s="43"/>
    </row>
    <row r="76" spans="2:12" ht="15.75" thickTop="1" x14ac:dyDescent="0.25"/>
    <row r="77" spans="2:12" ht="19.5" thickBot="1" x14ac:dyDescent="0.3">
      <c r="B77" s="44" t="s">
        <v>172</v>
      </c>
      <c r="C77" s="44"/>
      <c r="D77" s="44"/>
      <c r="E77" s="44"/>
      <c r="F77" s="44"/>
      <c r="G77" s="44"/>
    </row>
    <row r="78" spans="2:12" ht="19.5" thickTop="1" x14ac:dyDescent="0.25">
      <c r="B78" s="12" t="str">
        <f>Income_Statement!B33</f>
        <v>PBIT</v>
      </c>
      <c r="C78" s="13">
        <f>Income_Statement!C33</f>
        <v>886.83066958830909</v>
      </c>
      <c r="D78" s="13">
        <f>Income_Statement!D33</f>
        <v>907.58507736827141</v>
      </c>
      <c r="E78" s="13">
        <f>Income_Statement!E33</f>
        <v>505.48369911366979</v>
      </c>
      <c r="F78" s="13">
        <f>Income_Statement!F33</f>
        <v>268.23900322686995</v>
      </c>
      <c r="G78" s="13">
        <f>Income_Statement!G33</f>
        <v>727.0061919504642</v>
      </c>
      <c r="I78" s="35"/>
      <c r="J78" s="36"/>
      <c r="K78" s="36"/>
      <c r="L78" s="37"/>
    </row>
    <row r="79" spans="2:12" ht="18.75" x14ac:dyDescent="0.25">
      <c r="B79" s="12" t="str">
        <f>Income_Statement!B35</f>
        <v>Finance Costs</v>
      </c>
      <c r="C79" s="13">
        <f>Income_Statement!C35</f>
        <v>255.49</v>
      </c>
      <c r="D79" s="13">
        <f>Income_Statement!D35</f>
        <v>264.89</v>
      </c>
      <c r="E79" s="13">
        <f>Income_Statement!E35</f>
        <v>275.74</v>
      </c>
      <c r="F79" s="13">
        <f>Income_Statement!F35</f>
        <v>249.08</v>
      </c>
      <c r="G79" s="13">
        <f>Income_Statement!G35</f>
        <v>299</v>
      </c>
      <c r="I79" s="38"/>
      <c r="J79" s="39"/>
      <c r="K79" s="39"/>
      <c r="L79" s="40"/>
    </row>
    <row r="80" spans="2:12" ht="19.5" thickBot="1" x14ac:dyDescent="0.3">
      <c r="B80" s="14" t="s">
        <v>173</v>
      </c>
      <c r="C80" s="14">
        <f>ROUND(C78/C79, 2)</f>
        <v>3.47</v>
      </c>
      <c r="D80" s="14">
        <f t="shared" ref="D80:G80" si="16">ROUND(D78/D79, 2)</f>
        <v>3.43</v>
      </c>
      <c r="E80" s="14">
        <f t="shared" si="16"/>
        <v>1.83</v>
      </c>
      <c r="F80" s="14">
        <f t="shared" si="16"/>
        <v>1.08</v>
      </c>
      <c r="G80" s="14">
        <f t="shared" si="16"/>
        <v>2.4300000000000002</v>
      </c>
      <c r="I80" s="41"/>
      <c r="J80" s="42"/>
      <c r="K80" s="42"/>
      <c r="L80" s="43"/>
    </row>
    <row r="81" spans="2:12" ht="15.75" thickTop="1" x14ac:dyDescent="0.25"/>
    <row r="82" spans="2:12" ht="19.5" thickBot="1" x14ac:dyDescent="0.3">
      <c r="B82" s="44" t="s">
        <v>174</v>
      </c>
      <c r="C82" s="44"/>
      <c r="D82" s="44"/>
      <c r="E82" s="44"/>
      <c r="F82" s="44"/>
      <c r="G82" s="44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867.53</v>
      </c>
      <c r="D83" s="13">
        <f>Income_Statement!D17</f>
        <v>854.18</v>
      </c>
      <c r="E83" s="13">
        <f>Income_Statement!E17</f>
        <v>621.72</v>
      </c>
      <c r="F83" s="13">
        <f>Income_Statement!F17</f>
        <v>682.43</v>
      </c>
      <c r="G83" s="13">
        <f>Income_Statement!G17</f>
        <v>612</v>
      </c>
      <c r="I83" s="35"/>
      <c r="J83" s="36"/>
      <c r="K83" s="36"/>
      <c r="L83" s="37"/>
    </row>
    <row r="84" spans="2:12" ht="18.75" x14ac:dyDescent="0.25">
      <c r="B84" s="12" t="str">
        <f>Income_Statement!B9</f>
        <v>Net Sales</v>
      </c>
      <c r="C84" s="13">
        <f>Income_Statement!C9</f>
        <v>3920.17</v>
      </c>
      <c r="D84" s="13">
        <f>Income_Statement!D9</f>
        <v>4139.9399999999996</v>
      </c>
      <c r="E84" s="13">
        <f>Income_Statement!E9</f>
        <v>2833.03</v>
      </c>
      <c r="F84" s="13">
        <f>Income_Statement!F9</f>
        <v>2699.21</v>
      </c>
      <c r="G84" s="13">
        <f>Income_Statement!G9</f>
        <v>3230</v>
      </c>
      <c r="I84" s="38"/>
      <c r="J84" s="39"/>
      <c r="K84" s="39"/>
      <c r="L84" s="40"/>
    </row>
    <row r="85" spans="2:12" ht="19.5" thickBot="1" x14ac:dyDescent="0.3">
      <c r="B85" s="14" t="s">
        <v>175</v>
      </c>
      <c r="C85" s="14">
        <f>ROUND(C83/C84, 2)</f>
        <v>0.22</v>
      </c>
      <c r="D85" s="14">
        <f t="shared" ref="D85:G85" si="17">ROUND(D83/D84, 2)</f>
        <v>0.21</v>
      </c>
      <c r="E85" s="14">
        <f t="shared" si="17"/>
        <v>0.22</v>
      </c>
      <c r="F85" s="14">
        <f t="shared" si="17"/>
        <v>0.25</v>
      </c>
      <c r="G85" s="14">
        <f t="shared" si="17"/>
        <v>0.19</v>
      </c>
      <c r="I85" s="41"/>
      <c r="J85" s="42"/>
      <c r="K85" s="42"/>
      <c r="L85" s="43"/>
    </row>
    <row r="86" spans="2:12" ht="15.75" thickTop="1" x14ac:dyDescent="0.25"/>
    <row r="87" spans="2:12" ht="19.5" thickBot="1" x14ac:dyDescent="0.3">
      <c r="B87" s="44" t="s">
        <v>176</v>
      </c>
      <c r="C87" s="44"/>
      <c r="D87" s="44"/>
      <c r="E87" s="44"/>
      <c r="F87" s="44"/>
      <c r="G87" s="44"/>
    </row>
    <row r="88" spans="2:12" ht="19.5" thickTop="1" x14ac:dyDescent="0.25">
      <c r="B88" s="12" t="str">
        <f>Balance_Sheet!B70</f>
        <v>Cash And Cash Equivalents</v>
      </c>
      <c r="C88" s="13">
        <f>Balance_Sheet!C70</f>
        <v>1082.25</v>
      </c>
      <c r="D88" s="13">
        <f>Balance_Sheet!D70</f>
        <v>2650.7850773682712</v>
      </c>
      <c r="E88" s="13">
        <f>Balance_Sheet!E70</f>
        <v>3622.618776481941</v>
      </c>
      <c r="F88" s="13">
        <f>Balance_Sheet!F70</f>
        <v>4862.4077797088112</v>
      </c>
      <c r="G88" s="13">
        <f>Balance_Sheet!G70</f>
        <v>4355.8339716592754</v>
      </c>
      <c r="I88" s="35"/>
      <c r="J88" s="36"/>
      <c r="K88" s="36"/>
      <c r="L88" s="37"/>
    </row>
    <row r="89" spans="2:12" ht="18.75" x14ac:dyDescent="0.25">
      <c r="B89" s="12" t="str">
        <f>Income_Statement!B17</f>
        <v>Cost Of Materials Consumed</v>
      </c>
      <c r="C89" s="13">
        <f>Income_Statement!C17</f>
        <v>867.53</v>
      </c>
      <c r="D89" s="13">
        <f>Income_Statement!D17</f>
        <v>854.18</v>
      </c>
      <c r="E89" s="13">
        <f>Income_Statement!E17</f>
        <v>621.72</v>
      </c>
      <c r="F89" s="13">
        <f>Income_Statement!F17</f>
        <v>682.43</v>
      </c>
      <c r="G89" s="13">
        <f>Income_Statement!G17</f>
        <v>612</v>
      </c>
      <c r="I89" s="38"/>
      <c r="J89" s="39"/>
      <c r="K89" s="39"/>
      <c r="L89" s="40"/>
    </row>
    <row r="90" spans="2:12" ht="19.5" thickBot="1" x14ac:dyDescent="0.3">
      <c r="B90" s="14" t="s">
        <v>177</v>
      </c>
      <c r="C90" s="14">
        <f>ROUND(C88/C89*365, 2)</f>
        <v>455.34</v>
      </c>
      <c r="D90" s="14">
        <f t="shared" ref="D90:G90" si="18">ROUND(D88/D89*365, 2)</f>
        <v>1132.71</v>
      </c>
      <c r="E90" s="14">
        <f t="shared" si="18"/>
        <v>2126.77</v>
      </c>
      <c r="F90" s="14">
        <f t="shared" si="18"/>
        <v>2600.6799999999998</v>
      </c>
      <c r="G90" s="14">
        <f t="shared" si="18"/>
        <v>2597.84</v>
      </c>
      <c r="I90" s="41"/>
      <c r="J90" s="42"/>
      <c r="K90" s="42"/>
      <c r="L90" s="43"/>
    </row>
    <row r="91" spans="2:12" ht="15.75" thickTop="1" x14ac:dyDescent="0.25"/>
    <row r="92" spans="2:12" ht="19.5" thickBot="1" x14ac:dyDescent="0.3">
      <c r="B92" s="44" t="s">
        <v>178</v>
      </c>
      <c r="C92" s="44"/>
      <c r="D92" s="44"/>
      <c r="E92" s="44"/>
      <c r="F92" s="44"/>
      <c r="G92" s="44"/>
    </row>
    <row r="93" spans="2:12" ht="19.5" thickTop="1" x14ac:dyDescent="0.25">
      <c r="B93" s="12" t="str">
        <f>Balance_Sheet!B70</f>
        <v>Cash And Cash Equivalents</v>
      </c>
      <c r="C93" s="13">
        <f>Balance_Sheet!C70</f>
        <v>1082.25</v>
      </c>
      <c r="D93" s="13">
        <f>Balance_Sheet!D70</f>
        <v>2650.7850773682712</v>
      </c>
      <c r="E93" s="13">
        <f>Balance_Sheet!E70</f>
        <v>3622.618776481941</v>
      </c>
      <c r="F93" s="13">
        <f>Balance_Sheet!F70</f>
        <v>4862.4077797088112</v>
      </c>
      <c r="G93" s="13">
        <f>Balance_Sheet!G70</f>
        <v>4355.8339716592754</v>
      </c>
      <c r="I93" s="35"/>
      <c r="J93" s="36"/>
      <c r="K93" s="36"/>
      <c r="L93" s="37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8"/>
      <c r="J94" s="39"/>
      <c r="K94" s="39"/>
      <c r="L94" s="40"/>
    </row>
    <row r="95" spans="2:12" ht="19.5" thickBot="1" x14ac:dyDescent="0.3">
      <c r="B95" s="14" t="s">
        <v>180</v>
      </c>
      <c r="C95" s="14">
        <f>ROUND(C93/C94*365, 2)</f>
        <v>1082.25</v>
      </c>
      <c r="D95" s="14">
        <f t="shared" ref="D95:G95" si="19">ROUND(D93/D94*365, 2)</f>
        <v>2650.79</v>
      </c>
      <c r="E95" s="14">
        <f t="shared" si="19"/>
        <v>3622.62</v>
      </c>
      <c r="F95" s="14">
        <f t="shared" si="19"/>
        <v>4862.41</v>
      </c>
      <c r="G95" s="14">
        <f t="shared" si="19"/>
        <v>4355.83</v>
      </c>
      <c r="I95" s="41"/>
      <c r="J95" s="42"/>
      <c r="K95" s="42"/>
      <c r="L95" s="43"/>
    </row>
    <row r="96" spans="2:12" ht="15.75" thickTop="1" x14ac:dyDescent="0.25"/>
    <row r="97" spans="2:12" ht="19.5" thickBot="1" x14ac:dyDescent="0.3">
      <c r="B97" s="44" t="s">
        <v>181</v>
      </c>
      <c r="C97" s="44"/>
      <c r="D97" s="44"/>
      <c r="E97" s="44"/>
      <c r="F97" s="44"/>
      <c r="G97" s="44"/>
    </row>
    <row r="98" spans="2:12" ht="19.5" thickTop="1" x14ac:dyDescent="0.25">
      <c r="B98" s="12" t="str">
        <f>Income_Statement!B5</f>
        <v>Gross Sales</v>
      </c>
      <c r="C98" s="13">
        <f>Income_Statement!C5</f>
        <v>3920.17</v>
      </c>
      <c r="D98" s="13">
        <f>Income_Statement!D5</f>
        <v>4139.9399999999996</v>
      </c>
      <c r="E98" s="13">
        <f>Income_Statement!E5</f>
        <v>2833.03</v>
      </c>
      <c r="F98" s="13">
        <f>Income_Statement!F5</f>
        <v>2699.21</v>
      </c>
      <c r="G98" s="13">
        <f>Income_Statement!G5</f>
        <v>3230</v>
      </c>
      <c r="I98" s="35"/>
      <c r="J98" s="36"/>
      <c r="K98" s="36"/>
      <c r="L98" s="37"/>
    </row>
    <row r="99" spans="2:12" ht="18.75" x14ac:dyDescent="0.25">
      <c r="B99" s="12" t="str">
        <f>Balance_Sheet!B74</f>
        <v>Total Assets</v>
      </c>
      <c r="C99" s="13">
        <f>Balance_Sheet!C74</f>
        <v>8162.04</v>
      </c>
      <c r="D99" s="13">
        <f>Balance_Sheet!D74</f>
        <v>8500.8750773682714</v>
      </c>
      <c r="E99" s="13">
        <f>Balance_Sheet!E74</f>
        <v>9519.6287764819408</v>
      </c>
      <c r="F99" s="13">
        <f>Balance_Sheet!F74</f>
        <v>10026.947779708811</v>
      </c>
      <c r="G99" s="13">
        <f>Balance_Sheet!G74</f>
        <v>10418.633971659276</v>
      </c>
      <c r="I99" s="38"/>
      <c r="J99" s="39"/>
      <c r="K99" s="39"/>
      <c r="L99" s="40"/>
    </row>
    <row r="100" spans="2:12" ht="19.5" thickBot="1" x14ac:dyDescent="0.3">
      <c r="B100" s="14" t="s">
        <v>182</v>
      </c>
      <c r="C100" s="14">
        <f>ROUND(C98/C99, 2)</f>
        <v>0.48</v>
      </c>
      <c r="D100" s="14">
        <f t="shared" ref="D100:G100" si="20">ROUND(D98/D99, 2)</f>
        <v>0.49</v>
      </c>
      <c r="E100" s="14">
        <f t="shared" si="20"/>
        <v>0.3</v>
      </c>
      <c r="F100" s="14">
        <f t="shared" si="20"/>
        <v>0.27</v>
      </c>
      <c r="G100" s="14">
        <f t="shared" si="20"/>
        <v>0.31</v>
      </c>
      <c r="I100" s="41"/>
      <c r="J100" s="42"/>
      <c r="K100" s="42"/>
      <c r="L100" s="43"/>
    </row>
    <row r="101" spans="2:12" ht="15.75" thickTop="1" x14ac:dyDescent="0.25"/>
    <row r="102" spans="2:12" ht="19.5" thickBot="1" x14ac:dyDescent="0.3">
      <c r="B102" s="44" t="s">
        <v>183</v>
      </c>
      <c r="C102" s="44"/>
      <c r="D102" s="44"/>
      <c r="E102" s="44"/>
      <c r="F102" s="44"/>
      <c r="G102" s="44"/>
    </row>
    <row r="103" spans="2:12" ht="19.5" thickTop="1" x14ac:dyDescent="0.25">
      <c r="B103" s="12" t="str">
        <f>Income_Statement!B5</f>
        <v>Gross Sales</v>
      </c>
      <c r="C103" s="13">
        <f>Income_Statement!C5</f>
        <v>3920.17</v>
      </c>
      <c r="D103" s="13">
        <f>Income_Statement!D5</f>
        <v>4139.9399999999996</v>
      </c>
      <c r="E103" s="13">
        <f>Income_Statement!E5</f>
        <v>2833.03</v>
      </c>
      <c r="F103" s="13">
        <f>Income_Statement!F5</f>
        <v>2699.21</v>
      </c>
      <c r="G103" s="13">
        <f>Income_Statement!G5</f>
        <v>3230</v>
      </c>
      <c r="I103" s="35"/>
      <c r="J103" s="36"/>
      <c r="K103" s="36"/>
      <c r="L103" s="37"/>
    </row>
    <row r="104" spans="2:12" ht="18.75" x14ac:dyDescent="0.25">
      <c r="B104" s="12" t="str">
        <f>Balance_Sheet!B66</f>
        <v>Inventories</v>
      </c>
      <c r="C104" s="13">
        <f>Balance_Sheet!C66</f>
        <v>855.71</v>
      </c>
      <c r="D104" s="13">
        <f>Balance_Sheet!D66</f>
        <v>819.36</v>
      </c>
      <c r="E104" s="13">
        <f>Balance_Sheet!E66</f>
        <v>689.83</v>
      </c>
      <c r="F104" s="13">
        <f>Balance_Sheet!F66</f>
        <v>798.88</v>
      </c>
      <c r="G104" s="13">
        <f>Balance_Sheet!G66</f>
        <v>769</v>
      </c>
      <c r="I104" s="38"/>
      <c r="J104" s="39"/>
      <c r="K104" s="39"/>
      <c r="L104" s="40"/>
    </row>
    <row r="105" spans="2:12" ht="19.5" thickBot="1" x14ac:dyDescent="0.3">
      <c r="B105" s="14" t="s">
        <v>184</v>
      </c>
      <c r="C105" s="14">
        <f>ROUND(C103/C104, 2)</f>
        <v>4.58</v>
      </c>
      <c r="D105" s="14">
        <f t="shared" ref="D105:G105" si="21">ROUND(D103/D104, 2)</f>
        <v>5.05</v>
      </c>
      <c r="E105" s="14">
        <f t="shared" si="21"/>
        <v>4.1100000000000003</v>
      </c>
      <c r="F105" s="14">
        <f t="shared" si="21"/>
        <v>3.38</v>
      </c>
      <c r="G105" s="14">
        <f t="shared" si="21"/>
        <v>4.2</v>
      </c>
      <c r="I105" s="41"/>
      <c r="J105" s="42"/>
      <c r="K105" s="42"/>
      <c r="L105" s="43"/>
    </row>
    <row r="106" spans="2:12" ht="15.75" thickTop="1" x14ac:dyDescent="0.25"/>
    <row r="107" spans="2:12" ht="19.5" thickBot="1" x14ac:dyDescent="0.3">
      <c r="B107" s="44" t="s">
        <v>185</v>
      </c>
      <c r="C107" s="44"/>
      <c r="D107" s="44"/>
      <c r="E107" s="44"/>
      <c r="F107" s="44"/>
      <c r="G107" s="44"/>
    </row>
    <row r="108" spans="2:12" ht="19.5" thickTop="1" x14ac:dyDescent="0.25">
      <c r="B108" s="12" t="str">
        <f>Income_Statement!B5</f>
        <v>Gross Sales</v>
      </c>
      <c r="C108" s="13">
        <f>Income_Statement!C5</f>
        <v>3920.17</v>
      </c>
      <c r="D108" s="13">
        <f>Income_Statement!D5</f>
        <v>4139.9399999999996</v>
      </c>
      <c r="E108" s="13">
        <f>Income_Statement!E5</f>
        <v>2833.03</v>
      </c>
      <c r="F108" s="13">
        <f>Income_Statement!F5</f>
        <v>2699.21</v>
      </c>
      <c r="G108" s="13">
        <f>Income_Statement!G5</f>
        <v>3230</v>
      </c>
      <c r="I108" s="35"/>
      <c r="J108" s="36"/>
      <c r="K108" s="36"/>
      <c r="L108" s="37"/>
    </row>
    <row r="109" spans="2:12" ht="18.75" x14ac:dyDescent="0.25">
      <c r="B109" s="12" t="str">
        <f>Balance_Sheet!B68</f>
        <v>Trade Receivables</v>
      </c>
      <c r="C109" s="13">
        <f>Balance_Sheet!C68</f>
        <v>962.45</v>
      </c>
      <c r="D109" s="13">
        <f>Balance_Sheet!D68</f>
        <v>1260.69</v>
      </c>
      <c r="E109" s="13">
        <f>Balance_Sheet!E68</f>
        <v>1242.69</v>
      </c>
      <c r="F109" s="13">
        <f>Balance_Sheet!F68</f>
        <v>917.65</v>
      </c>
      <c r="G109" s="13">
        <f>Balance_Sheet!G68</f>
        <v>918</v>
      </c>
      <c r="I109" s="38"/>
      <c r="J109" s="39"/>
      <c r="K109" s="39"/>
      <c r="L109" s="40"/>
    </row>
    <row r="110" spans="2:12" ht="19.5" thickBot="1" x14ac:dyDescent="0.3">
      <c r="B110" s="14" t="s">
        <v>186</v>
      </c>
      <c r="C110" s="14">
        <f>ROUND(C108/C109, 2)</f>
        <v>4.07</v>
      </c>
      <c r="D110" s="14">
        <f t="shared" ref="D110:G110" si="22">ROUND(D108/D109, 2)</f>
        <v>3.28</v>
      </c>
      <c r="E110" s="14">
        <f t="shared" si="22"/>
        <v>2.2799999999999998</v>
      </c>
      <c r="F110" s="14">
        <f t="shared" si="22"/>
        <v>2.94</v>
      </c>
      <c r="G110" s="14">
        <f t="shared" si="22"/>
        <v>3.52</v>
      </c>
      <c r="I110" s="41"/>
      <c r="J110" s="42"/>
      <c r="K110" s="42"/>
      <c r="L110" s="43"/>
    </row>
    <row r="111" spans="2:12" ht="15.75" thickTop="1" x14ac:dyDescent="0.25"/>
    <row r="112" spans="2:12" ht="19.5" thickBot="1" x14ac:dyDescent="0.3">
      <c r="B112" s="44" t="s">
        <v>187</v>
      </c>
      <c r="C112" s="44"/>
      <c r="D112" s="44"/>
      <c r="E112" s="44"/>
      <c r="F112" s="44"/>
      <c r="G112" s="44"/>
    </row>
    <row r="113" spans="2:12" ht="19.5" thickTop="1" x14ac:dyDescent="0.25">
      <c r="B113" s="12" t="str">
        <f>Income_Statement!B5</f>
        <v>Gross Sales</v>
      </c>
      <c r="C113" s="13">
        <f>Income_Statement!C5</f>
        <v>3920.17</v>
      </c>
      <c r="D113" s="13">
        <f>Income_Statement!D5</f>
        <v>4139.9399999999996</v>
      </c>
      <c r="E113" s="13">
        <f>Income_Statement!E5</f>
        <v>2833.03</v>
      </c>
      <c r="F113" s="13">
        <f>Income_Statement!F5</f>
        <v>2699.21</v>
      </c>
      <c r="G113" s="13">
        <f>Income_Statement!G5</f>
        <v>3230</v>
      </c>
      <c r="I113" s="35"/>
      <c r="J113" s="36"/>
      <c r="K113" s="36"/>
      <c r="L113" s="37"/>
    </row>
    <row r="114" spans="2:12" ht="18.75" x14ac:dyDescent="0.25">
      <c r="B114" s="12" t="str">
        <f>Balance_Sheet!B40</f>
        <v>Tangible Assets</v>
      </c>
      <c r="C114" s="13">
        <f>Balance_Sheet!C40</f>
        <v>1947.92</v>
      </c>
      <c r="D114" s="13">
        <f>Balance_Sheet!D40</f>
        <v>2124.5</v>
      </c>
      <c r="E114" s="13">
        <f>Balance_Sheet!E40</f>
        <v>2478.89</v>
      </c>
      <c r="F114" s="13">
        <f>Balance_Sheet!F40</f>
        <v>2311.4499999999998</v>
      </c>
      <c r="G114" s="13">
        <f>Balance_Sheet!G40</f>
        <v>3913</v>
      </c>
      <c r="I114" s="38"/>
      <c r="J114" s="39"/>
      <c r="K114" s="39"/>
      <c r="L114" s="40"/>
    </row>
    <row r="115" spans="2:12" ht="19.5" thickBot="1" x14ac:dyDescent="0.3">
      <c r="B115" s="14" t="s">
        <v>188</v>
      </c>
      <c r="C115" s="14">
        <f>ROUND(C113/C114, 2)</f>
        <v>2.0099999999999998</v>
      </c>
      <c r="D115" s="14">
        <f t="shared" ref="D115:G115" si="23">ROUND(D113/D114, 2)</f>
        <v>1.95</v>
      </c>
      <c r="E115" s="14">
        <f t="shared" si="23"/>
        <v>1.1399999999999999</v>
      </c>
      <c r="F115" s="14">
        <f t="shared" si="23"/>
        <v>1.17</v>
      </c>
      <c r="G115" s="14">
        <f t="shared" si="23"/>
        <v>0.83</v>
      </c>
      <c r="I115" s="41"/>
      <c r="J115" s="42"/>
      <c r="K115" s="42"/>
      <c r="L115" s="43"/>
    </row>
    <row r="116" spans="2:12" ht="15.75" thickTop="1" x14ac:dyDescent="0.25"/>
    <row r="117" spans="2:12" ht="19.5" thickBot="1" x14ac:dyDescent="0.3">
      <c r="B117" s="44" t="s">
        <v>189</v>
      </c>
      <c r="C117" s="44"/>
      <c r="D117" s="44"/>
      <c r="E117" s="44"/>
      <c r="F117" s="44"/>
      <c r="G117" s="44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867.53</v>
      </c>
      <c r="D118" s="13">
        <f>Income_Statement!D17</f>
        <v>854.18</v>
      </c>
      <c r="E118" s="13">
        <f>Income_Statement!E17</f>
        <v>621.72</v>
      </c>
      <c r="F118" s="13">
        <f>Income_Statement!F17</f>
        <v>682.43</v>
      </c>
      <c r="G118" s="13">
        <f>Income_Statement!G17</f>
        <v>612</v>
      </c>
      <c r="I118" s="35"/>
      <c r="J118" s="36"/>
      <c r="K118" s="36"/>
      <c r="L118" s="37"/>
    </row>
    <row r="119" spans="2:12" ht="18.75" x14ac:dyDescent="0.25">
      <c r="B119" s="12" t="str">
        <f>Balance_Sheet!B33</f>
        <v>Total Current Liabilities</v>
      </c>
      <c r="C119" s="13">
        <f>Balance_Sheet!C33</f>
        <v>2319.5100000000002</v>
      </c>
      <c r="D119" s="13">
        <f>Balance_Sheet!D33</f>
        <v>2342.2199999999998</v>
      </c>
      <c r="E119" s="13">
        <f>Balance_Sheet!E33</f>
        <v>2945.44</v>
      </c>
      <c r="F119" s="13">
        <f>Balance_Sheet!F33</f>
        <v>2415.0299999999997</v>
      </c>
      <c r="G119" s="13">
        <f>Balance_Sheet!G33</f>
        <v>2151</v>
      </c>
      <c r="I119" s="38"/>
      <c r="J119" s="39"/>
      <c r="K119" s="39"/>
      <c r="L119" s="40"/>
    </row>
    <row r="120" spans="2:12" ht="19.5" thickBot="1" x14ac:dyDescent="0.3">
      <c r="B120" s="14" t="s">
        <v>190</v>
      </c>
      <c r="C120" s="14">
        <f>ROUND(C118/C119, 2)</f>
        <v>0.37</v>
      </c>
      <c r="D120" s="14">
        <f t="shared" ref="D120:G120" si="24">ROUND(D118/D119, 2)</f>
        <v>0.36</v>
      </c>
      <c r="E120" s="14">
        <f t="shared" si="24"/>
        <v>0.21</v>
      </c>
      <c r="F120" s="14">
        <f t="shared" si="24"/>
        <v>0.28000000000000003</v>
      </c>
      <c r="G120" s="14">
        <f t="shared" si="24"/>
        <v>0.28000000000000003</v>
      </c>
      <c r="I120" s="41"/>
      <c r="J120" s="42"/>
      <c r="K120" s="42"/>
      <c r="L120" s="43"/>
    </row>
    <row r="121" spans="2:12" ht="15.75" thickTop="1" x14ac:dyDescent="0.25"/>
    <row r="122" spans="2:12" ht="19.5" thickBot="1" x14ac:dyDescent="0.3">
      <c r="B122" s="44" t="s">
        <v>191</v>
      </c>
      <c r="C122" s="44"/>
      <c r="D122" s="44"/>
      <c r="E122" s="44"/>
      <c r="F122" s="44"/>
      <c r="G122" s="44"/>
    </row>
    <row r="123" spans="2:12" ht="19.5" thickTop="1" x14ac:dyDescent="0.25">
      <c r="B123" s="12" t="str">
        <f>Income_Statement!B5</f>
        <v>Gross Sales</v>
      </c>
      <c r="C123" s="13">
        <f>Income_Statement!C5</f>
        <v>3920.17</v>
      </c>
      <c r="D123" s="13">
        <f>Income_Statement!D5</f>
        <v>4139.9399999999996</v>
      </c>
      <c r="E123" s="13">
        <f>Income_Statement!E5</f>
        <v>2833.03</v>
      </c>
      <c r="F123" s="13">
        <f>Income_Statement!F5</f>
        <v>2699.21</v>
      </c>
      <c r="G123" s="13">
        <f>Income_Statement!G5</f>
        <v>3230</v>
      </c>
      <c r="I123" s="35"/>
      <c r="J123" s="36"/>
      <c r="K123" s="36"/>
      <c r="L123" s="37"/>
    </row>
    <row r="124" spans="2:12" ht="18.75" x14ac:dyDescent="0.25">
      <c r="B124" s="12" t="str">
        <f>Balance_Sheet!B66</f>
        <v>Inventories</v>
      </c>
      <c r="C124" s="13">
        <f>Balance_Sheet!C66</f>
        <v>855.71</v>
      </c>
      <c r="D124" s="13">
        <f>Balance_Sheet!D66</f>
        <v>819.36</v>
      </c>
      <c r="E124" s="13">
        <f>Balance_Sheet!E66</f>
        <v>689.83</v>
      </c>
      <c r="F124" s="13">
        <f>Balance_Sheet!F66</f>
        <v>798.88</v>
      </c>
      <c r="G124" s="13">
        <f>Balance_Sheet!G66</f>
        <v>769</v>
      </c>
      <c r="I124" s="38"/>
      <c r="J124" s="39"/>
      <c r="K124" s="39"/>
      <c r="L124" s="40"/>
    </row>
    <row r="125" spans="2:12" ht="19.5" thickBot="1" x14ac:dyDescent="0.3">
      <c r="B125" s="14" t="s">
        <v>192</v>
      </c>
      <c r="C125" s="14">
        <f>ROUND(365/C123*C124, 2)</f>
        <v>79.67</v>
      </c>
      <c r="D125" s="14">
        <f t="shared" ref="D125:G125" si="25">ROUND(365/D123*D124, 2)</f>
        <v>72.239999999999995</v>
      </c>
      <c r="E125" s="14">
        <f t="shared" si="25"/>
        <v>88.88</v>
      </c>
      <c r="F125" s="14">
        <f t="shared" si="25"/>
        <v>108.03</v>
      </c>
      <c r="G125" s="14">
        <f t="shared" si="25"/>
        <v>86.9</v>
      </c>
      <c r="I125" s="41"/>
      <c r="J125" s="42"/>
      <c r="K125" s="42"/>
      <c r="L125" s="43"/>
    </row>
    <row r="126" spans="2:12" ht="15.75" thickTop="1" x14ac:dyDescent="0.25"/>
    <row r="127" spans="2:12" ht="19.5" thickBot="1" x14ac:dyDescent="0.3">
      <c r="B127" s="44" t="s">
        <v>193</v>
      </c>
      <c r="C127" s="44"/>
      <c r="D127" s="44"/>
      <c r="E127" s="44"/>
      <c r="F127" s="44"/>
      <c r="G127" s="44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867.53</v>
      </c>
      <c r="D128" s="13">
        <f>Income_Statement!D17</f>
        <v>854.18</v>
      </c>
      <c r="E128" s="13">
        <f>Income_Statement!E17</f>
        <v>621.72</v>
      </c>
      <c r="F128" s="13">
        <f>Income_Statement!F17</f>
        <v>682.43</v>
      </c>
      <c r="G128" s="13">
        <f>Income_Statement!G17</f>
        <v>612</v>
      </c>
      <c r="I128" s="35"/>
      <c r="J128" s="36"/>
      <c r="K128" s="36"/>
      <c r="L128" s="37"/>
    </row>
    <row r="129" spans="2:12" ht="18.75" x14ac:dyDescent="0.25">
      <c r="B129" s="12" t="str">
        <f>Balance_Sheet!B33</f>
        <v>Total Current Liabilities</v>
      </c>
      <c r="C129" s="13">
        <f>Balance_Sheet!C33</f>
        <v>2319.5100000000002</v>
      </c>
      <c r="D129" s="13">
        <f>Balance_Sheet!D33</f>
        <v>2342.2199999999998</v>
      </c>
      <c r="E129" s="13">
        <f>Balance_Sheet!E33</f>
        <v>2945.44</v>
      </c>
      <c r="F129" s="13">
        <f>Balance_Sheet!F33</f>
        <v>2415.0299999999997</v>
      </c>
      <c r="G129" s="13">
        <f>Balance_Sheet!G33</f>
        <v>2151</v>
      </c>
      <c r="I129" s="38"/>
      <c r="J129" s="39"/>
      <c r="K129" s="39"/>
      <c r="L129" s="40"/>
    </row>
    <row r="130" spans="2:12" ht="19.5" thickBot="1" x14ac:dyDescent="0.3">
      <c r="B130" s="14" t="s">
        <v>194</v>
      </c>
      <c r="C130" s="14">
        <f>ROUND(365/C128*C129, 2)</f>
        <v>975.9</v>
      </c>
      <c r="D130" s="14">
        <f t="shared" ref="D130:G130" si="26">ROUND(365/D128*D129, 2)</f>
        <v>1000.85</v>
      </c>
      <c r="E130" s="14">
        <f t="shared" si="26"/>
        <v>1729.21</v>
      </c>
      <c r="F130" s="14">
        <f t="shared" si="26"/>
        <v>1291.69</v>
      </c>
      <c r="G130" s="14">
        <f t="shared" si="26"/>
        <v>1282.8699999999999</v>
      </c>
      <c r="I130" s="41"/>
      <c r="J130" s="42"/>
      <c r="K130" s="42"/>
      <c r="L130" s="43"/>
    </row>
    <row r="131" spans="2:12" ht="15.75" thickTop="1" x14ac:dyDescent="0.25"/>
    <row r="132" spans="2:12" ht="19.5" thickBot="1" x14ac:dyDescent="0.3">
      <c r="B132" s="44" t="s">
        <v>195</v>
      </c>
      <c r="C132" s="44"/>
      <c r="D132" s="44"/>
      <c r="E132" s="44"/>
      <c r="F132" s="44"/>
      <c r="G132" s="44"/>
    </row>
    <row r="133" spans="2:12" ht="19.5" thickTop="1" x14ac:dyDescent="0.25">
      <c r="B133" s="12" t="str">
        <f>Income_Statement!B5</f>
        <v>Gross Sales</v>
      </c>
      <c r="C133" s="13">
        <f>Income_Statement!C5</f>
        <v>3920.17</v>
      </c>
      <c r="D133" s="13">
        <f>Income_Statement!D5</f>
        <v>4139.9399999999996</v>
      </c>
      <c r="E133" s="13">
        <f>Income_Statement!E5</f>
        <v>2833.03</v>
      </c>
      <c r="F133" s="13">
        <f>Income_Statement!F5</f>
        <v>2699.21</v>
      </c>
      <c r="G133" s="13">
        <f>Income_Statement!G5</f>
        <v>3230</v>
      </c>
      <c r="I133" s="35"/>
      <c r="J133" s="36"/>
      <c r="K133" s="36"/>
      <c r="L133" s="37"/>
    </row>
    <row r="134" spans="2:12" ht="18.75" x14ac:dyDescent="0.25">
      <c r="B134" s="12" t="str">
        <f>Balance_Sheet!B68</f>
        <v>Trade Receivables</v>
      </c>
      <c r="C134" s="13">
        <f>Balance_Sheet!C68</f>
        <v>962.45</v>
      </c>
      <c r="D134" s="13">
        <f>Balance_Sheet!D68</f>
        <v>1260.69</v>
      </c>
      <c r="E134" s="13">
        <f>Balance_Sheet!E68</f>
        <v>1242.69</v>
      </c>
      <c r="F134" s="13">
        <f>Balance_Sheet!F68</f>
        <v>917.65</v>
      </c>
      <c r="G134" s="13">
        <f>Balance_Sheet!G68</f>
        <v>918</v>
      </c>
      <c r="I134" s="38"/>
      <c r="J134" s="39"/>
      <c r="K134" s="39"/>
      <c r="L134" s="40"/>
    </row>
    <row r="135" spans="2:12" ht="19.5" thickBot="1" x14ac:dyDescent="0.3">
      <c r="B135" s="14" t="s">
        <v>196</v>
      </c>
      <c r="C135" s="14">
        <f>ROUND(365/C133*C134, 2)</f>
        <v>89.61</v>
      </c>
      <c r="D135" s="14">
        <f t="shared" ref="D135:G135" si="27">ROUND(365/D133*D134, 2)</f>
        <v>111.15</v>
      </c>
      <c r="E135" s="14">
        <f t="shared" si="27"/>
        <v>160.1</v>
      </c>
      <c r="F135" s="14">
        <f t="shared" si="27"/>
        <v>124.09</v>
      </c>
      <c r="G135" s="14">
        <f t="shared" si="27"/>
        <v>103.74</v>
      </c>
      <c r="I135" s="41"/>
      <c r="J135" s="42"/>
      <c r="K135" s="42"/>
      <c r="L135" s="43"/>
    </row>
    <row r="136" spans="2:12" ht="15.75" thickTop="1" x14ac:dyDescent="0.25"/>
    <row r="137" spans="2:12" ht="18.75" x14ac:dyDescent="0.25">
      <c r="B137" s="44" t="s">
        <v>197</v>
      </c>
      <c r="C137" s="44"/>
      <c r="D137" s="44"/>
      <c r="E137" s="44"/>
      <c r="F137" s="44"/>
      <c r="G137" s="44"/>
    </row>
    <row r="138" spans="2:12" ht="18.75" x14ac:dyDescent="0.25">
      <c r="B138" s="12" t="str">
        <f>Income_Statement!B5</f>
        <v>Gross Sales</v>
      </c>
      <c r="C138" s="13">
        <f>Income_Statement!C5</f>
        <v>3920.17</v>
      </c>
      <c r="D138" s="13">
        <f>Income_Statement!D5</f>
        <v>4139.9399999999996</v>
      </c>
      <c r="E138" s="13">
        <f>Income_Statement!E5</f>
        <v>2833.03</v>
      </c>
      <c r="F138" s="13">
        <f>Income_Statement!F5</f>
        <v>2699.21</v>
      </c>
      <c r="G138" s="13">
        <f>Income_Statement!G5</f>
        <v>3230</v>
      </c>
    </row>
    <row r="139" spans="2:12" ht="18.75" x14ac:dyDescent="0.25">
      <c r="B139" s="12" t="str">
        <f>Balance_Sheet!B66</f>
        <v>Inventories</v>
      </c>
      <c r="C139" s="13">
        <f>Balance_Sheet!C66</f>
        <v>855.71</v>
      </c>
      <c r="D139" s="13">
        <f>Balance_Sheet!D66</f>
        <v>819.36</v>
      </c>
      <c r="E139" s="13">
        <f>Balance_Sheet!E66</f>
        <v>689.83</v>
      </c>
      <c r="F139" s="13">
        <f>Balance_Sheet!F66</f>
        <v>798.88</v>
      </c>
      <c r="G139" s="13">
        <f>Balance_Sheet!G66</f>
        <v>769</v>
      </c>
    </row>
    <row r="140" spans="2:12" ht="18.75" x14ac:dyDescent="0.25">
      <c r="B140" s="12" t="s">
        <v>192</v>
      </c>
      <c r="C140" s="13">
        <f>ROUND(365/C138*C139, 2)</f>
        <v>79.67</v>
      </c>
      <c r="D140" s="13">
        <f t="shared" ref="D140:G140" si="28">ROUND(365/D138*D139, 2)</f>
        <v>72.239999999999995</v>
      </c>
      <c r="E140" s="13">
        <f t="shared" si="28"/>
        <v>88.88</v>
      </c>
      <c r="F140" s="13">
        <f t="shared" si="28"/>
        <v>108.03</v>
      </c>
      <c r="G140" s="13">
        <f t="shared" si="28"/>
        <v>86.9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867.53</v>
      </c>
      <c r="D141" s="13">
        <f>Income_Statement!D17</f>
        <v>854.18</v>
      </c>
      <c r="E141" s="13">
        <f>Income_Statement!E17</f>
        <v>621.72</v>
      </c>
      <c r="F141" s="13">
        <f>Income_Statement!F17</f>
        <v>682.43</v>
      </c>
      <c r="G141" s="13">
        <f>Income_Statement!G17</f>
        <v>612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2319.5100000000002</v>
      </c>
      <c r="D142" s="13">
        <f>Balance_Sheet!D33</f>
        <v>2342.2199999999998</v>
      </c>
      <c r="E142" s="13">
        <f>Balance_Sheet!E33</f>
        <v>2945.44</v>
      </c>
      <c r="F142" s="13">
        <f>Balance_Sheet!F33</f>
        <v>2415.0299999999997</v>
      </c>
      <c r="G142" s="13">
        <f>Balance_Sheet!G33</f>
        <v>2151</v>
      </c>
      <c r="I142" s="35"/>
      <c r="J142" s="36"/>
      <c r="K142" s="36"/>
      <c r="L142" s="37"/>
    </row>
    <row r="143" spans="2:12" ht="18.75" x14ac:dyDescent="0.25">
      <c r="B143" s="12" t="s">
        <v>194</v>
      </c>
      <c r="C143" s="13">
        <f>ROUND(365/C141*C142, 2)</f>
        <v>975.9</v>
      </c>
      <c r="D143" s="13">
        <f t="shared" ref="D143:G143" si="29">ROUND(365/D141*D142, 2)</f>
        <v>1000.85</v>
      </c>
      <c r="E143" s="13">
        <f t="shared" si="29"/>
        <v>1729.21</v>
      </c>
      <c r="F143" s="13">
        <f t="shared" si="29"/>
        <v>1291.69</v>
      </c>
      <c r="G143" s="13">
        <f t="shared" si="29"/>
        <v>1282.8699999999999</v>
      </c>
      <c r="I143" s="38"/>
      <c r="J143" s="39"/>
      <c r="K143" s="39"/>
      <c r="L143" s="40"/>
    </row>
    <row r="144" spans="2:12" ht="19.5" thickBot="1" x14ac:dyDescent="0.3">
      <c r="B144" s="14" t="s">
        <v>198</v>
      </c>
      <c r="C144" s="16">
        <f>ROUND(C143+C140, 2)</f>
        <v>1055.57</v>
      </c>
      <c r="D144" s="16">
        <f t="shared" ref="D144:G144" si="30">ROUND(D143+D140, 2)</f>
        <v>1073.0899999999999</v>
      </c>
      <c r="E144" s="16">
        <f t="shared" si="30"/>
        <v>1818.09</v>
      </c>
      <c r="F144" s="16">
        <f t="shared" si="30"/>
        <v>1399.72</v>
      </c>
      <c r="G144" s="16">
        <f t="shared" si="30"/>
        <v>1369.77</v>
      </c>
      <c r="I144" s="41"/>
      <c r="J144" s="42"/>
      <c r="K144" s="42"/>
      <c r="L144" s="43"/>
    </row>
    <row r="145" spans="2:12" ht="15.75" thickTop="1" x14ac:dyDescent="0.25"/>
    <row r="146" spans="2:12" ht="18.75" x14ac:dyDescent="0.25">
      <c r="B146" s="44" t="s">
        <v>199</v>
      </c>
      <c r="C146" s="44"/>
      <c r="D146" s="44"/>
      <c r="E146" s="44"/>
      <c r="F146" s="44"/>
      <c r="G146" s="44"/>
    </row>
    <row r="147" spans="2:12" ht="18.75" x14ac:dyDescent="0.25">
      <c r="B147" s="12" t="str">
        <f>Income_Statement!B5</f>
        <v>Gross Sales</v>
      </c>
      <c r="C147" s="13">
        <f>Income_Statement!C5</f>
        <v>3920.17</v>
      </c>
      <c r="D147" s="13">
        <f>Income_Statement!D5</f>
        <v>4139.9399999999996</v>
      </c>
      <c r="E147" s="13">
        <f>Income_Statement!E5</f>
        <v>2833.03</v>
      </c>
      <c r="F147" s="13">
        <f>Income_Statement!F5</f>
        <v>2699.21</v>
      </c>
      <c r="G147" s="13">
        <f>Income_Statement!G5</f>
        <v>3230</v>
      </c>
    </row>
    <row r="148" spans="2:12" ht="18.75" x14ac:dyDescent="0.25">
      <c r="B148" s="12" t="str">
        <f>Balance_Sheet!B66</f>
        <v>Inventories</v>
      </c>
      <c r="C148" s="13">
        <f>Balance_Sheet!C66</f>
        <v>855.71</v>
      </c>
      <c r="D148" s="13">
        <f>Balance_Sheet!D66</f>
        <v>819.36</v>
      </c>
      <c r="E148" s="13">
        <f>Balance_Sheet!E66</f>
        <v>689.83</v>
      </c>
      <c r="F148" s="13">
        <f>Balance_Sheet!F66</f>
        <v>798.88</v>
      </c>
      <c r="G148" s="13">
        <f>Balance_Sheet!G66</f>
        <v>769</v>
      </c>
    </row>
    <row r="149" spans="2:12" ht="18.75" x14ac:dyDescent="0.25">
      <c r="B149" s="12" t="s">
        <v>192</v>
      </c>
      <c r="C149" s="13">
        <f>ROUND(365/C147*C148, 2)</f>
        <v>79.67</v>
      </c>
      <c r="D149" s="13">
        <f t="shared" ref="D149:G149" si="31">ROUND(365/D147*D148, 2)</f>
        <v>72.239999999999995</v>
      </c>
      <c r="E149" s="13">
        <f t="shared" si="31"/>
        <v>88.88</v>
      </c>
      <c r="F149" s="13">
        <f t="shared" si="31"/>
        <v>108.03</v>
      </c>
      <c r="G149" s="13">
        <f t="shared" si="31"/>
        <v>86.9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867.53</v>
      </c>
      <c r="D150" s="13">
        <f>Income_Statement!D17</f>
        <v>854.18</v>
      </c>
      <c r="E150" s="13">
        <f>Income_Statement!E17</f>
        <v>621.72</v>
      </c>
      <c r="F150" s="13">
        <f>Income_Statement!F17</f>
        <v>682.43</v>
      </c>
      <c r="G150" s="13">
        <f>Income_Statement!G17</f>
        <v>612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2319.5100000000002</v>
      </c>
      <c r="D151" s="13">
        <f>Balance_Sheet!D33</f>
        <v>2342.2199999999998</v>
      </c>
      <c r="E151" s="13">
        <f>Balance_Sheet!E33</f>
        <v>2945.44</v>
      </c>
      <c r="F151" s="13">
        <f>Balance_Sheet!F33</f>
        <v>2415.0299999999997</v>
      </c>
      <c r="G151" s="13">
        <f>Balance_Sheet!G33</f>
        <v>2151</v>
      </c>
    </row>
    <row r="152" spans="2:12" ht="18.75" x14ac:dyDescent="0.25">
      <c r="B152" s="12" t="s">
        <v>194</v>
      </c>
      <c r="C152" s="13">
        <f>ROUND(365/C150*C151, 2)</f>
        <v>975.9</v>
      </c>
      <c r="D152" s="13">
        <f t="shared" ref="D152:G152" si="32">ROUND(365/D150*D151, 2)</f>
        <v>1000.85</v>
      </c>
      <c r="E152" s="13">
        <f t="shared" si="32"/>
        <v>1729.21</v>
      </c>
      <c r="F152" s="13">
        <f t="shared" si="32"/>
        <v>1291.69</v>
      </c>
      <c r="G152" s="13">
        <f t="shared" si="32"/>
        <v>1282.8699999999999</v>
      </c>
    </row>
    <row r="153" spans="2:12" ht="18.75" x14ac:dyDescent="0.25">
      <c r="B153" s="12" t="s">
        <v>200</v>
      </c>
      <c r="C153" s="13">
        <f>ROUND(C152+C149, 2)</f>
        <v>1055.57</v>
      </c>
      <c r="D153" s="13">
        <f t="shared" ref="D153:G153" si="33">ROUND(D152+D149, 2)</f>
        <v>1073.0899999999999</v>
      </c>
      <c r="E153" s="13">
        <f t="shared" si="33"/>
        <v>1818.09</v>
      </c>
      <c r="F153" s="13">
        <f t="shared" si="33"/>
        <v>1399.72</v>
      </c>
      <c r="G153" s="13">
        <f t="shared" si="33"/>
        <v>1369.77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867.53</v>
      </c>
      <c r="D154" s="13">
        <f>Income_Statement!D17</f>
        <v>854.18</v>
      </c>
      <c r="E154" s="13">
        <f>Income_Statement!E17</f>
        <v>621.72</v>
      </c>
      <c r="F154" s="13">
        <f>Income_Statement!F17</f>
        <v>682.43</v>
      </c>
      <c r="G154" s="13">
        <f>Income_Statement!G17</f>
        <v>612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2319.5100000000002</v>
      </c>
      <c r="D155" s="13">
        <f>Balance_Sheet!D33</f>
        <v>2342.2199999999998</v>
      </c>
      <c r="E155" s="13">
        <f>Balance_Sheet!E33</f>
        <v>2945.44</v>
      </c>
      <c r="F155" s="13">
        <f>Balance_Sheet!F33</f>
        <v>2415.0299999999997</v>
      </c>
      <c r="G155" s="13">
        <f>Balance_Sheet!G33</f>
        <v>2151</v>
      </c>
      <c r="I155" s="35"/>
      <c r="J155" s="36"/>
      <c r="K155" s="36"/>
      <c r="L155" s="37"/>
    </row>
    <row r="156" spans="2:12" ht="18.75" x14ac:dyDescent="0.25">
      <c r="B156" s="12" t="s">
        <v>194</v>
      </c>
      <c r="C156" s="13">
        <f>ROUND(365/C154*C155, 2)</f>
        <v>975.9</v>
      </c>
      <c r="D156" s="13">
        <f t="shared" ref="D156:G156" si="34">ROUND(365/D154*D155, 2)</f>
        <v>1000.85</v>
      </c>
      <c r="E156" s="13">
        <f t="shared" si="34"/>
        <v>1729.21</v>
      </c>
      <c r="F156" s="13">
        <f t="shared" si="34"/>
        <v>1291.69</v>
      </c>
      <c r="G156" s="13">
        <f t="shared" si="34"/>
        <v>1282.8699999999999</v>
      </c>
      <c r="I156" s="38"/>
      <c r="J156" s="39"/>
      <c r="K156" s="39"/>
      <c r="L156" s="40"/>
    </row>
    <row r="157" spans="2:12" ht="19.5" thickBot="1" x14ac:dyDescent="0.3">
      <c r="B157" s="14" t="s">
        <v>201</v>
      </c>
      <c r="C157" s="16">
        <f>ROUND(C156-C153, 2)</f>
        <v>-79.67</v>
      </c>
      <c r="D157" s="16">
        <f t="shared" ref="D157:G157" si="35">ROUND(D156-D153, 2)</f>
        <v>-72.239999999999995</v>
      </c>
      <c r="E157" s="16">
        <f t="shared" si="35"/>
        <v>-88.88</v>
      </c>
      <c r="F157" s="16">
        <f t="shared" si="35"/>
        <v>-108.03</v>
      </c>
      <c r="G157" s="16">
        <f t="shared" si="35"/>
        <v>-86.9</v>
      </c>
      <c r="I157" s="41"/>
      <c r="J157" s="42"/>
      <c r="K157" s="42"/>
      <c r="L157" s="43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2FD98C11-49AC-4B12-9CD8-C216E0EB3127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7CA36296-9A60-473A-897E-E6AA53603A2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304D8563-5A21-4AC2-A57C-E64AD53F781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03531FE2-800C-4005-B8BA-D15497DB991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C0BC738F-D7B1-4CE6-B995-06E69B13432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F01094C9-DB59-463A-87B8-7A837C88793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CBA1A52C-7497-414B-BDF9-7D63D1A5135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31BF8879-6832-4667-99C3-82A9C77F58A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C9211DDA-7E48-4ADD-B724-93934420785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BF390726-2750-4E68-8302-70C6665682D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9E9E5248-765B-45C3-A904-E9E91DE6225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78ABA54D-59D9-4470-B1D6-1B65BEB3CA6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27597B7F-AEA6-4A94-9440-08D7E9F38F0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F9E03527-A940-44B1-BD76-140542AA061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DE04B87A-4847-42E1-A8A4-62B7A725910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AF780505-4812-4F44-A671-83CB2778785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51AB484E-1008-471E-B5CA-72552EC61E1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0B4B96CC-3B3F-4F5D-89F4-B5D9B198299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AE0EF27D-2CC0-4C1A-93E0-EFCAEA37FCC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37F4B442-F878-460D-965E-7FD34D46A6E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FC0B9F70-598A-4486-81D8-241ED3FC7EF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F505915F-2C97-4130-B603-F83A381A381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5EDC6452-6CC4-48D7-BE13-F2CEF3A05A8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A80DC926-22D9-48E6-9CF1-8A8786BBB8F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22E427B8-2900-4AC5-82DD-84AD3F5BEA5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09D146D8-856E-4537-809F-DEFCE1FD49C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DEB1E4C6-8413-46B7-8757-B8632F1991C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D768D74F-3907-4B55-9060-06014A6B1AB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9F808-B342-41B6-9E38-2B848199EC8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5" width="10" bestFit="1" customWidth="1"/>
    <col min="6" max="6" width="11.5703125" bestFit="1" customWidth="1"/>
    <col min="7" max="7" width="10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145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247.4506695883091</v>
      </c>
      <c r="D6" s="13">
        <f>Income_Statement!D49</f>
        <v>726.3550773682714</v>
      </c>
      <c r="E6" s="13">
        <f>Income_Statement!E49</f>
        <v>433.83369911366981</v>
      </c>
      <c r="F6" s="13">
        <f>Income_Statement!F49</f>
        <v>1618.6090032268698</v>
      </c>
      <c r="G6" s="13">
        <f>Income_Statement!G49</f>
        <v>377.0061919504642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-4.4991030834238019</v>
      </c>
      <c r="D7" s="13">
        <f>Income_Statement!D61</f>
        <v>-40.353059853792857</v>
      </c>
      <c r="E7" s="13">
        <f>Income_Statement!E61</f>
        <v>-72.305616518944973</v>
      </c>
      <c r="F7" s="13">
        <f>Income_Statement!F61</f>
        <v>26.106596826239837</v>
      </c>
      <c r="G7" s="13">
        <f>Income_Statement!G61</f>
        <v>-18.850309597523211</v>
      </c>
    </row>
    <row r="8" spans="2:15" ht="18.75" x14ac:dyDescent="0.25">
      <c r="B8" s="14" t="s">
        <v>146</v>
      </c>
      <c r="C8" s="14">
        <f>ROUND(C6/C7, 2)</f>
        <v>-55</v>
      </c>
      <c r="D8" s="14">
        <f t="shared" ref="D8:G8" si="0">ROUND(D6/D7, 2)</f>
        <v>-18</v>
      </c>
      <c r="E8" s="14">
        <f t="shared" si="0"/>
        <v>-6</v>
      </c>
      <c r="F8" s="14">
        <f t="shared" si="0"/>
        <v>62</v>
      </c>
      <c r="G8" s="14">
        <f t="shared" si="0"/>
        <v>-20</v>
      </c>
    </row>
  </sheetData>
  <mergeCells count="1">
    <mergeCell ref="B5:G5"/>
  </mergeCells>
  <hyperlinks>
    <hyperlink ref="F1" location="Index_Data!A1" tooltip="Hi click here To return Index page" display="Index_Data!A1" xr:uid="{0BCDEE19-5544-4242-B068-9D463F8226F0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E22B2-A9C3-496B-9B54-B047CE6E99BA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8.140625" bestFit="1" customWidth="1"/>
    <col min="4" max="5" width="9.42578125" bestFit="1" customWidth="1"/>
    <col min="6" max="6" width="8.42578125" bestFit="1" customWidth="1"/>
    <col min="7" max="7" width="9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147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0</v>
      </c>
      <c r="D6" s="13">
        <f>Income_Statement!D51</f>
        <v>0</v>
      </c>
      <c r="E6" s="13">
        <f>Income_Statement!E51</f>
        <v>0</v>
      </c>
      <c r="F6" s="13">
        <f>Income_Statement!F51</f>
        <v>0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-4.4991030834238019</v>
      </c>
      <c r="D7" s="13">
        <f>Income_Statement!D61</f>
        <v>-40.353059853792857</v>
      </c>
      <c r="E7" s="13">
        <f>Income_Statement!E61</f>
        <v>-72.305616518944973</v>
      </c>
      <c r="F7" s="13">
        <f>Income_Statement!F61</f>
        <v>26.106596826239837</v>
      </c>
      <c r="G7" s="13">
        <f>Income_Statement!G61</f>
        <v>-18.850309597523211</v>
      </c>
    </row>
    <row r="8" spans="2:15" ht="18.75" x14ac:dyDescent="0.25">
      <c r="B8" s="14" t="s">
        <v>148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19058BBF-56D9-4448-98E2-0B09F437E205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2022-07-03T11:58:29Z</dcterms:created>
  <dcterms:modified xsi:type="dcterms:W3CDTF">2022-07-04T08:24:03Z</dcterms:modified>
</cp:coreProperties>
</file>