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2B23C36D-A29F-427C-B859-4E943C1647FD}" xr6:coauthVersionLast="47" xr6:coauthVersionMax="47" xr10:uidLastSave="{00000000-0000-0000-0000-000000000000}"/>
  <bookViews>
    <workbookView xWindow="-120" yWindow="-120" windowWidth="20730" windowHeight="11160" firstSheet="2" activeTab="2" xr2:uid="{90E7A4D7-1374-4BA6-BAFF-6F122C068FAC}"/>
  </bookViews>
  <sheets>
    <sheet name="BSInput" sheetId="1" r:id="rId1"/>
    <sheet name="ISMInput" sheetId="2" r:id="rId2"/>
    <sheet name="Index_Data" sheetId="48" r:id="rId3"/>
    <sheet name="Income_Statement" sheetId="3" r:id="rId4"/>
    <sheet name="Balance_Sheet" sheetId="4" r:id="rId5"/>
    <sheet name="CashFlow_Statement" sheetId="5" r:id="rId6"/>
    <sheet name="Ratios" sheetId="6" r:id="rId7"/>
    <sheet name="Earning__Per_Share" sheetId="7" r:id="rId8"/>
    <sheet name="Equity_Dividend_Per_Share" sheetId="8" r:id="rId9"/>
    <sheet name="Book_Value__Per_Share" sheetId="9" r:id="rId10"/>
    <sheet name="Dividend_Pay_Out_Ratio" sheetId="10" r:id="rId11"/>
    <sheet name="Dividend_Retention_Ratio" sheetId="11" r:id="rId12"/>
    <sheet name="Gross_Profit" sheetId="12" r:id="rId13"/>
    <sheet name="Net_Profit" sheetId="13" r:id="rId14"/>
    <sheet name="Return_On_Assets" sheetId="14" r:id="rId15"/>
    <sheet name="Return_On_Capital_Employeed" sheetId="15" r:id="rId16"/>
    <sheet name="Return_On_Equity" sheetId="16" r:id="rId17"/>
    <sheet name="Debt_Equity_Ratio" sheetId="17" r:id="rId18"/>
    <sheet name="Current_Ratio" sheetId="18" r:id="rId19"/>
    <sheet name="Quick_Ratio" sheetId="19" r:id="rId20"/>
    <sheet name="Interest_Coverage_Ratio" sheetId="20" r:id="rId21"/>
    <sheet name="Material_Consumed" sheetId="21" r:id="rId22"/>
    <sheet name="Defensive_Interval_Ratio" sheetId="22" r:id="rId23"/>
    <sheet name="Purchases_Per_Day" sheetId="23" r:id="rId24"/>
    <sheet name="Asset_TurnOver_Ratio" sheetId="24" r:id="rId25"/>
    <sheet name="Inventory_TurnOver_Ratio" sheetId="25" r:id="rId26"/>
    <sheet name="Debtors_TurnOver_Ratio" sheetId="26" r:id="rId27"/>
    <sheet name="Fixed_Assets_TurnOver_Ratio" sheetId="27" r:id="rId28"/>
    <sheet name="Payable_TurnOver_Ratio" sheetId="28" r:id="rId29"/>
    <sheet name="Inventory_Days" sheetId="29" r:id="rId30"/>
    <sheet name="Payable_Days" sheetId="30" r:id="rId31"/>
    <sheet name="Receivable_Days" sheetId="31" r:id="rId32"/>
    <sheet name="Operating_Cycle" sheetId="32" r:id="rId33"/>
    <sheet name="Cash_Conversion_Cycle_Days" sheetId="33" r:id="rId34"/>
    <sheet name="NetWorthVsTotalLiabilties" sheetId="34" r:id="rId35"/>
    <sheet name="PBDITvsPBIT" sheetId="35" r:id="rId36"/>
    <sheet name="CAvsCL" sheetId="36" r:id="rId37"/>
    <sheet name="Long_And_Short_Term_Provisions" sheetId="37" r:id="rId38"/>
    <sheet name="MaterialConsumed_DirectExpenses" sheetId="38" r:id="rId39"/>
    <sheet name="Gross_Sales_In_Total_Income" sheetId="39" r:id="rId40"/>
    <sheet name="Total_Debt_In_Liabilities" sheetId="40" r:id="rId41"/>
    <sheet name="Total_CL_In_Liabilities" sheetId="41" r:id="rId42"/>
    <sheet name="Total_NCA_In_Assets" sheetId="42" r:id="rId43"/>
    <sheet name="Total_CA_In_Assets" sheetId="43" r:id="rId44"/>
    <sheet name="TotalExpenditureVsTotalIncome" sheetId="44" r:id="rId45"/>
    <sheet name="Net_Profit_CF_To_Balance_Sheet" sheetId="45" r:id="rId46"/>
    <sheet name="BS_Backup" sheetId="46" r:id="rId47"/>
    <sheet name="ISM_Backup" sheetId="47" r:id="rId48"/>
  </sheets>
  <definedNames>
    <definedName name="AmountCFtoBalanceSheet">Income_Statement!$B$55:$G$55</definedName>
    <definedName name="AssetTurnOverRatio">Asset_TurnOver_Ratio!$B$8:$G$8</definedName>
    <definedName name="BookValuePerShare">Book_Value__Per_Share!$B$8:$G$8</definedName>
    <definedName name="CapitalWorkInProgress">Balance_Sheet!$B$52:$G$52</definedName>
    <definedName name="CashAndCashEquivalents">Balance_Sheet!$B$70:$G$70</definedName>
    <definedName name="CashCFtoBalanceSheet">CashFlow_Statement!$B$48:$G$48</definedName>
    <definedName name="CostOfMaterialsConsumed">Income_Statement!$B$17:$G$17</definedName>
    <definedName name="CurrentInvestments">Balance_Sheet!$B$50:$G$50</definedName>
    <definedName name="CurrentRatio">Current_Ratio!$B$8:$G$8</definedName>
    <definedName name="DebtEquityRatio">Debt_Equity_Ratio!$B$8:$G$8</definedName>
    <definedName name="DebtorsTurnOverRatio">Debtors_TurnOver_Ratio!$B$8:$G$8</definedName>
    <definedName name="DefensiveIntervalRatio">Defensive_Interval_Ratio!$B$8:$G$8</definedName>
    <definedName name="DeferredTaxAssetsNet">Balance_Sheet!$B$56:$G$56</definedName>
    <definedName name="DeferredTaxLiabilitiesNet">Balance_Sheet!$B$17:$G$17</definedName>
    <definedName name="Depreciation">Balance_Sheet!$B$44:$G$44</definedName>
    <definedName name="DepreciationAndAmortisationExpenses">Income_Statement!$B$31:$G$31</definedName>
    <definedName name="EarningPerShare">Earning__Per_Share!$B$8:$G$8</definedName>
    <definedName name="EmployeeBenefitExpenses">Income_Statement!$B$21:$G$21</definedName>
    <definedName name="EquityDividendPerShare">Equity_Dividend_Per_Share!$B$8:$G$8</definedName>
    <definedName name="EquityShareCapital">Balance_Sheet!$B$5:$G$5</definedName>
    <definedName name="EquityShareDividend">Income_Statement!$B$51:$G$51</definedName>
    <definedName name="ExceptionalItems">Income_Statement!$B$43:$G$43</definedName>
    <definedName name="ExciseDuty">Income_Statement!$B$7:$G$7</definedName>
    <definedName name="FinanceCosts">Income_Statement!$B$35:$G$35</definedName>
    <definedName name="GrossProfit">Gross_Profit!$B$8:$G$8</definedName>
    <definedName name="GrossSales">Income_Statement!$B$5:$G$5</definedName>
    <definedName name="IntangibleAssets">Balance_Sheet!$B$42:$G$42</definedName>
    <definedName name="InterestCoverageRatio">Interest_Coverage_Ratio!$B$8:$G$8</definedName>
    <definedName name="Inventories">Balance_Sheet!$B$66:$G$66</definedName>
    <definedName name="InventoryTurnOverRatio">Inventory_TurnOver_Ratio!$B$8:$G$8</definedName>
    <definedName name="LongTermBorrowings">Balance_Sheet!$B$15:$G$15</definedName>
    <definedName name="LongTermLoansAndAdvances">Balance_Sheet!$B$58:$G$58</definedName>
    <definedName name="LongTermProvisions">Balance_Sheet!$B$23:$G$23</definedName>
    <definedName name="MaterialConsumed">Material_Consumed!$B$8:$G$8</definedName>
    <definedName name="MinorityInterest">Balance_Sheet!$B$35:$G$35</definedName>
    <definedName name="NetAssets">Balance_Sheet!$B$46:$G$46</definedName>
    <definedName name="NetProfit">Net_Profit!$B$8:$G$8</definedName>
    <definedName name="NetSales">Income_Statement!$B$9:$G$9</definedName>
    <definedName name="NetWorth">Balance_Sheet!$B$13:$G$13</definedName>
    <definedName name="NonCurrentInvestments">Balance_Sheet!$B$48:$G$48</definedName>
    <definedName name="OperatingAndDirectExpenses">Income_Statement!$B$19:$G$19</definedName>
    <definedName name="OperatingProfit">Income_Statement!$B$27:$G$27</definedName>
    <definedName name="OtherCurrentAssets">Balance_Sheet!$B$64:$G$64</definedName>
    <definedName name="OtherCurrentLiabilities">Balance_Sheet!$B$31:$G$31</definedName>
    <definedName name="OtherExpenses">Income_Statement!$B$23:$G$23</definedName>
    <definedName name="OtherIncome">Income_Statement!$B$11:$G$11</definedName>
    <definedName name="OtherLongTermLiabilities">Balance_Sheet!$B$27:$G$27</definedName>
    <definedName name="OtherNonCurrentAssets">Balance_Sheet!$B$60:$G$60</definedName>
    <definedName name="PBDIT">Income_Statement!$B$29:$G$29</definedName>
    <definedName name="PBIT">Income_Statement!$B$33:$G$33</definedName>
    <definedName name="PBT">Income_Statement!$B$41:$G$41</definedName>
    <definedName name="PBTPostExtraOrdinaryItems">Income_Statement!$B$45:$G$45</definedName>
    <definedName name="PreferenceShareCapital">Balance_Sheet!$B$7:$G$7</definedName>
    <definedName name="ProfitBeforeshareofAssociates">Income_Statement!$B$37:$G$37</definedName>
    <definedName name="QuickRatio">Quick_Ratio!$B$9:$G$9</definedName>
    <definedName name="ReportedNetProfitPAT">Income_Statement!$B$49:$G$49</definedName>
    <definedName name="ReservesandSurplus">Balance_Sheet!$B$11:$G$11</definedName>
    <definedName name="ReturnOnAssets">Return_On_Assets!$B$8:$G$8</definedName>
    <definedName name="ReturnOnCapitalEmployeed">Return_On_Capital_Employeed!$B$9:$G$9</definedName>
    <definedName name="ReturnOnEquity">Return_On_Equity!$B$8:$G$8</definedName>
    <definedName name="ShareOfProfitLossOfAssociates">Income_Statement!$B$39:$G$39</definedName>
    <definedName name="SharesOutstanding">Income_Statement!$B$61:$G$61</definedName>
    <definedName name="ShortTermBorrowings">Balance_Sheet!$B$19:$G$19</definedName>
    <definedName name="ShortTermLoansAndAdvances">Balance_Sheet!$B$62:$G$62</definedName>
    <definedName name="ShortTermProvisions">Balance_Sheet!$B$25:$G$25</definedName>
    <definedName name="StockAdjustments">Income_Statement!$B$13:$G$13</definedName>
    <definedName name="TangibleAssets">Balance_Sheet!$B$40:$G$40</definedName>
    <definedName name="TaxOnDividend">Income_Statement!$B$53:$G$53</definedName>
    <definedName name="TotalAssets">Balance_Sheet!$B$74:$G$74</definedName>
    <definedName name="TotalCashFlowfromInvestmentActivities">CashFlow_Statement!$B$35:$G$35</definedName>
    <definedName name="TotalCashFromFinancingActivities">CashFlow_Statement!$B$47:$G$47</definedName>
    <definedName name="TotalCashfromOperatingActivities">CashFlow_Statement!$B$27:$G$27</definedName>
    <definedName name="TotalCurrentAssets">Balance_Sheet!$B$72:$G$72</definedName>
    <definedName name="TotalCurrentLiabilities">Balance_Sheet!$B$33:$G$33</definedName>
    <definedName name="TotalDebt">Balance_Sheet!$B$21:$G$21</definedName>
    <definedName name="TotalExpenditure">Income_Statement!$B$25:$G$25</definedName>
    <definedName name="TotalIncome">Income_Statement!$B$15:$G$15</definedName>
    <definedName name="TotalLiabilities">Balance_Sheet!$B$37:$G$37</definedName>
    <definedName name="TotalNonCashNonOperatingTransactions">CashFlow_Statement!$B$10:$G$10</definedName>
    <definedName name="TotalNonCurrentAssets">Balance_Sheet!$B$54:$G$54</definedName>
    <definedName name="TotalShareCapital">Balance_Sheet!$B$9:$G$9</definedName>
    <definedName name="TotalTaxExpenses">Income_Statement!$B$47:$G$47</definedName>
    <definedName name="TradePayables">Balance_Sheet!$B$29:$G$29</definedName>
    <definedName name="TradeReceivables">Balance_Sheet!$B$68:$G$68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4" l="1"/>
  <c r="J11" i="4"/>
  <c r="K11" i="4"/>
  <c r="L11" i="4"/>
  <c r="H11" i="4"/>
  <c r="I65" i="3"/>
  <c r="J65" i="3" s="1"/>
  <c r="K65" i="3" s="1"/>
  <c r="L65" i="3" s="1"/>
  <c r="H65" i="3"/>
  <c r="D65" i="3"/>
  <c r="E65" i="3"/>
  <c r="F65" i="3"/>
  <c r="G65" i="3"/>
  <c r="C65" i="3"/>
  <c r="H48" i="3"/>
  <c r="I48" i="3"/>
  <c r="J48" i="3"/>
  <c r="K48" i="3"/>
  <c r="L48" i="3"/>
  <c r="I47" i="3"/>
  <c r="J47" i="3"/>
  <c r="K47" i="3"/>
  <c r="L47" i="3"/>
  <c r="L26" i="5" s="1"/>
  <c r="H47" i="3"/>
  <c r="I64" i="3"/>
  <c r="J64" i="3" s="1"/>
  <c r="K64" i="3" s="1"/>
  <c r="L64" i="3" s="1"/>
  <c r="H64" i="3"/>
  <c r="D64" i="3"/>
  <c r="E64" i="3"/>
  <c r="F64" i="3"/>
  <c r="G64" i="3"/>
  <c r="C64" i="3"/>
  <c r="H36" i="3"/>
  <c r="I36" i="3"/>
  <c r="J36" i="3"/>
  <c r="K36" i="3"/>
  <c r="L36" i="3"/>
  <c r="I35" i="3"/>
  <c r="I46" i="5" s="1"/>
  <c r="I47" i="5" s="1"/>
  <c r="J35" i="3"/>
  <c r="K35" i="3"/>
  <c r="L35" i="3"/>
  <c r="H35" i="3"/>
  <c r="I63" i="3"/>
  <c r="J63" i="3" s="1"/>
  <c r="K63" i="3" s="1"/>
  <c r="L63" i="3" s="1"/>
  <c r="H63" i="3"/>
  <c r="D63" i="3"/>
  <c r="E63" i="3"/>
  <c r="F63" i="3"/>
  <c r="G63" i="3"/>
  <c r="C63" i="3"/>
  <c r="H32" i="3"/>
  <c r="I32" i="3"/>
  <c r="J32" i="3"/>
  <c r="K32" i="3"/>
  <c r="L32" i="3"/>
  <c r="I31" i="3"/>
  <c r="J31" i="3"/>
  <c r="K31" i="3"/>
  <c r="L31" i="3"/>
  <c r="H31" i="3"/>
  <c r="I62" i="3"/>
  <c r="J62" i="3" s="1"/>
  <c r="K62" i="3" s="1"/>
  <c r="L62" i="3" s="1"/>
  <c r="H62" i="3"/>
  <c r="D62" i="3"/>
  <c r="E62" i="3"/>
  <c r="F62" i="3"/>
  <c r="G62" i="3"/>
  <c r="C62" i="3"/>
  <c r="H44" i="4"/>
  <c r="I44" i="4" s="1"/>
  <c r="J44" i="4" s="1"/>
  <c r="K44" i="4" s="1"/>
  <c r="L44" i="4" s="1"/>
  <c r="L45" i="4" s="1"/>
  <c r="H47" i="5"/>
  <c r="J47" i="5"/>
  <c r="H46" i="5"/>
  <c r="J46" i="5"/>
  <c r="K46" i="5"/>
  <c r="K47" i="5" s="1"/>
  <c r="L46" i="5"/>
  <c r="L47" i="5" s="1"/>
  <c r="H45" i="5"/>
  <c r="I45" i="5"/>
  <c r="J45" i="5"/>
  <c r="K45" i="5"/>
  <c r="L45" i="5"/>
  <c r="H44" i="5"/>
  <c r="I44" i="5"/>
  <c r="J44" i="5"/>
  <c r="K44" i="5"/>
  <c r="L44" i="5"/>
  <c r="H42" i="5"/>
  <c r="I42" i="5"/>
  <c r="J42" i="5"/>
  <c r="K42" i="5"/>
  <c r="L42" i="5"/>
  <c r="H41" i="5"/>
  <c r="I41" i="5"/>
  <c r="J41" i="5"/>
  <c r="K41" i="5"/>
  <c r="L41" i="5"/>
  <c r="H40" i="5"/>
  <c r="I40" i="5"/>
  <c r="J40" i="5"/>
  <c r="K40" i="5"/>
  <c r="L40" i="5"/>
  <c r="H39" i="5"/>
  <c r="I39" i="5"/>
  <c r="J39" i="5"/>
  <c r="K39" i="5"/>
  <c r="L39" i="5"/>
  <c r="H38" i="5"/>
  <c r="I38" i="5"/>
  <c r="J38" i="5"/>
  <c r="K38" i="5"/>
  <c r="L38" i="5"/>
  <c r="H37" i="5"/>
  <c r="I37" i="5"/>
  <c r="J37" i="5"/>
  <c r="K37" i="5"/>
  <c r="L37" i="5"/>
  <c r="H35" i="5"/>
  <c r="I35" i="5"/>
  <c r="J35" i="5"/>
  <c r="K35" i="5"/>
  <c r="L35" i="5"/>
  <c r="H34" i="5"/>
  <c r="I34" i="5"/>
  <c r="J34" i="5"/>
  <c r="K34" i="5"/>
  <c r="L34" i="5"/>
  <c r="H33" i="5"/>
  <c r="I33" i="5"/>
  <c r="J33" i="5"/>
  <c r="K33" i="5"/>
  <c r="L33" i="5"/>
  <c r="H32" i="5"/>
  <c r="I32" i="5"/>
  <c r="J32" i="5"/>
  <c r="K32" i="5"/>
  <c r="L32" i="5"/>
  <c r="H31" i="5"/>
  <c r="I31" i="5"/>
  <c r="J31" i="5"/>
  <c r="K31" i="5"/>
  <c r="L31" i="5"/>
  <c r="H30" i="5"/>
  <c r="I30" i="5"/>
  <c r="J30" i="5"/>
  <c r="K30" i="5"/>
  <c r="L30" i="5"/>
  <c r="H29" i="5"/>
  <c r="I29" i="5"/>
  <c r="J29" i="5"/>
  <c r="K29" i="5"/>
  <c r="L29" i="5"/>
  <c r="H26" i="5"/>
  <c r="I26" i="5"/>
  <c r="J26" i="5"/>
  <c r="K26" i="5"/>
  <c r="H24" i="5"/>
  <c r="I24" i="5"/>
  <c r="J24" i="5"/>
  <c r="K24" i="5"/>
  <c r="L24" i="5"/>
  <c r="H23" i="5"/>
  <c r="I23" i="5"/>
  <c r="J23" i="5"/>
  <c r="K23" i="5"/>
  <c r="L23" i="5"/>
  <c r="H22" i="5"/>
  <c r="I22" i="5"/>
  <c r="J22" i="5"/>
  <c r="K22" i="5"/>
  <c r="L22" i="5"/>
  <c r="H21" i="5"/>
  <c r="I21" i="5"/>
  <c r="J21" i="5"/>
  <c r="K21" i="5"/>
  <c r="L21" i="5"/>
  <c r="H20" i="5"/>
  <c r="I20" i="5"/>
  <c r="J20" i="5"/>
  <c r="K20" i="5"/>
  <c r="L20" i="5"/>
  <c r="H18" i="5"/>
  <c r="I18" i="5"/>
  <c r="J18" i="5"/>
  <c r="K18" i="5"/>
  <c r="L18" i="5"/>
  <c r="H17" i="5"/>
  <c r="I17" i="5"/>
  <c r="J17" i="5"/>
  <c r="K17" i="5"/>
  <c r="L17" i="5"/>
  <c r="H16" i="5"/>
  <c r="I16" i="5"/>
  <c r="J16" i="5"/>
  <c r="K16" i="5"/>
  <c r="L16" i="5"/>
  <c r="H15" i="5"/>
  <c r="I15" i="5"/>
  <c r="J15" i="5"/>
  <c r="K15" i="5"/>
  <c r="L15" i="5"/>
  <c r="H14" i="5"/>
  <c r="I14" i="5"/>
  <c r="J14" i="5"/>
  <c r="K14" i="5"/>
  <c r="L14" i="5"/>
  <c r="H13" i="5"/>
  <c r="I13" i="5"/>
  <c r="J13" i="5"/>
  <c r="K13" i="5"/>
  <c r="L13" i="5"/>
  <c r="H12" i="5"/>
  <c r="I12" i="5"/>
  <c r="J12" i="5"/>
  <c r="K12" i="5"/>
  <c r="L12" i="5"/>
  <c r="H9" i="5"/>
  <c r="I9" i="5"/>
  <c r="J9" i="5"/>
  <c r="K9" i="5"/>
  <c r="L9" i="5"/>
  <c r="H8" i="5"/>
  <c r="J8" i="5"/>
  <c r="K8" i="5"/>
  <c r="L8" i="5"/>
  <c r="H7" i="5"/>
  <c r="I7" i="5"/>
  <c r="J7" i="5"/>
  <c r="K7" i="5"/>
  <c r="L7" i="5"/>
  <c r="L10" i="5" s="1"/>
  <c r="H66" i="4"/>
  <c r="I67" i="4"/>
  <c r="I66" i="4" s="1"/>
  <c r="J67" i="4"/>
  <c r="J66" i="4" s="1"/>
  <c r="K67" i="4"/>
  <c r="L67" i="4" s="1"/>
  <c r="L66" i="4" s="1"/>
  <c r="H67" i="4"/>
  <c r="L64" i="4"/>
  <c r="H64" i="4"/>
  <c r="I65" i="4"/>
  <c r="J65" i="4" s="1"/>
  <c r="K65" i="4" s="1"/>
  <c r="L65" i="4" s="1"/>
  <c r="H65" i="4"/>
  <c r="H62" i="4"/>
  <c r="I63" i="4"/>
  <c r="I62" i="4" s="1"/>
  <c r="H63" i="4"/>
  <c r="H58" i="4"/>
  <c r="I59" i="4"/>
  <c r="I58" i="4" s="1"/>
  <c r="J59" i="4"/>
  <c r="J58" i="4" s="1"/>
  <c r="K59" i="4"/>
  <c r="L59" i="4" s="1"/>
  <c r="L58" i="4" s="1"/>
  <c r="H59" i="4"/>
  <c r="L56" i="4"/>
  <c r="H56" i="4"/>
  <c r="I57" i="4"/>
  <c r="J57" i="4" s="1"/>
  <c r="K57" i="4" s="1"/>
  <c r="L57" i="4" s="1"/>
  <c r="H57" i="4"/>
  <c r="L52" i="4"/>
  <c r="H52" i="4"/>
  <c r="I53" i="4"/>
  <c r="J53" i="4" s="1"/>
  <c r="K53" i="4" s="1"/>
  <c r="L53" i="4" s="1"/>
  <c r="H53" i="4"/>
  <c r="L50" i="4"/>
  <c r="H50" i="4"/>
  <c r="I51" i="4"/>
  <c r="J51" i="4" s="1"/>
  <c r="K51" i="4" s="1"/>
  <c r="L51" i="4" s="1"/>
  <c r="H51" i="4"/>
  <c r="L48" i="4"/>
  <c r="H48" i="4"/>
  <c r="I49" i="4"/>
  <c r="J49" i="4" s="1"/>
  <c r="K49" i="4" s="1"/>
  <c r="L49" i="4" s="1"/>
  <c r="H49" i="4"/>
  <c r="L42" i="4"/>
  <c r="H42" i="4"/>
  <c r="I43" i="4"/>
  <c r="J43" i="4" s="1"/>
  <c r="K43" i="4" s="1"/>
  <c r="L43" i="4" s="1"/>
  <c r="H43" i="4"/>
  <c r="H40" i="4"/>
  <c r="I41" i="4"/>
  <c r="I40" i="4" s="1"/>
  <c r="J41" i="4"/>
  <c r="J40" i="4" s="1"/>
  <c r="K41" i="4"/>
  <c r="L41" i="4" s="1"/>
  <c r="L40" i="4" s="1"/>
  <c r="H41" i="4"/>
  <c r="L35" i="4"/>
  <c r="H35" i="4"/>
  <c r="I36" i="4"/>
  <c r="J36" i="4" s="1"/>
  <c r="K36" i="4" s="1"/>
  <c r="L36" i="4" s="1"/>
  <c r="H36" i="4"/>
  <c r="L31" i="4"/>
  <c r="H31" i="4"/>
  <c r="I32" i="4"/>
  <c r="J32" i="4" s="1"/>
  <c r="K32" i="4" s="1"/>
  <c r="L32" i="4" s="1"/>
  <c r="H32" i="4"/>
  <c r="K29" i="4"/>
  <c r="L29" i="4"/>
  <c r="H29" i="4"/>
  <c r="I30" i="4"/>
  <c r="J30" i="4" s="1"/>
  <c r="K30" i="4" s="1"/>
  <c r="L30" i="4" s="1"/>
  <c r="H30" i="4"/>
  <c r="K27" i="4"/>
  <c r="L27" i="4"/>
  <c r="H27" i="4"/>
  <c r="I28" i="4"/>
  <c r="J28" i="4" s="1"/>
  <c r="K28" i="4" s="1"/>
  <c r="L28" i="4" s="1"/>
  <c r="H28" i="4"/>
  <c r="H25" i="4"/>
  <c r="I26" i="4"/>
  <c r="I25" i="4" s="1"/>
  <c r="J26" i="4"/>
  <c r="J25" i="4" s="1"/>
  <c r="K26" i="4"/>
  <c r="L26" i="4" s="1"/>
  <c r="L25" i="4" s="1"/>
  <c r="H26" i="4"/>
  <c r="L23" i="4"/>
  <c r="L33" i="4" s="1"/>
  <c r="L34" i="4" s="1"/>
  <c r="H23" i="4"/>
  <c r="H33" i="4" s="1"/>
  <c r="H34" i="4" s="1"/>
  <c r="I24" i="4"/>
  <c r="J24" i="4" s="1"/>
  <c r="K24" i="4" s="1"/>
  <c r="L24" i="4" s="1"/>
  <c r="H24" i="4"/>
  <c r="H21" i="4"/>
  <c r="I22" i="4"/>
  <c r="I21" i="4" s="1"/>
  <c r="H22" i="4"/>
  <c r="H19" i="4"/>
  <c r="I20" i="4"/>
  <c r="I19" i="4" s="1"/>
  <c r="J20" i="4"/>
  <c r="J19" i="4" s="1"/>
  <c r="K20" i="4"/>
  <c r="L20" i="4" s="1"/>
  <c r="L19" i="4" s="1"/>
  <c r="H20" i="4"/>
  <c r="H17" i="4"/>
  <c r="I18" i="4"/>
  <c r="I17" i="4" s="1"/>
  <c r="H18" i="4"/>
  <c r="H15" i="4"/>
  <c r="I16" i="4"/>
  <c r="I15" i="4" s="1"/>
  <c r="H16" i="4"/>
  <c r="H13" i="4"/>
  <c r="I13" i="4"/>
  <c r="J13" i="4"/>
  <c r="J14" i="4" s="1"/>
  <c r="K13" i="4"/>
  <c r="K14" i="4" s="1"/>
  <c r="L13" i="4"/>
  <c r="H14" i="4"/>
  <c r="I14" i="4"/>
  <c r="L14" i="4"/>
  <c r="H9" i="4"/>
  <c r="I9" i="4"/>
  <c r="J9" i="4"/>
  <c r="K9" i="4"/>
  <c r="K10" i="4" s="1"/>
  <c r="L9" i="4"/>
  <c r="H10" i="4"/>
  <c r="I10" i="4"/>
  <c r="J10" i="4"/>
  <c r="L10" i="4"/>
  <c r="I7" i="4"/>
  <c r="J7" i="4" s="1"/>
  <c r="K7" i="4" s="1"/>
  <c r="L7" i="4" s="1"/>
  <c r="H7" i="4"/>
  <c r="I8" i="4"/>
  <c r="J8" i="4" s="1"/>
  <c r="K8" i="4" s="1"/>
  <c r="L8" i="4" s="1"/>
  <c r="H8" i="4"/>
  <c r="I5" i="4"/>
  <c r="J5" i="4" s="1"/>
  <c r="K5" i="4" s="1"/>
  <c r="L5" i="4" s="1"/>
  <c r="H5" i="4"/>
  <c r="I6" i="4"/>
  <c r="J6" i="4" s="1"/>
  <c r="K6" i="4" s="1"/>
  <c r="L6" i="4" s="1"/>
  <c r="H6" i="4"/>
  <c r="H75" i="4"/>
  <c r="I75" i="4"/>
  <c r="J75" i="4"/>
  <c r="K75" i="4"/>
  <c r="L75" i="4"/>
  <c r="I74" i="4"/>
  <c r="J74" i="4"/>
  <c r="K74" i="4"/>
  <c r="L74" i="4"/>
  <c r="H74" i="4"/>
  <c r="I80" i="4"/>
  <c r="J80" i="4" s="1"/>
  <c r="H80" i="4"/>
  <c r="D80" i="4"/>
  <c r="E80" i="4"/>
  <c r="F80" i="4"/>
  <c r="G80" i="4"/>
  <c r="C80" i="4"/>
  <c r="K68" i="4"/>
  <c r="H68" i="4"/>
  <c r="I69" i="4"/>
  <c r="J69" i="4" s="1"/>
  <c r="K69" i="4" s="1"/>
  <c r="L69" i="4" s="1"/>
  <c r="L68" i="4" s="1"/>
  <c r="H69" i="4"/>
  <c r="K53" i="3"/>
  <c r="L53" i="3"/>
  <c r="H53" i="3"/>
  <c r="I54" i="3"/>
  <c r="J54" i="3" s="1"/>
  <c r="K54" i="3" s="1"/>
  <c r="L54" i="3" s="1"/>
  <c r="H54" i="3"/>
  <c r="H51" i="3"/>
  <c r="I52" i="3"/>
  <c r="I51" i="3" s="1"/>
  <c r="J52" i="3"/>
  <c r="J51" i="3" s="1"/>
  <c r="K52" i="3"/>
  <c r="L52" i="3" s="1"/>
  <c r="L51" i="3" s="1"/>
  <c r="H52" i="3"/>
  <c r="L43" i="3"/>
  <c r="H43" i="3"/>
  <c r="I44" i="3"/>
  <c r="J44" i="3" s="1"/>
  <c r="K44" i="3" s="1"/>
  <c r="L44" i="3" s="1"/>
  <c r="H44" i="3"/>
  <c r="L39" i="3"/>
  <c r="H39" i="3"/>
  <c r="I40" i="3"/>
  <c r="J40" i="3" s="1"/>
  <c r="K40" i="3" s="1"/>
  <c r="L40" i="3" s="1"/>
  <c r="H40" i="3"/>
  <c r="H33" i="3"/>
  <c r="H34" i="3" s="1"/>
  <c r="I33" i="3"/>
  <c r="J33" i="3"/>
  <c r="J37" i="3" s="1"/>
  <c r="K33" i="3"/>
  <c r="K34" i="3" s="1"/>
  <c r="L33" i="3"/>
  <c r="L34" i="3" s="1"/>
  <c r="I34" i="3"/>
  <c r="J34" i="3"/>
  <c r="H29" i="3"/>
  <c r="I29" i="3"/>
  <c r="J29" i="3"/>
  <c r="K29" i="3"/>
  <c r="K30" i="3" s="1"/>
  <c r="L29" i="3"/>
  <c r="H30" i="3"/>
  <c r="I30" i="3"/>
  <c r="J30" i="3"/>
  <c r="L30" i="3"/>
  <c r="H27" i="3"/>
  <c r="I27" i="3"/>
  <c r="J27" i="3"/>
  <c r="K27" i="3"/>
  <c r="K28" i="3" s="1"/>
  <c r="L27" i="3"/>
  <c r="H28" i="3"/>
  <c r="I28" i="3"/>
  <c r="J28" i="3"/>
  <c r="L28" i="3"/>
  <c r="H25" i="3"/>
  <c r="I25" i="3"/>
  <c r="J25" i="3"/>
  <c r="K25" i="3"/>
  <c r="K26" i="3" s="1"/>
  <c r="L25" i="3"/>
  <c r="H26" i="3"/>
  <c r="I26" i="3"/>
  <c r="J26" i="3"/>
  <c r="L26" i="3"/>
  <c r="L23" i="3"/>
  <c r="H23" i="3"/>
  <c r="I24" i="3"/>
  <c r="J24" i="3" s="1"/>
  <c r="K24" i="3" s="1"/>
  <c r="L24" i="3" s="1"/>
  <c r="H24" i="3"/>
  <c r="K21" i="3"/>
  <c r="L21" i="3"/>
  <c r="H21" i="3"/>
  <c r="I22" i="3"/>
  <c r="J22" i="3" s="1"/>
  <c r="K22" i="3" s="1"/>
  <c r="L22" i="3" s="1"/>
  <c r="H22" i="3"/>
  <c r="L19" i="3"/>
  <c r="H19" i="3"/>
  <c r="I20" i="3"/>
  <c r="J20" i="3" s="1"/>
  <c r="K20" i="3" s="1"/>
  <c r="L20" i="3" s="1"/>
  <c r="H20" i="3"/>
  <c r="H17" i="3"/>
  <c r="I18" i="3"/>
  <c r="I17" i="3" s="1"/>
  <c r="H18" i="3"/>
  <c r="H15" i="3"/>
  <c r="I15" i="3"/>
  <c r="J15" i="3"/>
  <c r="K15" i="3"/>
  <c r="K16" i="3" s="1"/>
  <c r="L15" i="3"/>
  <c r="H16" i="3"/>
  <c r="I16" i="3"/>
  <c r="J16" i="3"/>
  <c r="L16" i="3"/>
  <c r="H13" i="3"/>
  <c r="I14" i="3"/>
  <c r="J14" i="3" s="1"/>
  <c r="K14" i="3" s="1"/>
  <c r="L14" i="3" s="1"/>
  <c r="L13" i="3" s="1"/>
  <c r="H14" i="3"/>
  <c r="L11" i="3"/>
  <c r="H11" i="3"/>
  <c r="I12" i="3"/>
  <c r="J12" i="3" s="1"/>
  <c r="K12" i="3" s="1"/>
  <c r="L12" i="3" s="1"/>
  <c r="H12" i="3"/>
  <c r="H9" i="3"/>
  <c r="I9" i="3"/>
  <c r="J9" i="3"/>
  <c r="K9" i="3"/>
  <c r="K10" i="3" s="1"/>
  <c r="L9" i="3"/>
  <c r="H10" i="3"/>
  <c r="I10" i="3"/>
  <c r="J10" i="3"/>
  <c r="L10" i="3"/>
  <c r="L7" i="3"/>
  <c r="H7" i="3"/>
  <c r="I8" i="3"/>
  <c r="J8" i="3" s="1"/>
  <c r="K8" i="3" s="1"/>
  <c r="L8" i="3" s="1"/>
  <c r="H8" i="3"/>
  <c r="H6" i="3"/>
  <c r="I5" i="3"/>
  <c r="J5" i="3" s="1"/>
  <c r="J6" i="3" s="1"/>
  <c r="H5" i="3"/>
  <c r="D56" i="3"/>
  <c r="E56" i="3"/>
  <c r="F56" i="3"/>
  <c r="G56" i="3"/>
  <c r="C56" i="3"/>
  <c r="D54" i="3"/>
  <c r="E54" i="3"/>
  <c r="F54" i="3"/>
  <c r="G54" i="3"/>
  <c r="C54" i="3"/>
  <c r="D52" i="3"/>
  <c r="E52" i="3"/>
  <c r="F52" i="3"/>
  <c r="G52" i="3"/>
  <c r="C52" i="3"/>
  <c r="D48" i="3"/>
  <c r="E48" i="3"/>
  <c r="F48" i="3"/>
  <c r="G48" i="3"/>
  <c r="C48" i="3"/>
  <c r="D44" i="3"/>
  <c r="E44" i="3"/>
  <c r="F44" i="3"/>
  <c r="G44" i="3"/>
  <c r="C44" i="3"/>
  <c r="D40" i="3"/>
  <c r="E40" i="3"/>
  <c r="F40" i="3"/>
  <c r="G40" i="3"/>
  <c r="C40" i="3"/>
  <c r="D36" i="3"/>
  <c r="E36" i="3"/>
  <c r="F36" i="3"/>
  <c r="G36" i="3"/>
  <c r="C36" i="3"/>
  <c r="D32" i="3"/>
  <c r="E32" i="3"/>
  <c r="F32" i="3"/>
  <c r="G32" i="3"/>
  <c r="C32" i="3"/>
  <c r="D24" i="3"/>
  <c r="E24" i="3"/>
  <c r="F24" i="3"/>
  <c r="G24" i="3"/>
  <c r="C24" i="3"/>
  <c r="D22" i="3"/>
  <c r="E22" i="3"/>
  <c r="F22" i="3"/>
  <c r="G22" i="3"/>
  <c r="C22" i="3"/>
  <c r="D20" i="3"/>
  <c r="E20" i="3"/>
  <c r="F20" i="3"/>
  <c r="G20" i="3"/>
  <c r="C20" i="3"/>
  <c r="D18" i="3"/>
  <c r="E18" i="3"/>
  <c r="F18" i="3"/>
  <c r="G18" i="3"/>
  <c r="C18" i="3"/>
  <c r="D14" i="3"/>
  <c r="E14" i="3"/>
  <c r="F14" i="3"/>
  <c r="G14" i="3"/>
  <c r="C14" i="3"/>
  <c r="D12" i="3"/>
  <c r="E12" i="3"/>
  <c r="F12" i="3"/>
  <c r="G12" i="3"/>
  <c r="C12" i="3"/>
  <c r="D8" i="3"/>
  <c r="E8" i="3"/>
  <c r="F8" i="3"/>
  <c r="G8" i="3"/>
  <c r="C8" i="3"/>
  <c r="D6" i="3"/>
  <c r="E6" i="3"/>
  <c r="F6" i="3"/>
  <c r="G6" i="3"/>
  <c r="C6" i="3"/>
  <c r="G15" i="47"/>
  <c r="F15" i="47"/>
  <c r="E15" i="47"/>
  <c r="D15" i="47"/>
  <c r="C15" i="47"/>
  <c r="F10" i="47"/>
  <c r="F16" i="47" s="1"/>
  <c r="F17" i="47" s="1"/>
  <c r="F19" i="47" s="1"/>
  <c r="F21" i="47" s="1"/>
  <c r="F23" i="47" s="1"/>
  <c r="F25" i="47" s="1"/>
  <c r="F27" i="47" s="1"/>
  <c r="G7" i="47"/>
  <c r="G10" i="47" s="1"/>
  <c r="G16" i="47" s="1"/>
  <c r="G17" i="47" s="1"/>
  <c r="G19" i="47" s="1"/>
  <c r="G21" i="47" s="1"/>
  <c r="G23" i="47" s="1"/>
  <c r="G25" i="47" s="1"/>
  <c r="G27" i="47" s="1"/>
  <c r="F7" i="47"/>
  <c r="E7" i="47"/>
  <c r="E10" i="47" s="1"/>
  <c r="E16" i="47" s="1"/>
  <c r="E17" i="47" s="1"/>
  <c r="E19" i="47" s="1"/>
  <c r="E21" i="47" s="1"/>
  <c r="E23" i="47" s="1"/>
  <c r="E25" i="47" s="1"/>
  <c r="E27" i="47" s="1"/>
  <c r="D7" i="47"/>
  <c r="D10" i="47" s="1"/>
  <c r="D16" i="47" s="1"/>
  <c r="D17" i="47" s="1"/>
  <c r="D19" i="47" s="1"/>
  <c r="D21" i="47" s="1"/>
  <c r="D23" i="47" s="1"/>
  <c r="D25" i="47" s="1"/>
  <c r="D27" i="47" s="1"/>
  <c r="C7" i="47"/>
  <c r="C10" i="47" s="1"/>
  <c r="C16" i="47" s="1"/>
  <c r="C17" i="47" s="1"/>
  <c r="C19" i="47" s="1"/>
  <c r="C21" i="47" s="1"/>
  <c r="C23" i="47" s="1"/>
  <c r="C25" i="47" s="1"/>
  <c r="C27" i="47" s="1"/>
  <c r="C75" i="4"/>
  <c r="C39" i="46"/>
  <c r="C26" i="46"/>
  <c r="C30" i="46" s="1"/>
  <c r="C40" i="46" s="1"/>
  <c r="D25" i="46"/>
  <c r="D26" i="46" s="1"/>
  <c r="D30" i="46" s="1"/>
  <c r="G19" i="46"/>
  <c r="F19" i="46"/>
  <c r="E19" i="46"/>
  <c r="D19" i="46"/>
  <c r="C19" i="46"/>
  <c r="G13" i="46"/>
  <c r="F13" i="46"/>
  <c r="E13" i="46"/>
  <c r="D13" i="46"/>
  <c r="C13" i="46"/>
  <c r="G7" i="46"/>
  <c r="F7" i="46"/>
  <c r="E7" i="46"/>
  <c r="D7" i="46"/>
  <c r="C7" i="46"/>
  <c r="C9" i="46" s="1"/>
  <c r="C21" i="46" s="1"/>
  <c r="B6" i="45"/>
  <c r="B5" i="45"/>
  <c r="D4" i="45"/>
  <c r="E4" i="45"/>
  <c r="F4" i="45"/>
  <c r="G4" i="45"/>
  <c r="C4" i="45"/>
  <c r="B6" i="44"/>
  <c r="B5" i="44"/>
  <c r="D4" i="44"/>
  <c r="E4" i="44"/>
  <c r="F4" i="44"/>
  <c r="G4" i="44"/>
  <c r="C4" i="44"/>
  <c r="B6" i="43"/>
  <c r="B5" i="43"/>
  <c r="D4" i="43"/>
  <c r="E4" i="43"/>
  <c r="F4" i="43"/>
  <c r="G4" i="43"/>
  <c r="C4" i="43"/>
  <c r="B6" i="42"/>
  <c r="B5" i="42"/>
  <c r="D4" i="42"/>
  <c r="E4" i="42"/>
  <c r="F4" i="42"/>
  <c r="G4" i="42"/>
  <c r="C4" i="42"/>
  <c r="B6" i="41"/>
  <c r="B5" i="41"/>
  <c r="D4" i="41"/>
  <c r="E4" i="41"/>
  <c r="F4" i="41"/>
  <c r="G4" i="41"/>
  <c r="C4" i="41"/>
  <c r="B6" i="40"/>
  <c r="B5" i="40"/>
  <c r="D4" i="40"/>
  <c r="E4" i="40"/>
  <c r="F4" i="40"/>
  <c r="G4" i="40"/>
  <c r="C4" i="40"/>
  <c r="C5" i="39"/>
  <c r="D5" i="39"/>
  <c r="E5" i="39"/>
  <c r="F5" i="39"/>
  <c r="G5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B6" i="36"/>
  <c r="B5" i="36"/>
  <c r="D4" i="36"/>
  <c r="E4" i="36"/>
  <c r="F4" i="36"/>
  <c r="G4" i="36"/>
  <c r="C4" i="36"/>
  <c r="B6" i="35"/>
  <c r="B5" i="35"/>
  <c r="D4" i="35"/>
  <c r="E4" i="35"/>
  <c r="F4" i="35"/>
  <c r="G4" i="35"/>
  <c r="C4" i="35"/>
  <c r="B6" i="34"/>
  <c r="B5" i="34"/>
  <c r="D4" i="34"/>
  <c r="E4" i="34"/>
  <c r="F4" i="34"/>
  <c r="G4" i="34"/>
  <c r="C4" i="34"/>
  <c r="C13" i="33"/>
  <c r="D13" i="33"/>
  <c r="E13" i="33"/>
  <c r="F13" i="33"/>
  <c r="G13" i="33"/>
  <c r="B14" i="33"/>
  <c r="B13" i="33"/>
  <c r="C9" i="33"/>
  <c r="D9" i="33"/>
  <c r="E9" i="33"/>
  <c r="F9" i="33"/>
  <c r="G9" i="33"/>
  <c r="B10" i="33"/>
  <c r="B9" i="33"/>
  <c r="C6" i="33"/>
  <c r="D6" i="33"/>
  <c r="E6" i="33"/>
  <c r="F6" i="33"/>
  <c r="G6" i="33"/>
  <c r="C7" i="33"/>
  <c r="D7" i="33"/>
  <c r="E7" i="33"/>
  <c r="F7" i="33"/>
  <c r="G7" i="33"/>
  <c r="B7" i="33"/>
  <c r="B6" i="33"/>
  <c r="C9" i="32"/>
  <c r="D9" i="32"/>
  <c r="E9" i="32"/>
  <c r="F9" i="32"/>
  <c r="G9" i="32"/>
  <c r="B10" i="32"/>
  <c r="B9" i="32"/>
  <c r="C6" i="32"/>
  <c r="D6" i="32"/>
  <c r="E6" i="32"/>
  <c r="F6" i="32"/>
  <c r="G6" i="32"/>
  <c r="C7" i="32"/>
  <c r="D7" i="32"/>
  <c r="E7" i="32"/>
  <c r="F7" i="32"/>
  <c r="G7" i="32"/>
  <c r="B7" i="32"/>
  <c r="B6" i="32"/>
  <c r="C6" i="31"/>
  <c r="D6" i="31"/>
  <c r="E6" i="31"/>
  <c r="F6" i="31"/>
  <c r="G6" i="31"/>
  <c r="C7" i="31"/>
  <c r="D7" i="31"/>
  <c r="E7" i="31"/>
  <c r="F7" i="31"/>
  <c r="G7" i="31"/>
  <c r="B7" i="31"/>
  <c r="B6" i="31"/>
  <c r="C6" i="30"/>
  <c r="D6" i="30"/>
  <c r="E6" i="30"/>
  <c r="F6" i="30"/>
  <c r="G6" i="30"/>
  <c r="B7" i="30"/>
  <c r="B6" i="30"/>
  <c r="C6" i="29"/>
  <c r="D6" i="29"/>
  <c r="E6" i="29"/>
  <c r="F6" i="29"/>
  <c r="G6" i="29"/>
  <c r="C7" i="29"/>
  <c r="D7" i="29"/>
  <c r="E7" i="29"/>
  <c r="F7" i="29"/>
  <c r="G7" i="29"/>
  <c r="B7" i="29"/>
  <c r="B6" i="29"/>
  <c r="C6" i="28"/>
  <c r="D6" i="28"/>
  <c r="E6" i="28"/>
  <c r="F6" i="28"/>
  <c r="G6" i="28"/>
  <c r="B7" i="28"/>
  <c r="B6" i="28"/>
  <c r="C6" i="27"/>
  <c r="D6" i="27"/>
  <c r="E6" i="27"/>
  <c r="F6" i="27"/>
  <c r="G6" i="27"/>
  <c r="C7" i="27"/>
  <c r="D7" i="27"/>
  <c r="E7" i="27"/>
  <c r="F7" i="27"/>
  <c r="G7" i="27"/>
  <c r="B7" i="27"/>
  <c r="B6" i="27"/>
  <c r="C6" i="26"/>
  <c r="D6" i="26"/>
  <c r="E6" i="26"/>
  <c r="F6" i="26"/>
  <c r="G6" i="26"/>
  <c r="C7" i="26"/>
  <c r="D7" i="26"/>
  <c r="E7" i="26"/>
  <c r="F7" i="26"/>
  <c r="G7" i="26"/>
  <c r="B7" i="26"/>
  <c r="B6" i="26"/>
  <c r="C6" i="25"/>
  <c r="D6" i="25"/>
  <c r="E6" i="25"/>
  <c r="F6" i="25"/>
  <c r="G6" i="25"/>
  <c r="C7" i="25"/>
  <c r="D7" i="25"/>
  <c r="E7" i="25"/>
  <c r="F7" i="25"/>
  <c r="G7" i="25"/>
  <c r="B7" i="25"/>
  <c r="B6" i="25"/>
  <c r="C6" i="24"/>
  <c r="D6" i="24"/>
  <c r="E6" i="24"/>
  <c r="F6" i="24"/>
  <c r="G6" i="24"/>
  <c r="B7" i="24"/>
  <c r="B6" i="24"/>
  <c r="C6" i="23"/>
  <c r="C8" i="23" s="1"/>
  <c r="B6" i="23"/>
  <c r="C6" i="22"/>
  <c r="C7" i="22"/>
  <c r="D7" i="22"/>
  <c r="E7" i="22"/>
  <c r="F7" i="22"/>
  <c r="G7" i="22"/>
  <c r="B7" i="22"/>
  <c r="B6" i="22"/>
  <c r="C6" i="21"/>
  <c r="D6" i="21"/>
  <c r="E6" i="21"/>
  <c r="F6" i="21"/>
  <c r="G6" i="21"/>
  <c r="B7" i="21"/>
  <c r="B6" i="21"/>
  <c r="C7" i="20"/>
  <c r="D7" i="20"/>
  <c r="E7" i="20"/>
  <c r="F7" i="20"/>
  <c r="G7" i="20"/>
  <c r="B7" i="20"/>
  <c r="B6" i="20"/>
  <c r="C7" i="19"/>
  <c r="D7" i="19"/>
  <c r="E7" i="19"/>
  <c r="F7" i="19"/>
  <c r="G7" i="19"/>
  <c r="B8" i="19"/>
  <c r="B7" i="19"/>
  <c r="B6" i="19"/>
  <c r="B7" i="18"/>
  <c r="B6" i="18"/>
  <c r="B7" i="17"/>
  <c r="B6" i="17"/>
  <c r="B7" i="16"/>
  <c r="B6" i="16"/>
  <c r="B8" i="15"/>
  <c r="B7" i="15"/>
  <c r="B6" i="15"/>
  <c r="B7" i="14"/>
  <c r="B6" i="14"/>
  <c r="C6" i="13"/>
  <c r="D6" i="13"/>
  <c r="E6" i="13"/>
  <c r="F6" i="13"/>
  <c r="G6" i="13"/>
  <c r="B7" i="13"/>
  <c r="B6" i="13"/>
  <c r="C6" i="12"/>
  <c r="D6" i="12"/>
  <c r="E6" i="12"/>
  <c r="F6" i="12"/>
  <c r="G6" i="12"/>
  <c r="C7" i="12"/>
  <c r="D7" i="12"/>
  <c r="E7" i="12"/>
  <c r="F7" i="12"/>
  <c r="G7" i="12"/>
  <c r="B7" i="12"/>
  <c r="B6" i="12"/>
  <c r="C6" i="11"/>
  <c r="D6" i="11"/>
  <c r="E6" i="11"/>
  <c r="F6" i="11"/>
  <c r="G6" i="11"/>
  <c r="B7" i="11"/>
  <c r="B6" i="11"/>
  <c r="B10" i="10"/>
  <c r="B9" i="10"/>
  <c r="C6" i="10"/>
  <c r="D6" i="10"/>
  <c r="E6" i="10"/>
  <c r="F6" i="10"/>
  <c r="G6" i="10"/>
  <c r="B7" i="10"/>
  <c r="B6" i="10"/>
  <c r="B7" i="9"/>
  <c r="B6" i="9"/>
  <c r="C6" i="8"/>
  <c r="D6" i="8"/>
  <c r="E6" i="8"/>
  <c r="F6" i="8"/>
  <c r="G6" i="8"/>
  <c r="B7" i="8"/>
  <c r="B6" i="8"/>
  <c r="B7" i="7"/>
  <c r="B6" i="7"/>
  <c r="C154" i="6"/>
  <c r="D154" i="6"/>
  <c r="E154" i="6"/>
  <c r="F154" i="6"/>
  <c r="G154" i="6"/>
  <c r="B155" i="6"/>
  <c r="B154" i="6"/>
  <c r="C150" i="6"/>
  <c r="D150" i="6"/>
  <c r="E150" i="6"/>
  <c r="F150" i="6"/>
  <c r="G150" i="6"/>
  <c r="B151" i="6"/>
  <c r="B150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C141" i="6"/>
  <c r="D141" i="6"/>
  <c r="E141" i="6"/>
  <c r="F141" i="6"/>
  <c r="G141" i="6"/>
  <c r="B142" i="6"/>
  <c r="B141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C128" i="6"/>
  <c r="D128" i="6"/>
  <c r="E128" i="6"/>
  <c r="F128" i="6"/>
  <c r="G128" i="6"/>
  <c r="B129" i="6"/>
  <c r="B128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C118" i="6"/>
  <c r="D118" i="6"/>
  <c r="E118" i="6"/>
  <c r="F118" i="6"/>
  <c r="G118" i="6"/>
  <c r="B119" i="6"/>
  <c r="B118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C98" i="6"/>
  <c r="D98" i="6"/>
  <c r="E98" i="6"/>
  <c r="F98" i="6"/>
  <c r="G98" i="6"/>
  <c r="B99" i="6"/>
  <c r="B98" i="6"/>
  <c r="C93" i="6"/>
  <c r="C95" i="6" s="1"/>
  <c r="B93" i="6"/>
  <c r="C88" i="6"/>
  <c r="C89" i="6"/>
  <c r="D89" i="6"/>
  <c r="E89" i="6"/>
  <c r="F89" i="6"/>
  <c r="G89" i="6"/>
  <c r="B89" i="6"/>
  <c r="B88" i="6"/>
  <c r="C83" i="6"/>
  <c r="D83" i="6"/>
  <c r="E83" i="6"/>
  <c r="F83" i="6"/>
  <c r="G83" i="6"/>
  <c r="B84" i="6"/>
  <c r="B83" i="6"/>
  <c r="C79" i="6"/>
  <c r="D79" i="6"/>
  <c r="E79" i="6"/>
  <c r="F79" i="6"/>
  <c r="G79" i="6"/>
  <c r="B79" i="6"/>
  <c r="B78" i="6"/>
  <c r="C73" i="6"/>
  <c r="D73" i="6"/>
  <c r="E73" i="6"/>
  <c r="F73" i="6"/>
  <c r="G73" i="6"/>
  <c r="B74" i="6"/>
  <c r="B73" i="6"/>
  <c r="B72" i="6"/>
  <c r="B68" i="6"/>
  <c r="B67" i="6"/>
  <c r="B63" i="6"/>
  <c r="B62" i="6"/>
  <c r="B58" i="6"/>
  <c r="B57" i="6"/>
  <c r="B53" i="6"/>
  <c r="B52" i="6"/>
  <c r="B51" i="6"/>
  <c r="B47" i="6"/>
  <c r="B46" i="6"/>
  <c r="C41" i="6"/>
  <c r="D41" i="6"/>
  <c r="E41" i="6"/>
  <c r="F41" i="6"/>
  <c r="G41" i="6"/>
  <c r="B42" i="6"/>
  <c r="B41" i="6"/>
  <c r="C36" i="6"/>
  <c r="D36" i="6"/>
  <c r="E36" i="6"/>
  <c r="F36" i="6"/>
  <c r="G36" i="6"/>
  <c r="C37" i="6"/>
  <c r="D37" i="6"/>
  <c r="E37" i="6"/>
  <c r="F37" i="6"/>
  <c r="G37" i="6"/>
  <c r="B37" i="6"/>
  <c r="B36" i="6"/>
  <c r="C30" i="6"/>
  <c r="D30" i="6"/>
  <c r="E30" i="6"/>
  <c r="F30" i="6"/>
  <c r="G30" i="6"/>
  <c r="B31" i="6"/>
  <c r="B30" i="6"/>
  <c r="B25" i="6"/>
  <c r="B24" i="6"/>
  <c r="C21" i="6"/>
  <c r="D21" i="6"/>
  <c r="E21" i="6"/>
  <c r="F21" i="6"/>
  <c r="G21" i="6"/>
  <c r="B22" i="6"/>
  <c r="B21" i="6"/>
  <c r="B17" i="6"/>
  <c r="B16" i="6"/>
  <c r="C11" i="6"/>
  <c r="D11" i="6"/>
  <c r="E11" i="6"/>
  <c r="F11" i="6"/>
  <c r="G11" i="6"/>
  <c r="B12" i="6"/>
  <c r="B11" i="6"/>
  <c r="B7" i="6"/>
  <c r="B6" i="6"/>
  <c r="D44" i="4"/>
  <c r="E44" i="4" s="1"/>
  <c r="F44" i="4" s="1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4" i="5"/>
  <c r="F34" i="5"/>
  <c r="G34" i="5"/>
  <c r="D34" i="5"/>
  <c r="E33" i="5"/>
  <c r="F33" i="5"/>
  <c r="G33" i="5"/>
  <c r="D33" i="5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9" i="5"/>
  <c r="F9" i="5"/>
  <c r="G9" i="5"/>
  <c r="D9" i="5"/>
  <c r="E8" i="5"/>
  <c r="F8" i="5"/>
  <c r="G8" i="5"/>
  <c r="D8" i="5"/>
  <c r="E7" i="5"/>
  <c r="E10" i="5" s="1"/>
  <c r="F7" i="5"/>
  <c r="F10" i="5" s="1"/>
  <c r="G7" i="5"/>
  <c r="G10" i="5" s="1"/>
  <c r="D7" i="5"/>
  <c r="D10" i="5" s="1"/>
  <c r="D33" i="4"/>
  <c r="D151" i="6" s="1"/>
  <c r="E33" i="4"/>
  <c r="E7" i="18" s="1"/>
  <c r="F33" i="4"/>
  <c r="F119" i="6" s="1"/>
  <c r="G33" i="4"/>
  <c r="G6" i="41" s="1"/>
  <c r="D21" i="4"/>
  <c r="D52" i="6" s="1"/>
  <c r="E21" i="4"/>
  <c r="E52" i="6" s="1"/>
  <c r="F21" i="4"/>
  <c r="G21" i="4"/>
  <c r="G52" i="6" s="1"/>
  <c r="D9" i="4"/>
  <c r="E9" i="4"/>
  <c r="F9" i="4"/>
  <c r="G9" i="4"/>
  <c r="C72" i="4"/>
  <c r="C46" i="4"/>
  <c r="C54" i="4" s="1"/>
  <c r="C33" i="4"/>
  <c r="C7" i="28" s="1"/>
  <c r="C21" i="4"/>
  <c r="C9" i="4"/>
  <c r="C13" i="4" s="1"/>
  <c r="D25" i="3"/>
  <c r="D5" i="44" s="1"/>
  <c r="E25" i="3"/>
  <c r="E5" i="44" s="1"/>
  <c r="F25" i="3"/>
  <c r="F26" i="3" s="1"/>
  <c r="G25" i="3"/>
  <c r="G26" i="3" s="1"/>
  <c r="D9" i="3"/>
  <c r="D84" i="6" s="1"/>
  <c r="E9" i="3"/>
  <c r="F9" i="3"/>
  <c r="F10" i="3" s="1"/>
  <c r="G9" i="3"/>
  <c r="C25" i="3"/>
  <c r="C26" i="3" s="1"/>
  <c r="C9" i="3"/>
  <c r="C10" i="3" s="1"/>
  <c r="H37" i="4" l="1"/>
  <c r="H38" i="4" s="1"/>
  <c r="I8" i="5"/>
  <c r="I10" i="5" s="1"/>
  <c r="K10" i="5"/>
  <c r="I37" i="3"/>
  <c r="I41" i="3" s="1"/>
  <c r="J10" i="5"/>
  <c r="H10" i="5"/>
  <c r="J41" i="3"/>
  <c r="J38" i="3"/>
  <c r="L37" i="3"/>
  <c r="K37" i="3"/>
  <c r="K45" i="4"/>
  <c r="J45" i="4"/>
  <c r="H37" i="3"/>
  <c r="I45" i="4"/>
  <c r="H45" i="4"/>
  <c r="L46" i="4"/>
  <c r="L54" i="4" s="1"/>
  <c r="L55" i="4" s="1"/>
  <c r="H46" i="4"/>
  <c r="H47" i="4" s="1"/>
  <c r="H54" i="4"/>
  <c r="H55" i="4" s="1"/>
  <c r="J68" i="4"/>
  <c r="I68" i="4"/>
  <c r="K66" i="4"/>
  <c r="K64" i="4"/>
  <c r="J64" i="4"/>
  <c r="I64" i="4"/>
  <c r="J63" i="4"/>
  <c r="K58" i="4"/>
  <c r="K56" i="4"/>
  <c r="J56" i="4"/>
  <c r="I56" i="4"/>
  <c r="K52" i="4"/>
  <c r="J52" i="4"/>
  <c r="I52" i="4"/>
  <c r="K50" i="4"/>
  <c r="J50" i="4"/>
  <c r="I50" i="4"/>
  <c r="K48" i="4"/>
  <c r="J48" i="4"/>
  <c r="I48" i="4"/>
  <c r="K42" i="4"/>
  <c r="J42" i="4"/>
  <c r="J46" i="4" s="1"/>
  <c r="I42" i="4"/>
  <c r="I46" i="4" s="1"/>
  <c r="K40" i="4"/>
  <c r="K46" i="4" s="1"/>
  <c r="K35" i="4"/>
  <c r="J35" i="4"/>
  <c r="I35" i="4"/>
  <c r="K31" i="4"/>
  <c r="J31" i="4"/>
  <c r="I31" i="4"/>
  <c r="J29" i="4"/>
  <c r="I29" i="4"/>
  <c r="J27" i="4"/>
  <c r="I27" i="4"/>
  <c r="K25" i="4"/>
  <c r="K23" i="4"/>
  <c r="K33" i="4" s="1"/>
  <c r="K34" i="4" s="1"/>
  <c r="J23" i="4"/>
  <c r="J33" i="4" s="1"/>
  <c r="J34" i="4" s="1"/>
  <c r="I23" i="4"/>
  <c r="J22" i="4"/>
  <c r="K19" i="4"/>
  <c r="J18" i="4"/>
  <c r="J16" i="4"/>
  <c r="K80" i="4"/>
  <c r="L80" i="4" s="1"/>
  <c r="J53" i="3"/>
  <c r="I53" i="3"/>
  <c r="K51" i="3"/>
  <c r="K43" i="3"/>
  <c r="J43" i="3"/>
  <c r="I43" i="3"/>
  <c r="K39" i="3"/>
  <c r="J39" i="3"/>
  <c r="I39" i="3"/>
  <c r="K23" i="3"/>
  <c r="J23" i="3"/>
  <c r="I23" i="3"/>
  <c r="J21" i="3"/>
  <c r="I21" i="3"/>
  <c r="K19" i="3"/>
  <c r="J19" i="3"/>
  <c r="I19" i="3"/>
  <c r="J18" i="3"/>
  <c r="K13" i="3"/>
  <c r="J13" i="3"/>
  <c r="I13" i="3"/>
  <c r="K11" i="3"/>
  <c r="J11" i="3"/>
  <c r="I11" i="3"/>
  <c r="K7" i="3"/>
  <c r="J7" i="3"/>
  <c r="I7" i="3"/>
  <c r="I6" i="3"/>
  <c r="K5" i="3"/>
  <c r="E26" i="3"/>
  <c r="D26" i="3"/>
  <c r="F120" i="6"/>
  <c r="C8" i="28"/>
  <c r="G38" i="6"/>
  <c r="C38" i="6"/>
  <c r="C90" i="6"/>
  <c r="D85" i="6"/>
  <c r="G8" i="12"/>
  <c r="G10" i="3"/>
  <c r="G15" i="3" s="1"/>
  <c r="G16" i="3" s="1"/>
  <c r="C8" i="22"/>
  <c r="G105" i="6"/>
  <c r="C105" i="6"/>
  <c r="G110" i="6"/>
  <c r="C110" i="6"/>
  <c r="G115" i="6"/>
  <c r="C115" i="6"/>
  <c r="F125" i="6"/>
  <c r="E135" i="6"/>
  <c r="E140" i="6"/>
  <c r="D149" i="6"/>
  <c r="F8" i="12"/>
  <c r="E10" i="3"/>
  <c r="E15" i="3" s="1"/>
  <c r="E16" i="3" s="1"/>
  <c r="E8" i="25"/>
  <c r="E8" i="26"/>
  <c r="E8" i="27"/>
  <c r="D8" i="29"/>
  <c r="G8" i="31"/>
  <c r="C8" i="31"/>
  <c r="G8" i="32"/>
  <c r="C8" i="32"/>
  <c r="F8" i="33"/>
  <c r="D10" i="3"/>
  <c r="F38" i="6"/>
  <c r="F105" i="6"/>
  <c r="F110" i="6"/>
  <c r="F115" i="6"/>
  <c r="E125" i="6"/>
  <c r="D135" i="6"/>
  <c r="D140" i="6"/>
  <c r="G149" i="6"/>
  <c r="C149" i="6"/>
  <c r="F8" i="25"/>
  <c r="F8" i="26"/>
  <c r="F8" i="27"/>
  <c r="E8" i="29"/>
  <c r="D8" i="31"/>
  <c r="D8" i="32"/>
  <c r="G8" i="33"/>
  <c r="C8" i="33"/>
  <c r="E7" i="13"/>
  <c r="E8" i="13" s="1"/>
  <c r="E8" i="12"/>
  <c r="E42" i="6"/>
  <c r="E43" i="6" s="1"/>
  <c r="D152" i="6"/>
  <c r="D153" i="6" s="1"/>
  <c r="E38" i="6"/>
  <c r="E105" i="6"/>
  <c r="E110" i="6"/>
  <c r="E115" i="6"/>
  <c r="D125" i="6"/>
  <c r="G135" i="6"/>
  <c r="C135" i="6"/>
  <c r="G140" i="6"/>
  <c r="C140" i="6"/>
  <c r="F149" i="6"/>
  <c r="E7" i="21"/>
  <c r="E8" i="21" s="1"/>
  <c r="E84" i="6"/>
  <c r="E85" i="6" s="1"/>
  <c r="G8" i="25"/>
  <c r="C8" i="25"/>
  <c r="G8" i="26"/>
  <c r="C8" i="26"/>
  <c r="G8" i="27"/>
  <c r="C8" i="27"/>
  <c r="F8" i="29"/>
  <c r="E8" i="31"/>
  <c r="E8" i="32"/>
  <c r="D8" i="33"/>
  <c r="G7" i="21"/>
  <c r="G8" i="21" s="1"/>
  <c r="G84" i="6"/>
  <c r="G85" i="6" s="1"/>
  <c r="D7" i="13"/>
  <c r="D8" i="13" s="1"/>
  <c r="D7" i="21"/>
  <c r="D8" i="21" s="1"/>
  <c r="C7" i="21"/>
  <c r="C8" i="21" s="1"/>
  <c r="C84" i="6"/>
  <c r="C85" i="6" s="1"/>
  <c r="F7" i="13"/>
  <c r="F8" i="13" s="1"/>
  <c r="F42" i="6"/>
  <c r="F43" i="6" s="1"/>
  <c r="D8" i="12"/>
  <c r="F5" i="44"/>
  <c r="C5" i="44"/>
  <c r="C7" i="13"/>
  <c r="C8" i="13" s="1"/>
  <c r="C42" i="6"/>
  <c r="C43" i="6" s="1"/>
  <c r="D15" i="3"/>
  <c r="D16" i="3" s="1"/>
  <c r="G5" i="44"/>
  <c r="G7" i="13"/>
  <c r="G8" i="13" s="1"/>
  <c r="G42" i="6"/>
  <c r="G43" i="6" s="1"/>
  <c r="F7" i="21"/>
  <c r="F8" i="21" s="1"/>
  <c r="F84" i="6"/>
  <c r="F85" i="6" s="1"/>
  <c r="F15" i="3"/>
  <c r="F16" i="3" s="1"/>
  <c r="D42" i="6"/>
  <c r="D43" i="6" s="1"/>
  <c r="C15" i="3"/>
  <c r="C16" i="3" s="1"/>
  <c r="D38" i="6"/>
  <c r="C8" i="12"/>
  <c r="D105" i="6"/>
  <c r="D110" i="6"/>
  <c r="D115" i="6"/>
  <c r="G125" i="6"/>
  <c r="C125" i="6"/>
  <c r="F135" i="6"/>
  <c r="F140" i="6"/>
  <c r="E149" i="6"/>
  <c r="D8" i="25"/>
  <c r="D8" i="26"/>
  <c r="D8" i="27"/>
  <c r="G8" i="29"/>
  <c r="C8" i="29"/>
  <c r="F8" i="31"/>
  <c r="F8" i="32"/>
  <c r="E8" i="33"/>
  <c r="C35" i="47"/>
  <c r="C30" i="47"/>
  <c r="G35" i="47"/>
  <c r="G30" i="47"/>
  <c r="D30" i="47"/>
  <c r="D35" i="47"/>
  <c r="F35" i="47"/>
  <c r="F30" i="47"/>
  <c r="E30" i="47"/>
  <c r="E35" i="47"/>
  <c r="E46" i="4"/>
  <c r="E6" i="17"/>
  <c r="E35" i="5"/>
  <c r="F35" i="5"/>
  <c r="G35" i="5"/>
  <c r="E47" i="5"/>
  <c r="G47" i="5"/>
  <c r="D46" i="4"/>
  <c r="D62" i="6"/>
  <c r="G142" i="6"/>
  <c r="G143" i="6" s="1"/>
  <c r="E7" i="30"/>
  <c r="E8" i="30" s="1"/>
  <c r="D47" i="5"/>
  <c r="F47" i="5"/>
  <c r="C142" i="6"/>
  <c r="C143" i="6" s="1"/>
  <c r="D129" i="6"/>
  <c r="D130" i="6" s="1"/>
  <c r="G7" i="28"/>
  <c r="G8" i="28" s="1"/>
  <c r="E14" i="33"/>
  <c r="E15" i="33" s="1"/>
  <c r="D68" i="6"/>
  <c r="E151" i="6"/>
  <c r="E152" i="6" s="1"/>
  <c r="C8" i="19"/>
  <c r="G44" i="4"/>
  <c r="F46" i="4"/>
  <c r="F74" i="6"/>
  <c r="C74" i="4"/>
  <c r="C71" i="4" s="1"/>
  <c r="C6" i="42"/>
  <c r="C37" i="4"/>
  <c r="C5" i="34"/>
  <c r="C8" i="15"/>
  <c r="C7" i="17"/>
  <c r="C58" i="6"/>
  <c r="C7" i="16"/>
  <c r="C6" i="9"/>
  <c r="C53" i="6"/>
  <c r="C63" i="6"/>
  <c r="C6" i="18"/>
  <c r="C6" i="43"/>
  <c r="C6" i="19"/>
  <c r="C9" i="19" s="1"/>
  <c r="C5" i="36"/>
  <c r="C67" i="6"/>
  <c r="C72" i="6"/>
  <c r="C6" i="40"/>
  <c r="C7" i="15"/>
  <c r="C6" i="17"/>
  <c r="C52" i="6"/>
  <c r="C62" i="6"/>
  <c r="F6" i="17"/>
  <c r="F6" i="40"/>
  <c r="F52" i="6"/>
  <c r="F62" i="6"/>
  <c r="F7" i="15"/>
  <c r="F14" i="33"/>
  <c r="F15" i="33" s="1"/>
  <c r="F7" i="30"/>
  <c r="F8" i="30" s="1"/>
  <c r="F7" i="18"/>
  <c r="F151" i="6"/>
  <c r="F152" i="6" s="1"/>
  <c r="F10" i="32"/>
  <c r="F11" i="32" s="1"/>
  <c r="F6" i="41"/>
  <c r="F10" i="33"/>
  <c r="F11" i="33" s="1"/>
  <c r="F7" i="28"/>
  <c r="F8" i="28" s="1"/>
  <c r="F8" i="19"/>
  <c r="F6" i="36"/>
  <c r="F129" i="6"/>
  <c r="F130" i="6" s="1"/>
  <c r="F68" i="6"/>
  <c r="F142" i="6"/>
  <c r="F143" i="6" s="1"/>
  <c r="D35" i="5"/>
  <c r="C16" i="6"/>
  <c r="F155" i="6"/>
  <c r="F156" i="6" s="1"/>
  <c r="E10" i="32"/>
  <c r="E11" i="32" s="1"/>
  <c r="E6" i="41"/>
  <c r="E10" i="33"/>
  <c r="E11" i="33" s="1"/>
  <c r="E7" i="28"/>
  <c r="E8" i="28" s="1"/>
  <c r="E8" i="19"/>
  <c r="E155" i="6"/>
  <c r="E156" i="6" s="1"/>
  <c r="E6" i="36"/>
  <c r="G62" i="6"/>
  <c r="G68" i="6"/>
  <c r="C68" i="6"/>
  <c r="E74" i="6"/>
  <c r="E119" i="6"/>
  <c r="E120" i="6" s="1"/>
  <c r="G129" i="6"/>
  <c r="G130" i="6" s="1"/>
  <c r="C129" i="6"/>
  <c r="C130" i="6" s="1"/>
  <c r="C155" i="6"/>
  <c r="C156" i="6" s="1"/>
  <c r="G10" i="33"/>
  <c r="G11" i="33" s="1"/>
  <c r="C6" i="36"/>
  <c r="C14" i="33"/>
  <c r="C15" i="33" s="1"/>
  <c r="C7" i="30"/>
  <c r="C8" i="30" s="1"/>
  <c r="C7" i="18"/>
  <c r="C151" i="6"/>
  <c r="C152" i="6" s="1"/>
  <c r="C10" i="32"/>
  <c r="C11" i="32" s="1"/>
  <c r="E6" i="40"/>
  <c r="E7" i="15"/>
  <c r="D6" i="40"/>
  <c r="D7" i="15"/>
  <c r="D6" i="17"/>
  <c r="D6" i="41"/>
  <c r="D10" i="33"/>
  <c r="D11" i="33" s="1"/>
  <c r="D7" i="28"/>
  <c r="D8" i="28" s="1"/>
  <c r="D8" i="19"/>
  <c r="D155" i="6"/>
  <c r="D156" i="6" s="1"/>
  <c r="D6" i="36"/>
  <c r="D14" i="33"/>
  <c r="D15" i="33" s="1"/>
  <c r="D7" i="30"/>
  <c r="D8" i="30" s="1"/>
  <c r="D7" i="18"/>
  <c r="D74" i="6"/>
  <c r="D119" i="6"/>
  <c r="D120" i="6" s="1"/>
  <c r="E142" i="6"/>
  <c r="E143" i="6" s="1"/>
  <c r="C10" i="33"/>
  <c r="C11" i="33" s="1"/>
  <c r="C6" i="41"/>
  <c r="G6" i="40"/>
  <c r="G7" i="15"/>
  <c r="G6" i="17"/>
  <c r="G6" i="36"/>
  <c r="G14" i="33"/>
  <c r="G15" i="33" s="1"/>
  <c r="G7" i="30"/>
  <c r="G8" i="30" s="1"/>
  <c r="G7" i="18"/>
  <c r="G151" i="6"/>
  <c r="G152" i="6" s="1"/>
  <c r="G10" i="32"/>
  <c r="G11" i="32" s="1"/>
  <c r="E62" i="6"/>
  <c r="E68" i="6"/>
  <c r="G74" i="6"/>
  <c r="C74" i="6"/>
  <c r="G119" i="6"/>
  <c r="G120" i="6" s="1"/>
  <c r="C119" i="6"/>
  <c r="C120" i="6" s="1"/>
  <c r="E129" i="6"/>
  <c r="E130" i="6" s="1"/>
  <c r="D142" i="6"/>
  <c r="D143" i="6" s="1"/>
  <c r="G155" i="6"/>
  <c r="G156" i="6" s="1"/>
  <c r="G8" i="19"/>
  <c r="D10" i="32"/>
  <c r="D11" i="32" s="1"/>
  <c r="E25" i="46"/>
  <c r="I38" i="3" l="1"/>
  <c r="I45" i="3"/>
  <c r="I42" i="3"/>
  <c r="J42" i="3"/>
  <c r="J45" i="3"/>
  <c r="K38" i="3"/>
  <c r="K41" i="3"/>
  <c r="L38" i="3"/>
  <c r="L41" i="3"/>
  <c r="L47" i="4"/>
  <c r="H41" i="3"/>
  <c r="H38" i="3"/>
  <c r="I47" i="4"/>
  <c r="I54" i="4"/>
  <c r="I55" i="4" s="1"/>
  <c r="J54" i="4"/>
  <c r="J55" i="4" s="1"/>
  <c r="J47" i="4"/>
  <c r="K47" i="4"/>
  <c r="K54" i="4"/>
  <c r="K55" i="4" s="1"/>
  <c r="I33" i="4"/>
  <c r="J62" i="4"/>
  <c r="K63" i="4"/>
  <c r="J21" i="4"/>
  <c r="J37" i="4" s="1"/>
  <c r="J38" i="4" s="1"/>
  <c r="K22" i="4"/>
  <c r="J17" i="4"/>
  <c r="K18" i="4"/>
  <c r="J15" i="4"/>
  <c r="K16" i="4"/>
  <c r="K18" i="3"/>
  <c r="J17" i="3"/>
  <c r="L5" i="3"/>
  <c r="L6" i="3" s="1"/>
  <c r="K6" i="3"/>
  <c r="E144" i="6"/>
  <c r="E12" i="33"/>
  <c r="D144" i="6"/>
  <c r="E153" i="6"/>
  <c r="E157" i="6" s="1"/>
  <c r="C12" i="33"/>
  <c r="G6" i="39"/>
  <c r="G27" i="3"/>
  <c r="G6" i="44"/>
  <c r="G144" i="6"/>
  <c r="G12" i="32"/>
  <c r="C153" i="6"/>
  <c r="C157" i="6" s="1"/>
  <c r="D12" i="32"/>
  <c r="D12" i="33"/>
  <c r="D16" i="33" s="1"/>
  <c r="F153" i="6"/>
  <c r="F12" i="33"/>
  <c r="F16" i="33" s="1"/>
  <c r="E6" i="39"/>
  <c r="E27" i="3"/>
  <c r="E6" i="44"/>
  <c r="C144" i="6"/>
  <c r="C12" i="32"/>
  <c r="E12" i="32"/>
  <c r="F12" i="32"/>
  <c r="F144" i="6"/>
  <c r="G12" i="33"/>
  <c r="G16" i="33" s="1"/>
  <c r="G153" i="6"/>
  <c r="G157" i="6" s="1"/>
  <c r="C6" i="44"/>
  <c r="C6" i="39"/>
  <c r="C27" i="3"/>
  <c r="F6" i="44"/>
  <c r="F6" i="39"/>
  <c r="F27" i="3"/>
  <c r="D6" i="44"/>
  <c r="D6" i="39"/>
  <c r="D27" i="3"/>
  <c r="C73" i="4"/>
  <c r="C67" i="4"/>
  <c r="C69" i="4"/>
  <c r="C63" i="4"/>
  <c r="C65" i="4"/>
  <c r="C59" i="4"/>
  <c r="C61" i="4"/>
  <c r="C55" i="4"/>
  <c r="C57" i="4"/>
  <c r="C51" i="4"/>
  <c r="C53" i="4"/>
  <c r="C45" i="4"/>
  <c r="C49" i="4"/>
  <c r="D54" i="4"/>
  <c r="E54" i="4"/>
  <c r="F54" i="4"/>
  <c r="C47" i="4"/>
  <c r="G46" i="4"/>
  <c r="C41" i="4"/>
  <c r="C43" i="4"/>
  <c r="C38" i="4"/>
  <c r="C34" i="4"/>
  <c r="C36" i="4"/>
  <c r="C30" i="4"/>
  <c r="C32" i="4"/>
  <c r="C26" i="4"/>
  <c r="C28" i="4"/>
  <c r="C22" i="4"/>
  <c r="C24" i="4"/>
  <c r="C18" i="4"/>
  <c r="C20" i="4"/>
  <c r="C8" i="17"/>
  <c r="C14" i="4"/>
  <c r="C16" i="4"/>
  <c r="C10" i="4"/>
  <c r="C12" i="4"/>
  <c r="D157" i="6"/>
  <c r="E16" i="33"/>
  <c r="C6" i="4"/>
  <c r="C8" i="4"/>
  <c r="C64" i="6"/>
  <c r="C69" i="6"/>
  <c r="C8" i="18"/>
  <c r="C16" i="33"/>
  <c r="C5" i="43"/>
  <c r="C5" i="42"/>
  <c r="C7" i="24"/>
  <c r="C8" i="24" s="1"/>
  <c r="C99" i="6"/>
  <c r="C100" i="6" s="1"/>
  <c r="C47" i="6"/>
  <c r="C7" i="14"/>
  <c r="F157" i="6"/>
  <c r="C75" i="6"/>
  <c r="C5" i="41"/>
  <c r="C6" i="34"/>
  <c r="C5" i="40"/>
  <c r="E26" i="46"/>
  <c r="E30" i="46" s="1"/>
  <c r="F25" i="46"/>
  <c r="L42" i="3" l="1"/>
  <c r="L45" i="3"/>
  <c r="J49" i="3"/>
  <c r="J46" i="3"/>
  <c r="J5" i="5"/>
  <c r="J27" i="5" s="1"/>
  <c r="J48" i="5" s="1"/>
  <c r="K42" i="3"/>
  <c r="K45" i="3"/>
  <c r="I49" i="3"/>
  <c r="I46" i="3"/>
  <c r="I5" i="5"/>
  <c r="I27" i="5" s="1"/>
  <c r="I48" i="5" s="1"/>
  <c r="H42" i="3"/>
  <c r="H45" i="3"/>
  <c r="I34" i="4"/>
  <c r="I37" i="4"/>
  <c r="I38" i="4" s="1"/>
  <c r="L63" i="4"/>
  <c r="L62" i="4" s="1"/>
  <c r="K62" i="4"/>
  <c r="L22" i="4"/>
  <c r="L21" i="4" s="1"/>
  <c r="L37" i="4" s="1"/>
  <c r="L38" i="4" s="1"/>
  <c r="K21" i="4"/>
  <c r="K37" i="4" s="1"/>
  <c r="K38" i="4" s="1"/>
  <c r="L18" i="4"/>
  <c r="L17" i="4" s="1"/>
  <c r="K17" i="4"/>
  <c r="L16" i="4"/>
  <c r="L15" i="4" s="1"/>
  <c r="K15" i="4"/>
  <c r="L18" i="3"/>
  <c r="L17" i="3" s="1"/>
  <c r="K17" i="3"/>
  <c r="G29" i="3"/>
  <c r="G30" i="3" s="1"/>
  <c r="G28" i="3"/>
  <c r="F29" i="3"/>
  <c r="F30" i="3" s="1"/>
  <c r="F28" i="3"/>
  <c r="D29" i="3"/>
  <c r="D30" i="3" s="1"/>
  <c r="D28" i="3"/>
  <c r="C29" i="3"/>
  <c r="C28" i="3"/>
  <c r="E29" i="3"/>
  <c r="E33" i="3" s="1"/>
  <c r="E28" i="3"/>
  <c r="D5" i="35"/>
  <c r="D33" i="3"/>
  <c r="D34" i="3" s="1"/>
  <c r="F6" i="42"/>
  <c r="E6" i="42"/>
  <c r="D6" i="42"/>
  <c r="G54" i="4"/>
  <c r="F26" i="46"/>
  <c r="F30" i="46" s="1"/>
  <c r="G25" i="46"/>
  <c r="G26" i="46" s="1"/>
  <c r="G30" i="46" s="1"/>
  <c r="I50" i="3" l="1"/>
  <c r="I55" i="3"/>
  <c r="I56" i="3" s="1"/>
  <c r="K46" i="3"/>
  <c r="K5" i="5"/>
  <c r="K27" i="5" s="1"/>
  <c r="K48" i="5" s="1"/>
  <c r="K49" i="3"/>
  <c r="J55" i="3"/>
  <c r="J56" i="3" s="1"/>
  <c r="J50" i="3"/>
  <c r="L5" i="5"/>
  <c r="L27" i="5" s="1"/>
  <c r="L48" i="5" s="1"/>
  <c r="L46" i="3"/>
  <c r="L49" i="3"/>
  <c r="H5" i="5"/>
  <c r="H27" i="5" s="1"/>
  <c r="H48" i="5" s="1"/>
  <c r="H70" i="4" s="1"/>
  <c r="H46" i="3"/>
  <c r="H49" i="3"/>
  <c r="F33" i="3"/>
  <c r="F34" i="3" s="1"/>
  <c r="E37" i="3"/>
  <c r="E34" i="3"/>
  <c r="F5" i="35"/>
  <c r="C5" i="35"/>
  <c r="C30" i="3"/>
  <c r="C33" i="3"/>
  <c r="E5" i="35"/>
  <c r="E30" i="3"/>
  <c r="G33" i="3"/>
  <c r="G34" i="3" s="1"/>
  <c r="G5" i="35"/>
  <c r="E6" i="35"/>
  <c r="E51" i="6"/>
  <c r="E54" i="6" s="1"/>
  <c r="E6" i="15"/>
  <c r="E9" i="15" s="1"/>
  <c r="E78" i="6"/>
  <c r="E80" i="6" s="1"/>
  <c r="E6" i="20"/>
  <c r="E8" i="20" s="1"/>
  <c r="F6" i="20"/>
  <c r="F8" i="20" s="1"/>
  <c r="F78" i="6"/>
  <c r="F80" i="6" s="1"/>
  <c r="F37" i="3"/>
  <c r="F51" i="6"/>
  <c r="F54" i="6" s="1"/>
  <c r="F6" i="15"/>
  <c r="F9" i="15" s="1"/>
  <c r="F6" i="35"/>
  <c r="D6" i="35"/>
  <c r="D6" i="15"/>
  <c r="D9" i="15" s="1"/>
  <c r="D51" i="6"/>
  <c r="D54" i="6" s="1"/>
  <c r="D6" i="20"/>
  <c r="D8" i="20" s="1"/>
  <c r="D78" i="6"/>
  <c r="D80" i="6" s="1"/>
  <c r="D37" i="3"/>
  <c r="C6" i="35"/>
  <c r="C78" i="6"/>
  <c r="C80" i="6" s="1"/>
  <c r="C37" i="3"/>
  <c r="G6" i="42"/>
  <c r="L55" i="3" l="1"/>
  <c r="L56" i="3" s="1"/>
  <c r="L50" i="3"/>
  <c r="K50" i="3"/>
  <c r="K55" i="3"/>
  <c r="K56" i="3" s="1"/>
  <c r="H55" i="3"/>
  <c r="H56" i="3" s="1"/>
  <c r="H50" i="3"/>
  <c r="I70" i="4"/>
  <c r="H71" i="4"/>
  <c r="H72" i="4"/>
  <c r="H73" i="4" s="1"/>
  <c r="F41" i="3"/>
  <c r="F38" i="3"/>
  <c r="E41" i="3"/>
  <c r="E38" i="3"/>
  <c r="D41" i="3"/>
  <c r="D38" i="3"/>
  <c r="C41" i="3"/>
  <c r="C38" i="3"/>
  <c r="C6" i="15"/>
  <c r="C9" i="15" s="1"/>
  <c r="C34" i="3"/>
  <c r="C6" i="20"/>
  <c r="C8" i="20" s="1"/>
  <c r="C51" i="6"/>
  <c r="C54" i="6" s="1"/>
  <c r="G6" i="15"/>
  <c r="G9" i="15" s="1"/>
  <c r="G37" i="3"/>
  <c r="G6" i="35"/>
  <c r="G51" i="6"/>
  <c r="G54" i="6" s="1"/>
  <c r="G6" i="20"/>
  <c r="G8" i="20" s="1"/>
  <c r="G78" i="6"/>
  <c r="G80" i="6" s="1"/>
  <c r="J70" i="4" l="1"/>
  <c r="I71" i="4"/>
  <c r="I72" i="4"/>
  <c r="I73" i="4" s="1"/>
  <c r="C45" i="3"/>
  <c r="C42" i="3"/>
  <c r="E45" i="3"/>
  <c r="E42" i="3"/>
  <c r="D45" i="3"/>
  <c r="D46" i="3" s="1"/>
  <c r="D42" i="3"/>
  <c r="F45" i="3"/>
  <c r="F46" i="3" s="1"/>
  <c r="F42" i="3"/>
  <c r="G41" i="3"/>
  <c r="G38" i="3"/>
  <c r="K70" i="4" l="1"/>
  <c r="J71" i="4"/>
  <c r="J72" i="4"/>
  <c r="J73" i="4" s="1"/>
  <c r="E5" i="5"/>
  <c r="E27" i="5" s="1"/>
  <c r="E48" i="5" s="1"/>
  <c r="E46" i="3"/>
  <c r="E49" i="3"/>
  <c r="E50" i="3" s="1"/>
  <c r="C49" i="3"/>
  <c r="C24" i="6" s="1"/>
  <c r="C46" i="3"/>
  <c r="G45" i="3"/>
  <c r="G42" i="3"/>
  <c r="F49" i="3"/>
  <c r="F50" i="3" s="1"/>
  <c r="F5" i="5"/>
  <c r="F27" i="5" s="1"/>
  <c r="F48" i="5" s="1"/>
  <c r="D5" i="5"/>
  <c r="D27" i="5" s="1"/>
  <c r="D48" i="5" s="1"/>
  <c r="D49" i="3"/>
  <c r="D50" i="3" s="1"/>
  <c r="C6" i="14"/>
  <c r="C8" i="14" s="1"/>
  <c r="G5" i="5"/>
  <c r="G27" i="5" s="1"/>
  <c r="G48" i="5" s="1"/>
  <c r="E9" i="10"/>
  <c r="E6" i="14"/>
  <c r="E6" i="6"/>
  <c r="E55" i="3"/>
  <c r="E5" i="45" s="1"/>
  <c r="E24" i="6"/>
  <c r="E46" i="6"/>
  <c r="E6" i="7"/>
  <c r="E57" i="6"/>
  <c r="E61" i="3"/>
  <c r="E6" i="45"/>
  <c r="E6" i="16"/>
  <c r="L70" i="4" l="1"/>
  <c r="K71" i="4"/>
  <c r="K72" i="4"/>
  <c r="K73" i="4" s="1"/>
  <c r="C6" i="45"/>
  <c r="C50" i="3"/>
  <c r="C6" i="7"/>
  <c r="C9" i="10"/>
  <c r="C46" i="6"/>
  <c r="C48" i="6" s="1"/>
  <c r="C6" i="6"/>
  <c r="C6" i="16"/>
  <c r="C8" i="16" s="1"/>
  <c r="C57" i="6"/>
  <c r="C59" i="6" s="1"/>
  <c r="G49" i="3"/>
  <c r="G50" i="3" s="1"/>
  <c r="G46" i="3"/>
  <c r="C55" i="3"/>
  <c r="C5" i="45" s="1"/>
  <c r="C61" i="3"/>
  <c r="C10" i="10" s="1"/>
  <c r="C11" i="10" s="1"/>
  <c r="F6" i="16"/>
  <c r="F6" i="6"/>
  <c r="F46" i="6"/>
  <c r="F9" i="10"/>
  <c r="F61" i="3"/>
  <c r="F6" i="14"/>
  <c r="F55" i="3"/>
  <c r="F5" i="45" s="1"/>
  <c r="F57" i="6"/>
  <c r="F6" i="45"/>
  <c r="F6" i="7"/>
  <c r="F24" i="6"/>
  <c r="C31" i="6"/>
  <c r="C32" i="6" s="1"/>
  <c r="C33" i="6" s="1"/>
  <c r="D6" i="45"/>
  <c r="D6" i="16"/>
  <c r="D24" i="6"/>
  <c r="D9" i="10"/>
  <c r="D6" i="14"/>
  <c r="D6" i="6"/>
  <c r="D55" i="3"/>
  <c r="D6" i="7"/>
  <c r="D46" i="6"/>
  <c r="D61" i="3"/>
  <c r="D57" i="6"/>
  <c r="D38" i="46"/>
  <c r="D70" i="4"/>
  <c r="E25" i="6"/>
  <c r="E26" i="6" s="1"/>
  <c r="E22" i="6"/>
  <c r="E23" i="6" s="1"/>
  <c r="E7" i="11"/>
  <c r="E8" i="11" s="1"/>
  <c r="E9" i="11" s="1"/>
  <c r="E12" i="6"/>
  <c r="E13" i="6" s="1"/>
  <c r="E7" i="9"/>
  <c r="E7" i="8"/>
  <c r="E8" i="8" s="1"/>
  <c r="E7" i="7"/>
  <c r="E8" i="7" s="1"/>
  <c r="E17" i="6"/>
  <c r="E7" i="6"/>
  <c r="E8" i="6" s="1"/>
  <c r="E10" i="10"/>
  <c r="E11" i="10" s="1"/>
  <c r="E7" i="10"/>
  <c r="E8" i="10" s="1"/>
  <c r="E31" i="6"/>
  <c r="E32" i="6" s="1"/>
  <c r="E33" i="6" s="1"/>
  <c r="L71" i="4" l="1"/>
  <c r="L72" i="4"/>
  <c r="L73" i="4" s="1"/>
  <c r="C7" i="6"/>
  <c r="C25" i="6"/>
  <c r="C26" i="6" s="1"/>
  <c r="C7" i="7"/>
  <c r="C8" i="7" s="1"/>
  <c r="C17" i="6"/>
  <c r="C18" i="6" s="1"/>
  <c r="C12" i="6"/>
  <c r="C13" i="6" s="1"/>
  <c r="C22" i="6"/>
  <c r="C23" i="6" s="1"/>
  <c r="C27" i="6" s="1"/>
  <c r="C7" i="9"/>
  <c r="C8" i="9" s="1"/>
  <c r="C7" i="8"/>
  <c r="C8" i="8" s="1"/>
  <c r="C7" i="11"/>
  <c r="C8" i="11" s="1"/>
  <c r="C9" i="11" s="1"/>
  <c r="C7" i="10"/>
  <c r="C8" i="10" s="1"/>
  <c r="C12" i="10" s="1"/>
  <c r="G6" i="45"/>
  <c r="G57" i="6"/>
  <c r="G55" i="3"/>
  <c r="G5" i="45" s="1"/>
  <c r="G6" i="7"/>
  <c r="G24" i="6"/>
  <c r="G9" i="10"/>
  <c r="G61" i="3"/>
  <c r="G6" i="16"/>
  <c r="G46" i="6"/>
  <c r="G6" i="14"/>
  <c r="G6" i="6"/>
  <c r="C8" i="6"/>
  <c r="E38" i="46"/>
  <c r="D39" i="46"/>
  <c r="D40" i="46" s="1"/>
  <c r="E27" i="6"/>
  <c r="D11" i="4"/>
  <c r="D8" i="46"/>
  <c r="D5" i="45"/>
  <c r="D93" i="6"/>
  <c r="D95" i="6" s="1"/>
  <c r="D88" i="6"/>
  <c r="D90" i="6" s="1"/>
  <c r="D6" i="22"/>
  <c r="D8" i="22" s="1"/>
  <c r="D72" i="4"/>
  <c r="E70" i="4"/>
  <c r="D6" i="23"/>
  <c r="D8" i="23" s="1"/>
  <c r="D7" i="8"/>
  <c r="D8" i="8" s="1"/>
  <c r="D31" i="6"/>
  <c r="D32" i="6" s="1"/>
  <c r="D33" i="6" s="1"/>
  <c r="D25" i="6"/>
  <c r="D26" i="6" s="1"/>
  <c r="D7" i="9"/>
  <c r="D7" i="10"/>
  <c r="D8" i="10" s="1"/>
  <c r="D7" i="6"/>
  <c r="D8" i="6" s="1"/>
  <c r="D22" i="6"/>
  <c r="D23" i="6" s="1"/>
  <c r="D27" i="6" s="1"/>
  <c r="D17" i="6"/>
  <c r="D12" i="6"/>
  <c r="D13" i="6" s="1"/>
  <c r="D7" i="11"/>
  <c r="D8" i="11" s="1"/>
  <c r="D9" i="11" s="1"/>
  <c r="D10" i="10"/>
  <c r="D11" i="10" s="1"/>
  <c r="D7" i="7"/>
  <c r="D8" i="7" s="1"/>
  <c r="F12" i="6"/>
  <c r="F13" i="6" s="1"/>
  <c r="F17" i="6"/>
  <c r="F7" i="8"/>
  <c r="F8" i="8" s="1"/>
  <c r="F10" i="10"/>
  <c r="F11" i="10" s="1"/>
  <c r="F7" i="6"/>
  <c r="F8" i="6" s="1"/>
  <c r="F7" i="9"/>
  <c r="F31" i="6"/>
  <c r="F32" i="6" s="1"/>
  <c r="F33" i="6" s="1"/>
  <c r="F22" i="6"/>
  <c r="F23" i="6" s="1"/>
  <c r="F7" i="10"/>
  <c r="F8" i="10" s="1"/>
  <c r="F7" i="7"/>
  <c r="F8" i="7" s="1"/>
  <c r="F25" i="6"/>
  <c r="F26" i="6" s="1"/>
  <c r="F7" i="11"/>
  <c r="F8" i="11" s="1"/>
  <c r="F9" i="11" s="1"/>
  <c r="E12" i="10"/>
  <c r="G7" i="6" l="1"/>
  <c r="G8" i="6" s="1"/>
  <c r="G7" i="9"/>
  <c r="G7" i="8"/>
  <c r="G8" i="8" s="1"/>
  <c r="G7" i="10"/>
  <c r="G8" i="10" s="1"/>
  <c r="G12" i="10" s="1"/>
  <c r="G10" i="10"/>
  <c r="G11" i="10" s="1"/>
  <c r="G7" i="7"/>
  <c r="G8" i="7" s="1"/>
  <c r="G31" i="6"/>
  <c r="G32" i="6" s="1"/>
  <c r="G33" i="6" s="1"/>
  <c r="G25" i="6"/>
  <c r="G26" i="6" s="1"/>
  <c r="G12" i="6"/>
  <c r="G13" i="6" s="1"/>
  <c r="G7" i="11"/>
  <c r="G8" i="11" s="1"/>
  <c r="G9" i="11" s="1"/>
  <c r="G17" i="6"/>
  <c r="G22" i="6"/>
  <c r="G23" i="6" s="1"/>
  <c r="G27" i="6" s="1"/>
  <c r="D67" i="6"/>
  <c r="D69" i="6" s="1"/>
  <c r="D72" i="6"/>
  <c r="D75" i="6" s="1"/>
  <c r="D74" i="4"/>
  <c r="D6" i="43"/>
  <c r="D6" i="19"/>
  <c r="D9" i="19" s="1"/>
  <c r="D5" i="36"/>
  <c r="D6" i="18"/>
  <c r="D8" i="18" s="1"/>
  <c r="F12" i="10"/>
  <c r="D12" i="10"/>
  <c r="F27" i="6"/>
  <c r="E8" i="46"/>
  <c r="D9" i="46"/>
  <c r="D21" i="46" s="1"/>
  <c r="F38" i="46"/>
  <c r="E39" i="46"/>
  <c r="E40" i="46" s="1"/>
  <c r="E93" i="6"/>
  <c r="E95" i="6" s="1"/>
  <c r="E6" i="22"/>
  <c r="E8" i="22" s="1"/>
  <c r="E88" i="6"/>
  <c r="E90" i="6" s="1"/>
  <c r="E72" i="4"/>
  <c r="F70" i="4"/>
  <c r="E6" i="23"/>
  <c r="E8" i="23" s="1"/>
  <c r="E11" i="4"/>
  <c r="D13" i="4"/>
  <c r="F6" i="23" l="1"/>
  <c r="F8" i="23" s="1"/>
  <c r="G70" i="4"/>
  <c r="F93" i="6"/>
  <c r="F95" i="6" s="1"/>
  <c r="F6" i="22"/>
  <c r="F8" i="22" s="1"/>
  <c r="F88" i="6"/>
  <c r="F90" i="6" s="1"/>
  <c r="F72" i="4"/>
  <c r="E9" i="46"/>
  <c r="E21" i="46" s="1"/>
  <c r="F8" i="46"/>
  <c r="D73" i="4"/>
  <c r="D71" i="4"/>
  <c r="D53" i="4"/>
  <c r="D20" i="4"/>
  <c r="D10" i="4"/>
  <c r="D47" i="4"/>
  <c r="D5" i="42"/>
  <c r="D43" i="4"/>
  <c r="D49" i="4"/>
  <c r="D7" i="24"/>
  <c r="D8" i="24" s="1"/>
  <c r="D18" i="4"/>
  <c r="D12" i="4"/>
  <c r="D75" i="4"/>
  <c r="D45" i="4"/>
  <c r="D5" i="43"/>
  <c r="D47" i="6"/>
  <c r="D48" i="6" s="1"/>
  <c r="D30" i="4"/>
  <c r="D32" i="4"/>
  <c r="D7" i="14"/>
  <c r="D8" i="14" s="1"/>
  <c r="D41" i="4"/>
  <c r="D59" i="4"/>
  <c r="D63" i="4"/>
  <c r="D8" i="4"/>
  <c r="D34" i="4"/>
  <c r="D69" i="4"/>
  <c r="D36" i="4"/>
  <c r="D67" i="4"/>
  <c r="D22" i="4"/>
  <c r="D65" i="4"/>
  <c r="D61" i="4"/>
  <c r="D28" i="4"/>
  <c r="D51" i="4"/>
  <c r="D55" i="4"/>
  <c r="D6" i="4"/>
  <c r="D99" i="6"/>
  <c r="D100" i="6" s="1"/>
  <c r="D57" i="4"/>
  <c r="D16" i="4"/>
  <c r="D26" i="4"/>
  <c r="D24" i="4"/>
  <c r="D53" i="6"/>
  <c r="D8" i="15"/>
  <c r="D16" i="6"/>
  <c r="D18" i="6" s="1"/>
  <c r="D37" i="4"/>
  <c r="D7" i="16"/>
  <c r="D8" i="16" s="1"/>
  <c r="D58" i="6"/>
  <c r="D59" i="6" s="1"/>
  <c r="D7" i="17"/>
  <c r="D8" i="17" s="1"/>
  <c r="D63" i="6"/>
  <c r="D64" i="6" s="1"/>
  <c r="D14" i="4"/>
  <c r="D6" i="9"/>
  <c r="D8" i="9" s="1"/>
  <c r="D5" i="34"/>
  <c r="E67" i="6"/>
  <c r="E69" i="6" s="1"/>
  <c r="E5" i="36"/>
  <c r="E6" i="43"/>
  <c r="E6" i="19"/>
  <c r="E9" i="19" s="1"/>
  <c r="E72" i="6"/>
  <c r="E75" i="6" s="1"/>
  <c r="E6" i="18"/>
  <c r="E8" i="18" s="1"/>
  <c r="E74" i="4"/>
  <c r="E13" i="4"/>
  <c r="F11" i="4"/>
  <c r="F39" i="46"/>
  <c r="F40" i="46" s="1"/>
  <c r="G38" i="46"/>
  <c r="G39" i="46" s="1"/>
  <c r="G40" i="46" s="1"/>
  <c r="F13" i="4" l="1"/>
  <c r="G11" i="4"/>
  <c r="D38" i="4"/>
  <c r="D5" i="41"/>
  <c r="D6" i="34"/>
  <c r="D5" i="40"/>
  <c r="E8" i="15"/>
  <c r="E5" i="34"/>
  <c r="E14" i="4"/>
  <c r="E53" i="6"/>
  <c r="E7" i="17"/>
  <c r="E8" i="17" s="1"/>
  <c r="E7" i="16"/>
  <c r="E8" i="16" s="1"/>
  <c r="E6" i="9"/>
  <c r="E8" i="9" s="1"/>
  <c r="E58" i="6"/>
  <c r="E59" i="6" s="1"/>
  <c r="E16" i="6"/>
  <c r="E18" i="6" s="1"/>
  <c r="E37" i="4"/>
  <c r="E63" i="6"/>
  <c r="E64" i="6" s="1"/>
  <c r="F6" i="43"/>
  <c r="F5" i="36"/>
  <c r="F72" i="6"/>
  <c r="F75" i="6" s="1"/>
  <c r="F67" i="6"/>
  <c r="F69" i="6" s="1"/>
  <c r="F6" i="19"/>
  <c r="F9" i="19" s="1"/>
  <c r="F74" i="4"/>
  <c r="F6" i="18"/>
  <c r="F8" i="18" s="1"/>
  <c r="G93" i="6"/>
  <c r="G95" i="6" s="1"/>
  <c r="G72" i="4"/>
  <c r="G6" i="23"/>
  <c r="G8" i="23" s="1"/>
  <c r="G88" i="6"/>
  <c r="G90" i="6" s="1"/>
  <c r="G6" i="22"/>
  <c r="G8" i="22" s="1"/>
  <c r="E73" i="4"/>
  <c r="E57" i="4"/>
  <c r="E24" i="4"/>
  <c r="E34" i="4"/>
  <c r="E20" i="4"/>
  <c r="E67" i="4"/>
  <c r="E7" i="14"/>
  <c r="E8" i="14" s="1"/>
  <c r="E71" i="4"/>
  <c r="E49" i="4"/>
  <c r="E16" i="4"/>
  <c r="E10" i="4"/>
  <c r="E5" i="42"/>
  <c r="E59" i="4"/>
  <c r="E18" i="4"/>
  <c r="E22" i="4"/>
  <c r="E47" i="4"/>
  <c r="E75" i="4"/>
  <c r="E41" i="4"/>
  <c r="E8" i="4"/>
  <c r="E7" i="24"/>
  <c r="E8" i="24" s="1"/>
  <c r="E6" i="4"/>
  <c r="E51" i="4"/>
  <c r="E47" i="6"/>
  <c r="E48" i="6" s="1"/>
  <c r="E69" i="4"/>
  <c r="E63" i="4"/>
  <c r="E53" i="4"/>
  <c r="E65" i="4"/>
  <c r="E32" i="4"/>
  <c r="E99" i="6"/>
  <c r="E100" i="6" s="1"/>
  <c r="E45" i="4"/>
  <c r="E5" i="43"/>
  <c r="E43" i="4"/>
  <c r="E36" i="4"/>
  <c r="E61" i="4"/>
  <c r="E55" i="4"/>
  <c r="E26" i="4"/>
  <c r="E30" i="4"/>
  <c r="E28" i="4"/>
  <c r="F9" i="46"/>
  <c r="F21" i="46" s="1"/>
  <c r="G8" i="46"/>
  <c r="G9" i="46" s="1"/>
  <c r="G21" i="46" s="1"/>
  <c r="E12" i="4"/>
  <c r="E5" i="40" l="1"/>
  <c r="E5" i="41"/>
  <c r="E38" i="4"/>
  <c r="E6" i="34"/>
  <c r="G6" i="43"/>
  <c r="G5" i="36"/>
  <c r="G72" i="6"/>
  <c r="G75" i="6" s="1"/>
  <c r="G67" i="6"/>
  <c r="G69" i="6" s="1"/>
  <c r="G74" i="4"/>
  <c r="G73" i="4" s="1"/>
  <c r="G6" i="18"/>
  <c r="G8" i="18" s="1"/>
  <c r="G6" i="19"/>
  <c r="G9" i="19" s="1"/>
  <c r="F67" i="4"/>
  <c r="F34" i="4"/>
  <c r="F61" i="4"/>
  <c r="F28" i="4"/>
  <c r="F47" i="4"/>
  <c r="F5" i="43"/>
  <c r="F57" i="4"/>
  <c r="F24" i="4"/>
  <c r="F99" i="6"/>
  <c r="F100" i="6" s="1"/>
  <c r="F59" i="4"/>
  <c r="F26" i="4"/>
  <c r="F53" i="4"/>
  <c r="F7" i="14"/>
  <c r="F8" i="14" s="1"/>
  <c r="F30" i="4"/>
  <c r="F10" i="4"/>
  <c r="F49" i="4"/>
  <c r="F16" i="4"/>
  <c r="F18" i="4"/>
  <c r="F71" i="4"/>
  <c r="F51" i="4"/>
  <c r="F47" i="6"/>
  <c r="F48" i="6" s="1"/>
  <c r="F45" i="4"/>
  <c r="F63" i="4"/>
  <c r="F22" i="4"/>
  <c r="F7" i="24"/>
  <c r="F8" i="24" s="1"/>
  <c r="F41" i="4"/>
  <c r="F8" i="4"/>
  <c r="F20" i="4"/>
  <c r="F75" i="4"/>
  <c r="F43" i="4"/>
  <c r="F69" i="4"/>
  <c r="F36" i="4"/>
  <c r="F55" i="4"/>
  <c r="F6" i="4"/>
  <c r="F65" i="4"/>
  <c r="F32" i="4"/>
  <c r="F5" i="42"/>
  <c r="F12" i="4"/>
  <c r="G12" i="4"/>
  <c r="G13" i="4"/>
  <c r="F73" i="4"/>
  <c r="F5" i="34"/>
  <c r="F7" i="16"/>
  <c r="F8" i="16" s="1"/>
  <c r="F58" i="6"/>
  <c r="F59" i="6" s="1"/>
  <c r="F16" i="6"/>
  <c r="F18" i="6" s="1"/>
  <c r="F63" i="6"/>
  <c r="F64" i="6" s="1"/>
  <c r="F8" i="15"/>
  <c r="F6" i="9"/>
  <c r="F8" i="9" s="1"/>
  <c r="F37" i="4"/>
  <c r="F14" i="4"/>
  <c r="F7" i="17"/>
  <c r="F8" i="17" s="1"/>
  <c r="F53" i="6"/>
  <c r="G63" i="6" l="1"/>
  <c r="G64" i="6" s="1"/>
  <c r="G7" i="16"/>
  <c r="G8" i="16" s="1"/>
  <c r="G53" i="6"/>
  <c r="G16" i="6"/>
  <c r="G18" i="6" s="1"/>
  <c r="G58" i="6"/>
  <c r="G59" i="6" s="1"/>
  <c r="G14" i="4"/>
  <c r="G8" i="15"/>
  <c r="G6" i="9"/>
  <c r="G8" i="9" s="1"/>
  <c r="G37" i="4"/>
  <c r="G7" i="17"/>
  <c r="G8" i="17" s="1"/>
  <c r="G5" i="34"/>
  <c r="F5" i="40"/>
  <c r="F6" i="34"/>
  <c r="F38" i="4"/>
  <c r="F5" i="41"/>
  <c r="G63" i="4"/>
  <c r="G22" i="4"/>
  <c r="G49" i="4"/>
  <c r="G16" i="4"/>
  <c r="G28" i="4"/>
  <c r="G51" i="4"/>
  <c r="G18" i="4"/>
  <c r="G69" i="4"/>
  <c r="G7" i="14"/>
  <c r="G8" i="14" s="1"/>
  <c r="G55" i="4"/>
  <c r="G6" i="4"/>
  <c r="G41" i="4"/>
  <c r="G8" i="4"/>
  <c r="G5" i="42"/>
  <c r="G43" i="4"/>
  <c r="G10" i="4"/>
  <c r="G71" i="4"/>
  <c r="G47" i="4"/>
  <c r="G65" i="4"/>
  <c r="G32" i="4"/>
  <c r="G47" i="6"/>
  <c r="G48" i="6" s="1"/>
  <c r="G67" i="4"/>
  <c r="G34" i="4"/>
  <c r="G5" i="43"/>
  <c r="G36" i="4"/>
  <c r="G99" i="6"/>
  <c r="G100" i="6" s="1"/>
  <c r="G61" i="4"/>
  <c r="G75" i="4"/>
  <c r="G30" i="4"/>
  <c r="G57" i="4"/>
  <c r="G24" i="4"/>
  <c r="G45" i="4"/>
  <c r="G59" i="4"/>
  <c r="G26" i="4"/>
  <c r="G7" i="24"/>
  <c r="G8" i="24" s="1"/>
  <c r="G20" i="4"/>
  <c r="G53" i="4"/>
  <c r="G5" i="40" l="1"/>
  <c r="G5" i="41"/>
  <c r="G38" i="4"/>
  <c r="G6" i="34"/>
</calcChain>
</file>

<file path=xl/sharedStrings.xml><?xml version="1.0" encoding="utf-8"?>
<sst xmlns="http://schemas.openxmlformats.org/spreadsheetml/2006/main" count="720" uniqueCount="288">
  <si>
    <t>Balance Sheet of Dr Reddys Laboratories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</si>
  <si>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</si>
  <si>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</si>
  <si>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</si>
  <si>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</si>
  <si>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</si>
  <si>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</si>
  <si>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</si>
  <si>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</si>
  <si>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</si>
  <si>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</si>
  <si>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</si>
  <si>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</si>
  <si>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</si>
  <si>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</si>
  <si>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</si>
  <si>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</si>
  <si>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</si>
  <si>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</si>
  <si>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</si>
  <si>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</si>
  <si>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</si>
  <si>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</si>
  <si>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</si>
  <si>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</si>
  <si>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</si>
  <si>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</si>
  <si>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</si>
  <si>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</si>
  <si>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</si>
  <si>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</si>
  <si>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</si>
  <si>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</si>
  <si>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</si>
  <si>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</si>
  <si>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</si>
  <si>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</si>
  <si>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</si>
  <si>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</si>
  <si>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</si>
  <si>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</si>
  <si>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</si>
  <si>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</si>
  <si>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</si>
  <si>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</si>
  <si>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</si>
  <si>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</si>
  <si>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</si>
  <si>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</si>
  <si>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</si>
  <si>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</si>
  <si>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</si>
  <si>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</si>
  <si>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</si>
  <si>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</si>
  <si>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Dr Reddys Laboratories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</si>
  <si>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</si>
  <si>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</si>
  <si>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</si>
  <si>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</si>
  <si>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</si>
  <si>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</si>
  <si>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</si>
  <si>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</si>
  <si>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</si>
  <si>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</si>
  <si>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</si>
  <si>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</si>
  <si>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</si>
  <si>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</si>
  <si>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</si>
  <si>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</si>
  <si>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</si>
  <si>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</si>
  <si>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</si>
  <si>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</si>
  <si>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</si>
  <si>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</si>
  <si>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</si>
  <si>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</si>
  <si>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</si>
  <si>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</si>
  <si>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</si>
  <si>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</si>
  <si>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</si>
  <si>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</si>
  <si>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</si>
  <si>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</si>
  <si>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</si>
  <si>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</si>
  <si>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</si>
  <si>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</si>
  <si>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</si>
  <si>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</si>
  <si>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</si>
  <si>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</si>
  <si>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</si>
  <si>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</si>
  <si>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</si>
  <si>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</si>
  <si>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</si>
  <si>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</si>
  <si>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</si>
  <si>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</si>
  <si>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</si>
  <si>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</si>
  <si>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</si>
  <si>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</si>
  <si>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</si>
  <si>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</si>
  <si>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</si>
  <si>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</si>
  <si>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</si>
  <si>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</si>
  <si>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</si>
  <si>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</si>
  <si>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</si>
  <si>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</si>
  <si>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</si>
  <si>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</si>
  <si>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</si>
  <si>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</si>
  <si>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</si>
  <si>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</si>
  <si>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</si>
  <si>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</si>
  <si>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</si>
  <si>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</si>
  <si>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</si>
  <si>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</si>
  <si>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</si>
  <si>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</si>
  <si>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</si>
  <si>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</si>
  <si>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</si>
  <si>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</si>
  <si>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</si>
  <si>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</si>
  <si>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</si>
  <si>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</si>
  <si>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</si>
  <si>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</si>
  <si>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</si>
  <si>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</si>
  <si>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</si>
  <si>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</si>
  <si>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</si>
  <si>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</si>
  <si>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</si>
  <si>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</si>
  <si>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</si>
  <si>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</si>
  <si>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</si>
  <si>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</si>
  <si>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</si>
  <si>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</si>
  <si>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</si>
  <si>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</si>
  <si>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</si>
  <si>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</si>
  <si>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</si>
  <si>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</si>
  <si>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</si>
  <si>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</si>
  <si>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</si>
  <si>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</si>
  <si>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</si>
  <si>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</si>
  <si>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</si>
  <si>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</si>
  <si>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</si>
  <si>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</si>
  <si>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</si>
  <si>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</si>
  <si>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</si>
  <si>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</si>
  <si>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</si>
  <si>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</si>
  <si>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</si>
  <si>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</si>
  <si>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</si>
  <si>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</si>
  <si>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</si>
  <si>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</si>
  <si>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</si>
  <si>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</si>
  <si>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</si>
  <si>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</si>
  <si>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</si>
  <si>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</si>
  <si>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</si>
  <si>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</si>
  <si>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</si>
  <si>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</si>
  <si>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</si>
  <si>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</si>
  <si>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</si>
  <si>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</si>
  <si>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</si>
  <si>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</si>
  <si>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</si>
  <si>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</si>
  <si>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</si>
  <si>
    <t>Equity Share Capital % in Assets</t>
  </si>
  <si>
    <t>Preference Share Capital % in Assets</t>
  </si>
  <si>
    <t>Total Share Capital % in Assets</t>
  </si>
  <si>
    <t>Reserves and Surplus % in Assets</t>
  </si>
  <si>
    <t>Net Worth % in Assets</t>
  </si>
  <si>
    <t>Long Term Borrowings % in Assets</t>
  </si>
  <si>
    <t>Deferred Tax Liabilities [Net] % in Assets</t>
  </si>
  <si>
    <t>Short Term Borrowings % in Assets</t>
  </si>
  <si>
    <t>Total Debt % in Assets</t>
  </si>
  <si>
    <t>Long Term Provisions % in Assets</t>
  </si>
  <si>
    <t>Short Term Provisions % in Assets</t>
  </si>
  <si>
    <t>Other Long Term Liabilities % in Assets</t>
  </si>
  <si>
    <t>Trade Payables % in Assets</t>
  </si>
  <si>
    <t>Other Current Liabilities % in Assets</t>
  </si>
  <si>
    <t>Total Current Liabilities % in Assets</t>
  </si>
  <si>
    <t>Minority Interest % in Assets</t>
  </si>
  <si>
    <t>Total Liabilities % in Assets</t>
  </si>
  <si>
    <t>Tangible Assets % in Assets</t>
  </si>
  <si>
    <t>Intangible Assets % in Assets</t>
  </si>
  <si>
    <t>Depreciation % in Assets</t>
  </si>
  <si>
    <t>Net Assets % in Assets</t>
  </si>
  <si>
    <t>Non-Current Investments % in Assets</t>
  </si>
  <si>
    <t>Current Investments % in Assets</t>
  </si>
  <si>
    <t>Capital Work-In-Progress % in Assets</t>
  </si>
  <si>
    <t>Total Non Current Assets % in Assets</t>
  </si>
  <si>
    <t>Deferred Tax Assets [Net] % in Assets</t>
  </si>
  <si>
    <t>Long Term Loans And Advances % in Assets</t>
  </si>
  <si>
    <t>Other Non-Current Assets % in Assets</t>
  </si>
  <si>
    <t>Short Term Loans And Advances % in Assets</t>
  </si>
  <si>
    <t>OtherCurrentAssets % in Assets</t>
  </si>
  <si>
    <t>Inventories % in Assets</t>
  </si>
  <si>
    <t>Trade Receivables % in Assets</t>
  </si>
  <si>
    <t>Cash And Cash Equivalents % in Assets</t>
  </si>
  <si>
    <t>Total Current Assets % in Assets</t>
  </si>
  <si>
    <t>Total Assets % in Assets</t>
  </si>
  <si>
    <t>Gross Sales % in Gross Sales</t>
  </si>
  <si>
    <t>Excise Duty % in Gross Sales</t>
  </si>
  <si>
    <t>Net Sales % in Gross Sales</t>
  </si>
  <si>
    <t>Other Income % in Gross Sales</t>
  </si>
  <si>
    <t>Stock Adjustments % in Gross Sales</t>
  </si>
  <si>
    <t>Total Income % in Gross Sales</t>
  </si>
  <si>
    <t>Cost Of Materials Consumed % in Gross Sales</t>
  </si>
  <si>
    <t>Operating And Direct Expenses % in Gross Sales</t>
  </si>
  <si>
    <t>Employee Benefit Expenses % in Gross Sales</t>
  </si>
  <si>
    <t>Other Expenses % in Gross Sales</t>
  </si>
  <si>
    <t>Total Expenditure % in Gross Sales</t>
  </si>
  <si>
    <t>Operating Profit % in Gross Sales</t>
  </si>
  <si>
    <t>PBDIT % in Gross Sales</t>
  </si>
  <si>
    <t>Depreciation And Amortisation Expenses % in Gross Sales</t>
  </si>
  <si>
    <t>PBIT % in Gross Sales</t>
  </si>
  <si>
    <t>Finance Costs % in Gross Sales</t>
  </si>
  <si>
    <t>Profit Before share of Associates % in Gross Sales</t>
  </si>
  <si>
    <t>Share Of Profit/Loss Of Associates % in Gross Sales</t>
  </si>
  <si>
    <t>PBT % in Gross Sales</t>
  </si>
  <si>
    <t>Exceptional Items % in Gross Sales</t>
  </si>
  <si>
    <t>PBT(Post Extra Ordinary Items) % in Gross Sales</t>
  </si>
  <si>
    <t>Total Tax Expenses % in Gross Sales</t>
  </si>
  <si>
    <t>Reported Net Profit(PAT) % in Gross Sales</t>
  </si>
  <si>
    <t>Equity Share Dividend % in Gross Sales</t>
  </si>
  <si>
    <t>Tax On Dividend % in Gross Sales</t>
  </si>
  <si>
    <t>Amount C\F to Balance Sheet % in Gross Sales</t>
  </si>
  <si>
    <t xml:space="preserve">      ForeCasting</t>
  </si>
  <si>
    <t>TotalAssets TurnOver</t>
  </si>
  <si>
    <t>DepreciationForeCasting</t>
  </si>
  <si>
    <t>InterestForeCasting</t>
  </si>
  <si>
    <t>TaxRateForeCasting</t>
  </si>
  <si>
    <t>DividendTaxRateForeCasting</t>
  </si>
  <si>
    <t>BSInput</t>
  </si>
  <si>
    <t>Back To Index</t>
  </si>
  <si>
    <t>ISMInput</t>
  </si>
  <si>
    <t>Ratios</t>
  </si>
  <si>
    <t>NetWorthVsTotalLiabilties</t>
  </si>
  <si>
    <t>PBDITvsPBIT</t>
  </si>
  <si>
    <t>CAvsCL</t>
  </si>
  <si>
    <t>TotalExpenditureVsTotalIncome</t>
  </si>
  <si>
    <t>Long And Short Term Provisions</t>
  </si>
  <si>
    <t>MaterialConsumed DirectExpenses</t>
  </si>
  <si>
    <t>Gross Sales In Total Income</t>
  </si>
  <si>
    <t>Total Debt In Liabilities</t>
  </si>
  <si>
    <t>Total CL In Liabilities</t>
  </si>
  <si>
    <t>Total NCA In Assets</t>
  </si>
  <si>
    <t>Total CA In Assets</t>
  </si>
  <si>
    <t>Net Profit CF To Balance Sheet</t>
  </si>
  <si>
    <t>BS Backup</t>
  </si>
  <si>
    <t>ISM Backup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</si>
</sst>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3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  <font>
      <sz val="11"/>
      <color indexed="16"/>
      <name val="Century"/>
      <family val="1"/>
    </font>
    <font>
      <b/>
      <sz val="11"/>
      <color indexed="16"/>
      <name val="Century"/>
      <family val="1"/>
    </font>
    <font>
      <b/>
      <sz val="11"/>
      <color indexed="18"/>
      <name val="Century"/>
      <family val="1"/>
    </font>
    <font>
      <u/>
      <sz val="11"/>
      <color theme="10"/>
      <name val="Calibri"/>
      <family val="2"/>
      <scheme val="minor"/>
    </font>
    <font>
      <sz val="11"/>
      <color indexed="3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0" fontId="7" fillId="0" borderId="0" xfId="0" applyNumberFormat="1" applyFont="1"/>
    <xf numFmtId="164" fontId="7" fillId="0" borderId="0" xfId="0" applyNumberFormat="1" applyFont="1"/>
    <xf numFmtId="0" fontId="8" fillId="0" borderId="0" xfId="0" applyFont="1" applyAlignment="1">
      <alignment horizontal="left"/>
    </xf>
    <xf numFmtId="10" fontId="8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0" fontId="10" fillId="0" borderId="0" xfId="0" applyNumberFormat="1" applyFont="1" applyAlignment="1">
      <alignment horizontal="right"/>
    </xf>
    <xf numFmtId="10" fontId="9" fillId="0" borderId="0" xfId="0" applyNumberFormat="1" applyFont="1" applyAlignment="1">
      <alignment horizontal="right"/>
    </xf>
    <xf numFmtId="0" fontId="3" fillId="6" borderId="0" xfId="0" applyFont="1" applyFill="1" applyAlignment="1">
      <alignment horizontal="center"/>
    </xf>
    <xf numFmtId="10" fontId="0" fillId="0" borderId="0" xfId="0" applyNumberFormat="1"/>
    <xf numFmtId="0" fontId="1" fillId="8" borderId="0" xfId="0" applyFont="1" applyFill="1" applyAlignment="1">
      <alignment horizontal="right"/>
    </xf>
    <xf numFmtId="10" fontId="8" fillId="8" borderId="0" xfId="0" applyNumberFormat="1" applyFont="1" applyFill="1" applyAlignment="1">
      <alignment horizontal="right"/>
    </xf>
    <xf numFmtId="0" fontId="2" fillId="8" borderId="0" xfId="0" applyFont="1" applyFill="1" applyAlignment="1">
      <alignment horizontal="right"/>
    </xf>
    <xf numFmtId="10" fontId="10" fillId="8" borderId="0" xfId="0" applyNumberFormat="1" applyFont="1" applyFill="1" applyAlignment="1">
      <alignment horizontal="right"/>
    </xf>
    <xf numFmtId="4" fontId="1" fillId="8" borderId="0" xfId="0" applyNumberFormat="1" applyFont="1" applyFill="1" applyAlignment="1">
      <alignment horizontal="right"/>
    </xf>
    <xf numFmtId="4" fontId="2" fillId="8" borderId="0" xfId="0" applyNumberFormat="1" applyFont="1" applyFill="1" applyAlignment="1">
      <alignment horizontal="right"/>
    </xf>
    <xf numFmtId="10" fontId="9" fillId="8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5" borderId="0" xfId="0" applyFont="1" applyFill="1" applyAlignment="1">
      <alignment horizontal="center" vertical="center"/>
    </xf>
    <xf numFmtId="0" fontId="11" fillId="0" borderId="0" xfId="1"/>
    <xf numFmtId="0" fontId="0" fillId="0" borderId="0" xfId="0" applyFont="1"/>
    <xf numFmtId="0" fontId="12" fillId="0" borderId="0" xfId="1" applyFont="1"/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A82-4331-9E91-05F9AB395709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A82-4331-9E91-05F9AB395709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A82-4331-9E91-05F9AB39570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Earning__Per_Share!$C$3:$G$3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Earning__Per_Share!$C$8:$G$8</c:f>
              <c:numCache>
                <c:formatCode>General</c:formatCode>
                <c:ptCount val="5"/>
                <c:pt idx="0">
                  <c:v>57</c:v>
                </c:pt>
                <c:pt idx="1">
                  <c:v>118</c:v>
                </c:pt>
                <c:pt idx="2">
                  <c:v>122</c:v>
                </c:pt>
                <c:pt idx="3">
                  <c:v>118</c:v>
                </c:pt>
                <c:pt idx="4">
                  <c:v>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A82-4331-9E91-05F9AB395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965032"/>
        <c:axId val="442961424"/>
      </c:lineChart>
      <c:catAx>
        <c:axId val="44296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961424"/>
        <c:crosses val="autoZero"/>
        <c:auto val="0"/>
        <c:lblAlgn val="ctr"/>
        <c:lblOffset val="100"/>
        <c:noMultiLvlLbl val="0"/>
      </c:catAx>
      <c:valAx>
        <c:axId val="442961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29650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F71-4DE2-97E6-FE64CFA2AA4A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F71-4DE2-97E6-FE64CFA2AA4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F71-4DE2-97E6-FE64CFA2AA4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Return_On_Equity!$C$3:$G$3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Return_On_Equity!$C$8:$G$8</c:f>
              <c:numCache>
                <c:formatCode>0.00%</c:formatCode>
                <c:ptCount val="5"/>
                <c:pt idx="0">
                  <c:v>0.09</c:v>
                </c:pt>
                <c:pt idx="1">
                  <c:v>0.11</c:v>
                </c:pt>
                <c:pt idx="2">
                  <c:v>0.14000000000000001</c:v>
                </c:pt>
                <c:pt idx="3">
                  <c:v>0.08</c:v>
                </c:pt>
                <c:pt idx="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F71-4DE2-97E6-FE64CFA2A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5264"/>
        <c:axId val="553593952"/>
      </c:lineChart>
      <c:catAx>
        <c:axId val="55359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3952"/>
        <c:crosses val="autoZero"/>
        <c:auto val="0"/>
        <c:lblAlgn val="ctr"/>
        <c:lblOffset val="100"/>
        <c:noMultiLvlLbl val="0"/>
      </c:catAx>
      <c:valAx>
        <c:axId val="553593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35952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F7F-4B15-B240-1B6657BE874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Debt_Equity_Ratio!$C$3:$G$3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Debt_Equity_Ratio!$C$8:$G$8</c:f>
              <c:numCache>
                <c:formatCode>General</c:formatCode>
                <c:ptCount val="5"/>
                <c:pt idx="0">
                  <c:v>0.42</c:v>
                </c:pt>
                <c:pt idx="1">
                  <c:v>0.22</c:v>
                </c:pt>
                <c:pt idx="2">
                  <c:v>0.08</c:v>
                </c:pt>
                <c:pt idx="3">
                  <c:v>0.12</c:v>
                </c:pt>
                <c:pt idx="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F7F-4B15-B240-1B6657BE8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753176"/>
        <c:axId val="550759080"/>
      </c:lineChart>
      <c:catAx>
        <c:axId val="550753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59080"/>
        <c:crosses val="autoZero"/>
        <c:auto val="0"/>
        <c:lblAlgn val="ctr"/>
        <c:lblOffset val="100"/>
        <c:noMultiLvlLbl val="0"/>
      </c:catAx>
      <c:valAx>
        <c:axId val="5507590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07531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0C7-4F13-BF58-B88051D2A7C9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0C7-4F13-BF58-B88051D2A7C9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0C7-4F13-BF58-B88051D2A7C9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E0C7-4F13-BF58-B88051D2A7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Current_Ratio!$C$3:$G$3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Current_Ratio!$C$8:$G$8</c:f>
              <c:numCache>
                <c:formatCode>General</c:formatCode>
                <c:ptCount val="5"/>
                <c:pt idx="0">
                  <c:v>2.08</c:v>
                </c:pt>
                <c:pt idx="1">
                  <c:v>3.1</c:v>
                </c:pt>
                <c:pt idx="2">
                  <c:v>3.74</c:v>
                </c:pt>
                <c:pt idx="3">
                  <c:v>4.3899999999999997</c:v>
                </c:pt>
                <c:pt idx="4">
                  <c:v>4.84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0C7-4F13-BF58-B88051D2A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755472"/>
        <c:axId val="550755800"/>
      </c:lineChart>
      <c:catAx>
        <c:axId val="55075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55800"/>
        <c:crosses val="autoZero"/>
        <c:auto val="0"/>
        <c:lblAlgn val="ctr"/>
        <c:lblOffset val="100"/>
        <c:noMultiLvlLbl val="0"/>
      </c:catAx>
      <c:valAx>
        <c:axId val="550755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07554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D44-4E5B-83C4-6DF82A9E7EF5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D44-4E5B-83C4-6DF82A9E7EF5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6D44-4E5B-83C4-6DF82A9E7EF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D44-4E5B-83C4-6DF82A9E7EF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Quick_Ratio!$C$3:$G$3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Quick_Ratio!$C$9:$G$9</c:f>
              <c:numCache>
                <c:formatCode>General</c:formatCode>
                <c:ptCount val="5"/>
                <c:pt idx="0">
                  <c:v>1.46</c:v>
                </c:pt>
                <c:pt idx="1">
                  <c:v>2.42</c:v>
                </c:pt>
                <c:pt idx="2">
                  <c:v>3.14</c:v>
                </c:pt>
                <c:pt idx="3">
                  <c:v>3.64</c:v>
                </c:pt>
                <c:pt idx="4">
                  <c:v>4.1399999999999997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D44-4E5B-83C4-6DF82A9E7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0384"/>
        <c:axId val="548324120"/>
      </c:lineChart>
      <c:catAx>
        <c:axId val="54954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4120"/>
        <c:crosses val="autoZero"/>
        <c:auto val="0"/>
        <c:lblAlgn val="ctr"/>
        <c:lblOffset val="100"/>
        <c:noMultiLvlLbl val="0"/>
      </c:catAx>
      <c:valAx>
        <c:axId val="548324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03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FF8-41B9-82D2-3D90E74B9713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FF8-41B9-82D2-3D90E74B9713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FF8-41B9-82D2-3D90E74B971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Interest_Coverage_Ratio!$C$3:$G$3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Interest_Coverage_Ratio!$C$8:$G$8</c:f>
              <c:numCache>
                <c:formatCode>General</c:formatCode>
                <c:ptCount val="5"/>
                <c:pt idx="0">
                  <c:v>35.03</c:v>
                </c:pt>
                <c:pt idx="1">
                  <c:v>44.27</c:v>
                </c:pt>
                <c:pt idx="2">
                  <c:v>62.24</c:v>
                </c:pt>
                <c:pt idx="3">
                  <c:v>54.83</c:v>
                </c:pt>
                <c:pt idx="4">
                  <c:v>73.510000000000005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FF8-41B9-82D2-3D90E74B97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6568"/>
        <c:axId val="553647880"/>
      </c:lineChart>
      <c:catAx>
        <c:axId val="553646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7880"/>
        <c:crosses val="autoZero"/>
        <c:auto val="0"/>
        <c:lblAlgn val="ctr"/>
        <c:lblOffset val="100"/>
        <c:noMultiLvlLbl val="0"/>
      </c:catAx>
      <c:valAx>
        <c:axId val="5536478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6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A11-4573-83D0-5886A439285C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A11-4573-83D0-5886A439285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Material_Consumed!$C$3:$G$3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Material_Consumed!$C$8:$G$8</c:f>
              <c:numCache>
                <c:formatCode>General</c:formatCode>
                <c:ptCount val="5"/>
                <c:pt idx="0">
                  <c:v>0.19</c:v>
                </c:pt>
                <c:pt idx="1">
                  <c:v>0.19</c:v>
                </c:pt>
                <c:pt idx="2">
                  <c:v>0.17</c:v>
                </c:pt>
                <c:pt idx="3">
                  <c:v>0.23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A11-4573-83D0-5886A4392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528872"/>
        <c:axId val="441530512"/>
      </c:lineChart>
      <c:catAx>
        <c:axId val="441528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530512"/>
        <c:crosses val="autoZero"/>
        <c:auto val="0"/>
        <c:lblAlgn val="ctr"/>
        <c:lblOffset val="100"/>
        <c:noMultiLvlLbl val="0"/>
      </c:catAx>
      <c:valAx>
        <c:axId val="441530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15288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EBF-481F-A037-490442C43F33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EBF-481F-A037-490442C43F33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EBF-481F-A037-490442C43F3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Defensive_Interval_Ratio!$C$3:$G$3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Defensive_Interval_Ratio!$C$8:$G$8</c:f>
              <c:numCache>
                <c:formatCode>General</c:formatCode>
                <c:ptCount val="5"/>
                <c:pt idx="0">
                  <c:v>36.6</c:v>
                </c:pt>
                <c:pt idx="1">
                  <c:v>744.48</c:v>
                </c:pt>
                <c:pt idx="2">
                  <c:v>1210.0999999999999</c:v>
                </c:pt>
                <c:pt idx="3">
                  <c:v>1173.8</c:v>
                </c:pt>
                <c:pt idx="4">
                  <c:v>1674.95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BF-481F-A037-490442C43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8008"/>
        <c:axId val="364045712"/>
      </c:lineChart>
      <c:catAx>
        <c:axId val="364048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5712"/>
        <c:crosses val="autoZero"/>
        <c:auto val="0"/>
        <c:lblAlgn val="ctr"/>
        <c:lblOffset val="100"/>
        <c:noMultiLvlLbl val="0"/>
      </c:catAx>
      <c:valAx>
        <c:axId val="3640457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80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917-4C96-B3A7-2357CC1EEB63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917-4C96-B3A7-2357CC1EEB63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0917-4C96-B3A7-2357CC1EEB63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917-4C96-B3A7-2357CC1EEB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Purchases_Per_Day!$C$3:$G$3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Purchases_Per_Day!$C$8:$G$8</c:f>
              <c:numCache>
                <c:formatCode>General</c:formatCode>
                <c:ptCount val="5"/>
                <c:pt idx="0">
                  <c:v>263.8</c:v>
                </c:pt>
                <c:pt idx="1">
                  <c:v>5893.42</c:v>
                </c:pt>
                <c:pt idx="2">
                  <c:v>9895.66</c:v>
                </c:pt>
                <c:pt idx="3">
                  <c:v>13814.87</c:v>
                </c:pt>
                <c:pt idx="4">
                  <c:v>19789.2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17-4C96-B3A7-2357CC1EE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520192"/>
        <c:axId val="446517568"/>
      </c:lineChart>
      <c:catAx>
        <c:axId val="44652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517568"/>
        <c:crosses val="autoZero"/>
        <c:auto val="0"/>
        <c:lblAlgn val="ctr"/>
        <c:lblOffset val="100"/>
        <c:noMultiLvlLbl val="0"/>
      </c:catAx>
      <c:valAx>
        <c:axId val="446517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5201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0C4-4CF4-9F31-F696892003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Asset_TurnOver_Ratio!$C$3:$G$3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Asset_TurnOver_Ratio!$C$8:$G$8</c:f>
              <c:numCache>
                <c:formatCode>General</c:formatCode>
                <c:ptCount val="5"/>
                <c:pt idx="0">
                  <c:v>0.63</c:v>
                </c:pt>
                <c:pt idx="1">
                  <c:v>0.64</c:v>
                </c:pt>
                <c:pt idx="2">
                  <c:v>0.6</c:v>
                </c:pt>
                <c:pt idx="3">
                  <c:v>0.55000000000000004</c:v>
                </c:pt>
                <c:pt idx="4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0C4-4CF4-9F31-F696892003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516768"/>
        <c:axId val="547132808"/>
      </c:lineChart>
      <c:catAx>
        <c:axId val="62751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132808"/>
        <c:crosses val="autoZero"/>
        <c:auto val="0"/>
        <c:lblAlgn val="ctr"/>
        <c:lblOffset val="100"/>
        <c:noMultiLvlLbl val="0"/>
      </c:catAx>
      <c:valAx>
        <c:axId val="5471328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75167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E01-4EFD-87FE-4129394FB33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E01-4EFD-87FE-4129394FB3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Inventory_TurnOver_Ratio!$C$8:$G$8</c:f>
              <c:numCache>
                <c:formatCode>General</c:formatCode>
                <c:ptCount val="5"/>
                <c:pt idx="0">
                  <c:v>4.88</c:v>
                </c:pt>
                <c:pt idx="1">
                  <c:v>4.58</c:v>
                </c:pt>
                <c:pt idx="2">
                  <c:v>4.9800000000000004</c:v>
                </c:pt>
                <c:pt idx="3">
                  <c:v>4.18</c:v>
                </c:pt>
                <c:pt idx="4">
                  <c:v>4.21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E01-4EFD-87FE-4129394FB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517896"/>
        <c:axId val="446518880"/>
      </c:lineChart>
      <c:catAx>
        <c:axId val="446517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518880"/>
        <c:crosses val="autoZero"/>
        <c:auto val="0"/>
        <c:lblAlgn val="ctr"/>
        <c:lblOffset val="100"/>
        <c:noMultiLvlLbl val="0"/>
      </c:catAx>
      <c:valAx>
        <c:axId val="4465188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5178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703-467B-9EF7-7288A20588E1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703-467B-9EF7-7288A20588E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Equity_Dividend_Per_Share!$C$3:$G$3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Equity_Dividend_Per_Share!$C$8:$G$8</c:f>
              <c:numCache>
                <c:formatCode>General</c:formatCode>
                <c:ptCount val="5"/>
                <c:pt idx="0">
                  <c:v>10.14</c:v>
                </c:pt>
                <c:pt idx="1">
                  <c:v>11.32</c:v>
                </c:pt>
                <c:pt idx="2">
                  <c:v>7.76</c:v>
                </c:pt>
                <c:pt idx="3">
                  <c:v>11.41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703-467B-9EF7-7288A2058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764656"/>
        <c:axId val="550756456"/>
      </c:lineChart>
      <c:catAx>
        <c:axId val="55076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56456"/>
        <c:crosses val="autoZero"/>
        <c:auto val="0"/>
        <c:lblAlgn val="ctr"/>
        <c:lblOffset val="100"/>
        <c:noMultiLvlLbl val="0"/>
      </c:catAx>
      <c:valAx>
        <c:axId val="5507564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07646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31B-45BB-B6B9-A3B88BC5E93A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31B-45BB-B6B9-A3B88BC5E93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Debtors_TurnOver_Ratio!$C$3:$G$3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Debtors_TurnOver_Ratio!$C$8:$G$8</c:f>
              <c:numCache>
                <c:formatCode>General</c:formatCode>
                <c:ptCount val="5"/>
                <c:pt idx="0">
                  <c:v>3.5</c:v>
                </c:pt>
                <c:pt idx="1">
                  <c:v>3.86</c:v>
                </c:pt>
                <c:pt idx="2">
                  <c:v>3.47</c:v>
                </c:pt>
                <c:pt idx="3">
                  <c:v>3.82</c:v>
                </c:pt>
                <c:pt idx="4">
                  <c:v>3.21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1B-45BB-B6B9-A3B88BC5E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161648"/>
        <c:axId val="444160664"/>
      </c:lineChart>
      <c:catAx>
        <c:axId val="44416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4160664"/>
        <c:crosses val="autoZero"/>
        <c:auto val="0"/>
        <c:lblAlgn val="ctr"/>
        <c:lblOffset val="100"/>
        <c:noMultiLvlLbl val="0"/>
      </c:catAx>
      <c:valAx>
        <c:axId val="444160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41616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529-4D48-9070-A24B51A75793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529-4D48-9070-A24B51A75793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0529-4D48-9070-A24B51A757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Fixed_Assets_TurnOver_Ratio!$C$3:$G$3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Fixed_Assets_TurnOver_Ratio!$C$8:$G$8</c:f>
              <c:numCache>
                <c:formatCode>General</c:formatCode>
                <c:ptCount val="5"/>
                <c:pt idx="0">
                  <c:v>2.86</c:v>
                </c:pt>
                <c:pt idx="1">
                  <c:v>3.13</c:v>
                </c:pt>
                <c:pt idx="2">
                  <c:v>3.65</c:v>
                </c:pt>
                <c:pt idx="3">
                  <c:v>4.01</c:v>
                </c:pt>
                <c:pt idx="4">
                  <c:v>2.42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29-4D48-9070-A24B51A75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9976"/>
        <c:axId val="364044400"/>
      </c:lineChart>
      <c:catAx>
        <c:axId val="364049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4400"/>
        <c:crosses val="autoZero"/>
        <c:auto val="0"/>
        <c:lblAlgn val="ctr"/>
        <c:lblOffset val="100"/>
        <c:noMultiLvlLbl val="0"/>
      </c:catAx>
      <c:valAx>
        <c:axId val="364044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99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47AF-4AFC-86CB-79DCAB1349D1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7AF-4AFC-86CB-79DCAB1349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Payable_TurnOver_Ratio!$C$8:$G$8</c:f>
              <c:numCache>
                <c:formatCode>General</c:formatCode>
                <c:ptCount val="5"/>
                <c:pt idx="0">
                  <c:v>0.56000000000000005</c:v>
                </c:pt>
                <c:pt idx="1">
                  <c:v>0.57999999999999996</c:v>
                </c:pt>
                <c:pt idx="2">
                  <c:v>0.51</c:v>
                </c:pt>
                <c:pt idx="3">
                  <c:v>0.72</c:v>
                </c:pt>
                <c:pt idx="4">
                  <c:v>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AF-4AFC-86CB-79DCAB134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161320"/>
        <c:axId val="446519208"/>
      </c:lineChart>
      <c:catAx>
        <c:axId val="444161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519208"/>
        <c:crosses val="autoZero"/>
        <c:auto val="0"/>
        <c:lblAlgn val="ctr"/>
        <c:lblOffset val="100"/>
        <c:noMultiLvlLbl val="0"/>
      </c:catAx>
      <c:valAx>
        <c:axId val="446519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41613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9F6-4D67-8CD0-E4D3B2DC8A94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9F6-4D67-8CD0-E4D3B2DC8A9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Inventory_Days!$C$8:$G$8</c:f>
              <c:numCache>
                <c:formatCode>General</c:formatCode>
                <c:ptCount val="5"/>
                <c:pt idx="0">
                  <c:v>74.760000000000005</c:v>
                </c:pt>
                <c:pt idx="1">
                  <c:v>79.66</c:v>
                </c:pt>
                <c:pt idx="2">
                  <c:v>73.31</c:v>
                </c:pt>
                <c:pt idx="3">
                  <c:v>87.37</c:v>
                </c:pt>
                <c:pt idx="4">
                  <c:v>86.63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F6-4D67-8CD0-E4D3B2DC8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529200"/>
        <c:axId val="441528544"/>
      </c:lineChart>
      <c:catAx>
        <c:axId val="44152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528544"/>
        <c:crosses val="autoZero"/>
        <c:auto val="0"/>
        <c:lblAlgn val="ctr"/>
        <c:lblOffset val="100"/>
        <c:noMultiLvlLbl val="0"/>
      </c:catAx>
      <c:valAx>
        <c:axId val="441528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15292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356-4AF6-A5F8-BB1543C7CBB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356-4AF6-A5F8-BB1543C7CBB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Payable_Days!$C$8:$G$8</c:f>
              <c:numCache>
                <c:formatCode>General</c:formatCode>
                <c:ptCount val="5"/>
                <c:pt idx="0">
                  <c:v>653.80999999999995</c:v>
                </c:pt>
                <c:pt idx="1">
                  <c:v>629.37</c:v>
                </c:pt>
                <c:pt idx="2">
                  <c:v>714.26</c:v>
                </c:pt>
                <c:pt idx="3">
                  <c:v>509.95</c:v>
                </c:pt>
                <c:pt idx="4">
                  <c:v>613.66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56-4AF6-A5F8-BB1543C7C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766576"/>
        <c:axId val="364042760"/>
      </c:lineChart>
      <c:catAx>
        <c:axId val="44076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2760"/>
        <c:crosses val="autoZero"/>
        <c:auto val="0"/>
        <c:lblAlgn val="ctr"/>
        <c:lblOffset val="100"/>
        <c:noMultiLvlLbl val="0"/>
      </c:catAx>
      <c:valAx>
        <c:axId val="364042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0766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F8E-407B-8FE0-86B8F6E9BBBB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F8E-407B-8FE0-86B8F6E9BBB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Receivable_Days!$C$3:$G$3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Receivable_Days!$C$8:$G$8</c:f>
              <c:numCache>
                <c:formatCode>General</c:formatCode>
                <c:ptCount val="5"/>
                <c:pt idx="0">
                  <c:v>104.15</c:v>
                </c:pt>
                <c:pt idx="1">
                  <c:v>94.59</c:v>
                </c:pt>
                <c:pt idx="2">
                  <c:v>105.11</c:v>
                </c:pt>
                <c:pt idx="3">
                  <c:v>95.5</c:v>
                </c:pt>
                <c:pt idx="4">
                  <c:v>113.67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8E-407B-8FE0-86B8F6E9B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4728"/>
        <c:axId val="364045384"/>
      </c:lineChart>
      <c:catAx>
        <c:axId val="364044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5384"/>
        <c:crosses val="autoZero"/>
        <c:auto val="0"/>
        <c:lblAlgn val="ctr"/>
        <c:lblOffset val="100"/>
        <c:noMultiLvlLbl val="0"/>
      </c:catAx>
      <c:valAx>
        <c:axId val="364045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47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219-4D4F-B47A-288009A29ADB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219-4D4F-B47A-288009A29A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Operating_Cycle!$C$3:$G$3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Operating_Cycle!$C$12:$G$12</c:f>
              <c:numCache>
                <c:formatCode>.00</c:formatCode>
                <c:ptCount val="5"/>
                <c:pt idx="0">
                  <c:v>728.57</c:v>
                </c:pt>
                <c:pt idx="1">
                  <c:v>709.03</c:v>
                </c:pt>
                <c:pt idx="2">
                  <c:v>787.57</c:v>
                </c:pt>
                <c:pt idx="3">
                  <c:v>597.32000000000005</c:v>
                </c:pt>
                <c:pt idx="4">
                  <c:v>700.29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19-4D4F-B47A-288009A29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130840"/>
        <c:axId val="547129856"/>
      </c:lineChart>
      <c:catAx>
        <c:axId val="547130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129856"/>
        <c:crosses val="autoZero"/>
        <c:auto val="0"/>
        <c:lblAlgn val="ctr"/>
        <c:lblOffset val="100"/>
        <c:noMultiLvlLbl val="0"/>
      </c:catAx>
      <c:valAx>
        <c:axId val="5471298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71308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F88-4EA9-92C9-3D02CD430DA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F88-4EA9-92C9-3D02CD430D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Cash_Conversion_Cycle_Days!$C$3:$G$3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Cash_Conversion_Cycle_Days!$C$16:$G$16</c:f>
              <c:numCache>
                <c:formatCode>.00</c:formatCode>
                <c:ptCount val="5"/>
                <c:pt idx="0">
                  <c:v>-74.760000000000005</c:v>
                </c:pt>
                <c:pt idx="1">
                  <c:v>-79.66</c:v>
                </c:pt>
                <c:pt idx="2">
                  <c:v>-73.31</c:v>
                </c:pt>
                <c:pt idx="3">
                  <c:v>-87.37</c:v>
                </c:pt>
                <c:pt idx="4">
                  <c:v>-86.63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88-4EA9-92C9-3D02CD430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560440"/>
        <c:axId val="555559456"/>
      </c:lineChart>
      <c:catAx>
        <c:axId val="555560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559456"/>
        <c:crosses val="autoZero"/>
        <c:auto val="0"/>
        <c:lblAlgn val="ctr"/>
        <c:lblOffset val="100"/>
        <c:noMultiLvlLbl val="0"/>
      </c:catAx>
      <c:valAx>
        <c:axId val="5555594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55604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12571.6</c:v>
                </c:pt>
                <c:pt idx="1">
                  <c:v>15632.521936808991</c:v>
                </c:pt>
                <c:pt idx="2">
                  <c:v>21401.257480909793</c:v>
                </c:pt>
                <c:pt idx="3">
                  <c:v>25275.872840225009</c:v>
                </c:pt>
                <c:pt idx="4">
                  <c:v>31343.195434457044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B4-47AB-AF4C-FD5BA01B2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318184"/>
        <c:axId val="452317200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22544.300000000003</c:v>
                </c:pt>
                <c:pt idx="1">
                  <c:v>24074.521936808993</c:v>
                </c:pt>
                <c:pt idx="2">
                  <c:v>29027.757480909793</c:v>
                </c:pt>
                <c:pt idx="3">
                  <c:v>34250.972840225011</c:v>
                </c:pt>
                <c:pt idx="4">
                  <c:v>41877.695434457048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B4-47AB-AF4C-FD5BA01B2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318184"/>
        <c:axId val="452317200"/>
      </c:lineChart>
      <c:catAx>
        <c:axId val="452318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317200"/>
        <c:crosses val="autoZero"/>
        <c:auto val="1"/>
        <c:lblAlgn val="ctr"/>
        <c:lblOffset val="100"/>
        <c:noMultiLvlLbl val="0"/>
      </c:catAx>
      <c:valAx>
        <c:axId val="4523172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31818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3837.8109274227609</c:v>
                </c:pt>
                <c:pt idx="1">
                  <c:v>5070.6219368089914</c:v>
                </c:pt>
                <c:pt idx="2">
                  <c:v>7281.3355441008025</c:v>
                </c:pt>
                <c:pt idx="3">
                  <c:v>6546.9153593152114</c:v>
                </c:pt>
                <c:pt idx="4">
                  <c:v>8207.2225942320347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03-40FB-94CD-623986C19C71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2760.6109274227611</c:v>
                </c:pt>
                <c:pt idx="1">
                  <c:v>3935.8219368089913</c:v>
                </c:pt>
                <c:pt idx="2">
                  <c:v>6118.2355441008021</c:v>
                </c:pt>
                <c:pt idx="3">
                  <c:v>5318.1153593152112</c:v>
                </c:pt>
                <c:pt idx="4">
                  <c:v>7042.0225942320349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03-40FB-94CD-623986C19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558472"/>
        <c:axId val="549612184"/>
      </c:barChart>
      <c:catAx>
        <c:axId val="555558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612184"/>
        <c:crosses val="autoZero"/>
        <c:auto val="1"/>
        <c:lblAlgn val="ctr"/>
        <c:lblOffset val="100"/>
        <c:noMultiLvlLbl val="0"/>
      </c:catAx>
      <c:valAx>
        <c:axId val="5496121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55847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F85-4A97-9562-833E7075F178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F85-4A97-9562-833E7075F1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Book_Value__Per_Share!$C$3:$G$3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Book_Value__Per_Share!$C$8:$G$8</c:f>
              <c:numCache>
                <c:formatCode>General</c:formatCode>
                <c:ptCount val="5"/>
                <c:pt idx="0">
                  <c:v>319.36</c:v>
                </c:pt>
                <c:pt idx="1">
                  <c:v>532.96</c:v>
                </c:pt>
                <c:pt idx="2">
                  <c:v>423.84</c:v>
                </c:pt>
                <c:pt idx="3">
                  <c:v>695.36</c:v>
                </c:pt>
                <c:pt idx="4">
                  <c:v>681.9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F85-4A97-9562-833E7075F1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751208"/>
        <c:axId val="550749568"/>
      </c:lineChart>
      <c:catAx>
        <c:axId val="550751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49568"/>
        <c:crosses val="autoZero"/>
        <c:auto val="0"/>
        <c:lblAlgn val="ctr"/>
        <c:lblOffset val="100"/>
        <c:noMultiLvlLbl val="0"/>
      </c:catAx>
      <c:valAx>
        <c:axId val="550749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07512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9807.5</c:v>
                </c:pt>
                <c:pt idx="1">
                  <c:v>15424.621936808991</c:v>
                </c:pt>
                <c:pt idx="2">
                  <c:v>21852.45748090979</c:v>
                </c:pt>
                <c:pt idx="3">
                  <c:v>26370.272840225003</c:v>
                </c:pt>
                <c:pt idx="4">
                  <c:v>35086.095434457035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DC-485B-A424-569750F2C905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4712.6000000000004</c:v>
                </c:pt>
                <c:pt idx="1">
                  <c:v>4982.2</c:v>
                </c:pt>
                <c:pt idx="2">
                  <c:v>5840.9</c:v>
                </c:pt>
                <c:pt idx="3">
                  <c:v>6001.8</c:v>
                </c:pt>
                <c:pt idx="4">
                  <c:v>7250.3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DC-485B-A424-569750F2C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314248"/>
        <c:axId val="626313920"/>
      </c:barChart>
      <c:catAx>
        <c:axId val="626314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313920"/>
        <c:crosses val="autoZero"/>
        <c:auto val="1"/>
        <c:lblAlgn val="ctr"/>
        <c:lblOffset val="100"/>
        <c:noMultiLvlLbl val="0"/>
      </c:catAx>
      <c:valAx>
        <c:axId val="6263139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3142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Long_And_Short_Term_Provisions!$C$4:$G$4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Long_And_Short_Term_Provisions!$C$5:$G$5</c:f>
              <c:numCache>
                <c:formatCode>.00</c:formatCode>
                <c:ptCount val="5"/>
                <c:pt idx="0">
                  <c:v>81.7</c:v>
                </c:pt>
                <c:pt idx="1">
                  <c:v>79.3</c:v>
                </c:pt>
                <c:pt idx="2">
                  <c:v>74.5</c:v>
                </c:pt>
                <c:pt idx="3">
                  <c:v>50.8</c:v>
                </c:pt>
                <c:pt idx="4">
                  <c:v>25.8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66-41DE-9EC5-49361D888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6316216"/>
        <c:axId val="626316544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Long_And_Short_Term_Provisions!$C$6:$G$6</c:f>
              <c:numCache>
                <c:formatCode>.00</c:formatCode>
                <c:ptCount val="5"/>
                <c:pt idx="0">
                  <c:v>438.7</c:v>
                </c:pt>
                <c:pt idx="1">
                  <c:v>478.9</c:v>
                </c:pt>
                <c:pt idx="2">
                  <c:v>466.9</c:v>
                </c:pt>
                <c:pt idx="3">
                  <c:v>501.5</c:v>
                </c:pt>
                <c:pt idx="4">
                  <c:v>586.6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66-41DE-9EC5-49361D888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478424"/>
        <c:axId val="453473832"/>
      </c:lineChart>
      <c:catAx>
        <c:axId val="626316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6316544"/>
        <c:crosses val="autoZero"/>
        <c:auto val="1"/>
        <c:lblAlgn val="ctr"/>
        <c:lblOffset val="100"/>
        <c:noMultiLvlLbl val="0"/>
      </c:catAx>
      <c:valAx>
        <c:axId val="626316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316216"/>
        <c:crosses val="autoZero"/>
        <c:crossBetween val="between"/>
      </c:valAx>
      <c:valAx>
        <c:axId val="45347383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53478424"/>
        <c:crosses val="max"/>
        <c:crossBetween val="between"/>
      </c:valAx>
      <c:catAx>
        <c:axId val="453478424"/>
        <c:scaling>
          <c:orientation val="minMax"/>
        </c:scaling>
        <c:delete val="1"/>
        <c:axPos val="b"/>
        <c:majorTickMark val="out"/>
        <c:minorTickMark val="none"/>
        <c:tickLblPos val="nextTo"/>
        <c:crossAx val="453473832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2630.9</c:v>
                </c:pt>
                <c:pt idx="1">
                  <c:v>2889.4</c:v>
                </c:pt>
                <c:pt idx="2">
                  <c:v>2984.8</c:v>
                </c:pt>
                <c:pt idx="3">
                  <c:v>4295.8</c:v>
                </c:pt>
                <c:pt idx="4">
                  <c:v>4312.3999999999996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F0-4303-B571-8FC6F07F6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508608"/>
        <c:axId val="558505656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F0-4303-B571-8FC6F07F6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774216"/>
        <c:axId val="558508280"/>
      </c:lineChart>
      <c:catAx>
        <c:axId val="55850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8505656"/>
        <c:crosses val="autoZero"/>
        <c:auto val="1"/>
        <c:lblAlgn val="ctr"/>
        <c:lblOffset val="100"/>
        <c:noMultiLvlLbl val="0"/>
      </c:catAx>
      <c:valAx>
        <c:axId val="558505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508608"/>
        <c:crosses val="autoZero"/>
        <c:crossBetween val="between"/>
      </c:valAx>
      <c:valAx>
        <c:axId val="55850828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46774216"/>
        <c:crosses val="max"/>
        <c:crossBetween val="between"/>
      </c:valAx>
      <c:catAx>
        <c:axId val="546774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8508280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Gross_Sales_In_Total_Income!$C$4:$G$4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Gross_Sales_In_Total_Income!$C$5:$G$5</c:f>
              <c:numCache>
                <c:formatCode>.00</c:formatCode>
                <c:ptCount val="5"/>
                <c:pt idx="0">
                  <c:v>14202.8</c:v>
                </c:pt>
                <c:pt idx="1">
                  <c:v>15385.1</c:v>
                </c:pt>
                <c:pt idx="2">
                  <c:v>17460</c:v>
                </c:pt>
                <c:pt idx="3">
                  <c:v>18972.2</c:v>
                </c:pt>
                <c:pt idx="4">
                  <c:v>21439.1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97-41BF-B60A-38E8DBFAA724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Gross_Sales_In_Total_Income!$C$6:$G$6</c:f>
              <c:numCache>
                <c:formatCode>.00</c:formatCode>
                <c:ptCount val="5"/>
                <c:pt idx="0">
                  <c:v>14359.010927422762</c:v>
                </c:pt>
                <c:pt idx="1">
                  <c:v>15723.621936808991</c:v>
                </c:pt>
                <c:pt idx="2">
                  <c:v>18081.635544100802</c:v>
                </c:pt>
                <c:pt idx="3">
                  <c:v>19264.615359315212</c:v>
                </c:pt>
                <c:pt idx="4">
                  <c:v>21924.522594232036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97-41BF-B60A-38E8DBFAA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1078192"/>
        <c:axId val="551076224"/>
      </c:barChart>
      <c:catAx>
        <c:axId val="55107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76224"/>
        <c:crosses val="autoZero"/>
        <c:auto val="1"/>
        <c:lblAlgn val="ctr"/>
        <c:lblOffset val="100"/>
        <c:noMultiLvlLbl val="0"/>
      </c:catAx>
      <c:valAx>
        <c:axId val="551076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781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22544.300000000003</c:v>
                </c:pt>
                <c:pt idx="1">
                  <c:v>24074.521936808993</c:v>
                </c:pt>
                <c:pt idx="2">
                  <c:v>29027.757480909793</c:v>
                </c:pt>
                <c:pt idx="3">
                  <c:v>34250.972840225011</c:v>
                </c:pt>
                <c:pt idx="4">
                  <c:v>41877.695434457048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7B-4037-A445-230FD47AF61A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5260.1</c:v>
                </c:pt>
                <c:pt idx="1">
                  <c:v>3459.8</c:v>
                </c:pt>
                <c:pt idx="2">
                  <c:v>1785.6000000000001</c:v>
                </c:pt>
                <c:pt idx="3">
                  <c:v>2973.3</c:v>
                </c:pt>
                <c:pt idx="4">
                  <c:v>3284.2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7B-4037-A445-230FD47AF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5253976"/>
        <c:axId val="555257912"/>
      </c:barChart>
      <c:catAx>
        <c:axId val="555253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257912"/>
        <c:crosses val="autoZero"/>
        <c:auto val="1"/>
        <c:lblAlgn val="ctr"/>
        <c:lblOffset val="100"/>
        <c:noMultiLvlLbl val="0"/>
      </c:catAx>
      <c:valAx>
        <c:axId val="5552579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2539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22544.300000000003</c:v>
                </c:pt>
                <c:pt idx="1">
                  <c:v>24074.521936808993</c:v>
                </c:pt>
                <c:pt idx="2">
                  <c:v>29027.757480909793</c:v>
                </c:pt>
                <c:pt idx="3">
                  <c:v>34250.972840225011</c:v>
                </c:pt>
                <c:pt idx="4">
                  <c:v>41877.695434457048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0E-4643-9B92-B9F1A33955B4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4712.6000000000004</c:v>
                </c:pt>
                <c:pt idx="1">
                  <c:v>4982.2</c:v>
                </c:pt>
                <c:pt idx="2">
                  <c:v>5840.9</c:v>
                </c:pt>
                <c:pt idx="3">
                  <c:v>6001.8</c:v>
                </c:pt>
                <c:pt idx="4">
                  <c:v>7250.3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0E-4643-9B92-B9F1A3395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9375976"/>
        <c:axId val="449380896"/>
      </c:barChart>
      <c:catAx>
        <c:axId val="449375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380896"/>
        <c:crosses val="autoZero"/>
        <c:auto val="1"/>
        <c:lblAlgn val="ctr"/>
        <c:lblOffset val="100"/>
        <c:noMultiLvlLbl val="0"/>
      </c:catAx>
      <c:valAx>
        <c:axId val="4493808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3759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22544.300000000003</c:v>
                </c:pt>
                <c:pt idx="1">
                  <c:v>24074.521936808989</c:v>
                </c:pt>
                <c:pt idx="2">
                  <c:v>29027.75748090979</c:v>
                </c:pt>
                <c:pt idx="3">
                  <c:v>34250.972840225004</c:v>
                </c:pt>
                <c:pt idx="4">
                  <c:v>41877.695434457033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2E-4095-953F-4E662473FCE3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12736.800000000001</c:v>
                </c:pt>
                <c:pt idx="1">
                  <c:v>8649.9</c:v>
                </c:pt>
                <c:pt idx="2">
                  <c:v>7175.3</c:v>
                </c:pt>
                <c:pt idx="3">
                  <c:v>7880.6999999999989</c:v>
                </c:pt>
                <c:pt idx="4">
                  <c:v>6791.6000000000013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2E-4095-953F-4E662473F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8402472"/>
        <c:axId val="448402800"/>
      </c:barChart>
      <c:catAx>
        <c:axId val="448402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402800"/>
        <c:crosses val="autoZero"/>
        <c:auto val="1"/>
        <c:lblAlgn val="ctr"/>
        <c:lblOffset val="100"/>
        <c:noMultiLvlLbl val="0"/>
      </c:catAx>
      <c:valAx>
        <c:axId val="448402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40247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22544.300000000003</c:v>
                </c:pt>
                <c:pt idx="1">
                  <c:v>24074.521936808989</c:v>
                </c:pt>
                <c:pt idx="2">
                  <c:v>29027.75748090979</c:v>
                </c:pt>
                <c:pt idx="3">
                  <c:v>34250.972840225004</c:v>
                </c:pt>
                <c:pt idx="4">
                  <c:v>41877.695434457033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07-4595-9C34-DDFD9C81DE24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9807.5</c:v>
                </c:pt>
                <c:pt idx="1">
                  <c:v>15424.621936808991</c:v>
                </c:pt>
                <c:pt idx="2">
                  <c:v>21852.45748090979</c:v>
                </c:pt>
                <c:pt idx="3">
                  <c:v>26370.272840225003</c:v>
                </c:pt>
                <c:pt idx="4">
                  <c:v>35086.095434457035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07-4595-9C34-DDFD9C81D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0762360"/>
        <c:axId val="550764000"/>
      </c:barChart>
      <c:catAx>
        <c:axId val="550762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64000"/>
        <c:crosses val="autoZero"/>
        <c:auto val="1"/>
        <c:lblAlgn val="ctr"/>
        <c:lblOffset val="100"/>
        <c:noMultiLvlLbl val="0"/>
      </c:catAx>
      <c:valAx>
        <c:axId val="5507640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6236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10521.2</c:v>
                </c:pt>
                <c:pt idx="1">
                  <c:v>10653</c:v>
                </c:pt>
                <c:pt idx="2">
                  <c:v>10800.3</c:v>
                </c:pt>
                <c:pt idx="3">
                  <c:v>12717.7</c:v>
                </c:pt>
                <c:pt idx="4">
                  <c:v>13717.300000000001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71-45DD-B711-89A273ABCC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785200"/>
        <c:axId val="625786184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14359.010927422762</c:v>
                </c:pt>
                <c:pt idx="1">
                  <c:v>15723.621936808991</c:v>
                </c:pt>
                <c:pt idx="2">
                  <c:v>18081.635544100802</c:v>
                </c:pt>
                <c:pt idx="3">
                  <c:v>19264.615359315212</c:v>
                </c:pt>
                <c:pt idx="4">
                  <c:v>21924.522594232036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171-45DD-B711-89A273ABCC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779296"/>
        <c:axId val="625789136"/>
      </c:lineChart>
      <c:catAx>
        <c:axId val="62578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86184"/>
        <c:crosses val="autoZero"/>
        <c:auto val="1"/>
        <c:lblAlgn val="ctr"/>
        <c:lblOffset val="100"/>
        <c:noMultiLvlLbl val="0"/>
      </c:catAx>
      <c:valAx>
        <c:axId val="6257861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85200"/>
        <c:crosses val="autoZero"/>
        <c:crossBetween val="between"/>
      </c:valAx>
      <c:valAx>
        <c:axId val="62578913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5779296"/>
        <c:crosses val="max"/>
        <c:crossBetween val="between"/>
      </c:valAx>
      <c:catAx>
        <c:axId val="625779296"/>
        <c:scaling>
          <c:orientation val="minMax"/>
        </c:scaling>
        <c:delete val="1"/>
        <c:axPos val="b"/>
        <c:majorTickMark val="out"/>
        <c:minorTickMark val="none"/>
        <c:tickLblPos val="nextTo"/>
        <c:crossAx val="625789136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Net_Profit_CF_To_Balance_Sheet!$C$4:$G$4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Net_Profit_CF_To_Balance_Sheet!$C$5:$G$5</c:f>
              <c:numCache>
                <c:formatCode>.00</c:formatCode>
                <c:ptCount val="5"/>
                <c:pt idx="0">
                  <c:v>1844.6109274227608</c:v>
                </c:pt>
                <c:pt idx="1">
                  <c:v>3060.9219368089912</c:v>
                </c:pt>
                <c:pt idx="2">
                  <c:v>5768.6355441008018</c:v>
                </c:pt>
                <c:pt idx="3">
                  <c:v>3874.5153593152118</c:v>
                </c:pt>
                <c:pt idx="4">
                  <c:v>6067.322594232035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74-4615-BA29-44E6B60E6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057840"/>
        <c:axId val="447057512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Net_Profit_CF_To_Balance_Sheet!$C$6:$G$6</c:f>
              <c:numCache>
                <c:formatCode>.00</c:formatCode>
                <c:ptCount val="5"/>
                <c:pt idx="0">
                  <c:v>2243.8109274227609</c:v>
                </c:pt>
                <c:pt idx="1">
                  <c:v>3461.121936808991</c:v>
                </c:pt>
                <c:pt idx="2">
                  <c:v>6160.2355441008021</c:v>
                </c:pt>
                <c:pt idx="3">
                  <c:v>4289.2153593152116</c:v>
                </c:pt>
                <c:pt idx="4">
                  <c:v>6067.322594232035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74-4615-BA29-44E6B60E6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062104"/>
        <c:axId val="447056200"/>
      </c:lineChart>
      <c:catAx>
        <c:axId val="44705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057512"/>
        <c:crosses val="autoZero"/>
        <c:auto val="1"/>
        <c:lblAlgn val="ctr"/>
        <c:lblOffset val="100"/>
        <c:noMultiLvlLbl val="0"/>
      </c:catAx>
      <c:valAx>
        <c:axId val="447057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057840"/>
        <c:crosses val="autoZero"/>
        <c:crossBetween val="between"/>
      </c:valAx>
      <c:valAx>
        <c:axId val="44705620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7062104"/>
        <c:crosses val="max"/>
        <c:crossBetween val="between"/>
      </c:valAx>
      <c:catAx>
        <c:axId val="447062104"/>
        <c:scaling>
          <c:orientation val="minMax"/>
        </c:scaling>
        <c:delete val="1"/>
        <c:axPos val="b"/>
        <c:majorTickMark val="out"/>
        <c:minorTickMark val="none"/>
        <c:tickLblPos val="nextTo"/>
        <c:crossAx val="447056200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778-4526-BFA6-A3623864A03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Dividend_Pay_Out_Ratio!$C$3:$G$3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Dividend_Pay_Out_Ratio!$C$12:$G$12</c:f>
              <c:numCache>
                <c:formatCode>General</c:formatCode>
                <c:ptCount val="5"/>
                <c:pt idx="0">
                  <c:v>0.18</c:v>
                </c:pt>
                <c:pt idx="1">
                  <c:v>0.1</c:v>
                </c:pt>
                <c:pt idx="2">
                  <c:v>0.06</c:v>
                </c:pt>
                <c:pt idx="3">
                  <c:v>0.1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778-4526-BFA6-A3623864A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754816"/>
        <c:axId val="550750552"/>
      </c:lineChart>
      <c:catAx>
        <c:axId val="55075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50552"/>
        <c:crosses val="autoZero"/>
        <c:auto val="0"/>
        <c:lblAlgn val="ctr"/>
        <c:lblOffset val="100"/>
        <c:noMultiLvlLbl val="0"/>
      </c:catAx>
      <c:valAx>
        <c:axId val="5507505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07548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E27-4BD7-8796-0E9FCC86EB03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E27-4BD7-8796-0E9FCC86EB0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Dividend_Retention_Ratio!$C$3:$G$3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Dividend_Retention_Ratio!$C$9:$G$9</c:f>
              <c:numCache>
                <c:formatCode>0.00%</c:formatCode>
                <c:ptCount val="5"/>
                <c:pt idx="0">
                  <c:v>-9.14</c:v>
                </c:pt>
                <c:pt idx="1">
                  <c:v>-10.32</c:v>
                </c:pt>
                <c:pt idx="2">
                  <c:v>-6.76</c:v>
                </c:pt>
                <c:pt idx="3">
                  <c:v>-10.41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E27-4BD7-8796-0E9FCC86E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514800"/>
        <c:axId val="627515128"/>
      </c:lineChart>
      <c:catAx>
        <c:axId val="62751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15128"/>
        <c:crosses val="autoZero"/>
        <c:auto val="0"/>
        <c:lblAlgn val="ctr"/>
        <c:lblOffset val="100"/>
        <c:noMultiLvlLbl val="0"/>
      </c:catAx>
      <c:valAx>
        <c:axId val="627515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275148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34E-45FE-9AA8-45F0DFAF8E42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34E-45FE-9AA8-45F0DFAF8E42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34E-45FE-9AA8-45F0DFAF8E42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934E-45FE-9AA8-45F0DFAF8E4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Gross_Profit!$C$8:$G$8</c:f>
              <c:numCache>
                <c:formatCode>.00</c:formatCode>
                <c:ptCount val="5"/>
                <c:pt idx="0">
                  <c:v>11571.9</c:v>
                </c:pt>
                <c:pt idx="1">
                  <c:v>12495.7</c:v>
                </c:pt>
                <c:pt idx="2">
                  <c:v>14475.2</c:v>
                </c:pt>
                <c:pt idx="3">
                  <c:v>14676.4</c:v>
                </c:pt>
                <c:pt idx="4">
                  <c:v>17126.7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4E-45FE-9AA8-45F0DFAF8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5896"/>
        <c:axId val="553815568"/>
      </c:lineChart>
      <c:catAx>
        <c:axId val="553815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5568"/>
        <c:crosses val="autoZero"/>
        <c:auto val="0"/>
        <c:lblAlgn val="ctr"/>
        <c:lblOffset val="100"/>
        <c:noMultiLvlLbl val="0"/>
      </c:catAx>
      <c:valAx>
        <c:axId val="553815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38158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89B-498A-BD51-041AC8F9E69B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89B-498A-BD51-041AC8F9E69B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89B-498A-BD51-041AC8F9E69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Net_Profit!$C$8:$G$8</c:f>
              <c:numCache>
                <c:formatCode>.00</c:formatCode>
                <c:ptCount val="5"/>
                <c:pt idx="0">
                  <c:v>3681.6</c:v>
                </c:pt>
                <c:pt idx="1">
                  <c:v>4732.1000000000004</c:v>
                </c:pt>
                <c:pt idx="2">
                  <c:v>6659.7</c:v>
                </c:pt>
                <c:pt idx="3">
                  <c:v>6254.5</c:v>
                </c:pt>
                <c:pt idx="4">
                  <c:v>7721.8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89B-498A-BD51-041AC8F9E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887944"/>
        <c:axId val="451885320"/>
      </c:lineChart>
      <c:catAx>
        <c:axId val="451887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885320"/>
        <c:crosses val="autoZero"/>
        <c:auto val="0"/>
        <c:lblAlgn val="ctr"/>
        <c:lblOffset val="100"/>
        <c:noMultiLvlLbl val="0"/>
      </c:catAx>
      <c:valAx>
        <c:axId val="451885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518879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2C8-450F-B1B9-AB774470384E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2C8-450F-B1B9-AB774470384E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2C8-450F-B1B9-AB774470384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Return_On_Assets!$C$3:$G$3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Return_On_Assets!$C$8:$G$8</c:f>
              <c:numCache>
                <c:formatCode>0.00%</c:formatCode>
                <c:ptCount val="5"/>
                <c:pt idx="0">
                  <c:v>0.1</c:v>
                </c:pt>
                <c:pt idx="1">
                  <c:v>0.14000000000000001</c:v>
                </c:pt>
                <c:pt idx="2">
                  <c:v>0.21</c:v>
                </c:pt>
                <c:pt idx="3">
                  <c:v>0.13</c:v>
                </c:pt>
                <c:pt idx="4">
                  <c:v>0.14000000000000001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2C8-450F-B1B9-AB7744703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264040"/>
        <c:axId val="451266992"/>
      </c:lineChart>
      <c:catAx>
        <c:axId val="451264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266992"/>
        <c:crosses val="autoZero"/>
        <c:auto val="0"/>
        <c:lblAlgn val="ctr"/>
        <c:lblOffset val="100"/>
        <c:noMultiLvlLbl val="0"/>
      </c:catAx>
      <c:valAx>
        <c:axId val="451266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512640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84A-4819-847E-01CDB6017E26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84A-4819-847E-01CDB6017E26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84A-4819-847E-01CDB6017E2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Return_On_Capital_Employeed!$C$3:$G$3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Return_On_Capital_Employeed!$C$9:$G$9</c:f>
              <c:numCache>
                <c:formatCode>0.00%</c:formatCode>
                <c:ptCount val="5"/>
                <c:pt idx="0">
                  <c:v>0.26</c:v>
                </c:pt>
                <c:pt idx="1">
                  <c:v>0.56999999999999995</c:v>
                </c:pt>
                <c:pt idx="2">
                  <c:v>1.71</c:v>
                </c:pt>
                <c:pt idx="3">
                  <c:v>0.89</c:v>
                </c:pt>
                <c:pt idx="4">
                  <c:v>1.07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84A-4819-847E-01CDB6017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6240"/>
        <c:axId val="553646896"/>
      </c:lineChart>
      <c:catAx>
        <c:axId val="55364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6896"/>
        <c:crosses val="autoZero"/>
        <c:auto val="0"/>
        <c:lblAlgn val="ctr"/>
        <c:lblOffset val="100"/>
        <c:noMultiLvlLbl val="0"/>
      </c:catAx>
      <c:valAx>
        <c:axId val="5536468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36462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01BBC4-4D34-5681-23D1-6FF5D68257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E232A6-C059-DBEB-46E3-1A4DECE3E5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FD3E18-74B4-134A-EACA-8890D53DDB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9F849C-4E8B-1B52-26F2-E9BAE6E4CB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C1E9B7-6E48-6DE2-EA56-9D6C004F4A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32ECAE-6CE7-5F1B-0C0D-A6815AEFA3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668A5E-9865-7562-EF02-D936365D34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54DDC8-B8DE-ABE6-3B30-3AFC6E868B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1EB295-19CB-0E9D-1AC5-31E193E525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DFE18D-B4CE-B55F-94E1-ED32FFAB18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6BAEE5-BC43-E34D-9864-674F28C7E4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093D47-5BBE-84D5-8C1F-C7DE3D6486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28F19B-D849-96CE-9473-18FFA7CA88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166F19-51EA-C473-2682-CA92D6C271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9AE6AB-175E-F384-EE12-369A303EAF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FDA29F-1C46-F1A5-0128-1935B37166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5B7A7A-D8C4-116E-4A7D-C2B89A6D81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1BD0BA-8B93-3712-DCC7-8005756ECC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38D0DA-DBA8-92A7-A547-4AB38E030A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1C9E15-CB35-1A04-B2AE-46C3E30620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C42CDB93-175B-A06F-9DD7-4EE14BDF04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3668E22B-8F32-ECDA-37E5-A3FE629274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9CD2F0-60F8-BA7B-2752-AF1F16E83A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65E2CF39-2BBF-37DE-580E-ABF0A8F690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19D6AEB2-44FA-7796-68F5-6E77202A97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768CFAA9-B5ED-09D6-9AAC-672F8DE6AF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4D06F911-2849-6C1F-084D-A5E7D8AFFD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873632E3-F732-2517-0C9F-3C76448671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4D06C16E-185B-A5CE-1416-BBC3C8960F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F79A629A-C436-6BE1-0947-CBD9891CB1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3786991D-D308-A9ED-4A09-70908171DD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82D402C9-8241-0114-FE1C-0BB8575EA0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667C47AB-4988-92A9-5C42-9B97A15D77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DDAEDF-9DF0-B842-9F44-69175DEB43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C5D9C7-1873-67AE-2CBD-29FBE6040E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124807-77B0-9DDB-02BB-6A570CD284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4A2611-5E4C-D78D-4385-5EF146B03C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AEC244-25D1-CF2A-6D82-49BFA1B6A1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CA4300-B6B4-92A4-1C4D-32EF90CAF4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F17B3-14D6-49F7-BF10-757C65D65C80}">
  <dimension ref="A1:O55"/>
  <sheetViews>
    <sheetView topLeftCell="A45" workbookViewId="0">
      <selection activeCell="A55" sqref="A55"/>
    </sheetView>
  </sheetViews>
  <sheetFormatPr defaultRowHeight="15" x14ac:dyDescent="0.25"/>
  <sheetData>
    <row r="1" spans="1:15" x14ac:dyDescent="0.25">
      <c r="F1" s="45" t="s">
        <v>271</v>
      </c>
      <c r="O1" s="46"/>
    </row>
    <row r="2" spans="1:15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3</v>
      </c>
      <c r="H4" t="s">
        <v>1</v>
      </c>
    </row>
    <row r="5" spans="1:15" x14ac:dyDescent="0.25">
      <c r="B5" t="s">
        <v>4</v>
      </c>
      <c r="H5" t="s">
        <v>1</v>
      </c>
    </row>
    <row r="6" spans="1:15" x14ac:dyDescent="0.25">
      <c r="A6" t="s">
        <v>5</v>
      </c>
      <c r="B6" t="s">
        <v>5</v>
      </c>
      <c r="C6">
        <v>83</v>
      </c>
      <c r="D6">
        <v>83</v>
      </c>
      <c r="E6">
        <v>83.1</v>
      </c>
      <c r="F6">
        <v>83.2</v>
      </c>
      <c r="G6">
        <v>83.2</v>
      </c>
      <c r="H6" t="s">
        <v>1</v>
      </c>
    </row>
    <row r="7" spans="1:15" x14ac:dyDescent="0.25">
      <c r="B7" t="s">
        <v>6</v>
      </c>
      <c r="C7">
        <v>83</v>
      </c>
      <c r="D7">
        <v>83</v>
      </c>
      <c r="E7">
        <v>83.1</v>
      </c>
      <c r="F7">
        <v>83.2</v>
      </c>
      <c r="G7">
        <v>83.2</v>
      </c>
      <c r="H7" t="s">
        <v>1</v>
      </c>
    </row>
    <row r="8" spans="1:15" x14ac:dyDescent="0.25">
      <c r="A8" t="s">
        <v>90</v>
      </c>
      <c r="B8" t="s">
        <v>7</v>
      </c>
      <c r="C8" s="2">
        <v>12488.6</v>
      </c>
      <c r="D8" s="2">
        <v>13940.6</v>
      </c>
      <c r="E8" s="2">
        <v>15515.7</v>
      </c>
      <c r="F8" s="2">
        <v>17558.5</v>
      </c>
      <c r="G8" s="2">
        <v>19129.2</v>
      </c>
      <c r="H8" t="s">
        <v>1</v>
      </c>
    </row>
    <row r="9" spans="1:15" x14ac:dyDescent="0.25">
      <c r="B9" t="s">
        <v>8</v>
      </c>
      <c r="C9" s="2">
        <v>12488.6</v>
      </c>
      <c r="D9" s="2">
        <v>13940.6</v>
      </c>
      <c r="E9" s="2">
        <v>15515.7</v>
      </c>
      <c r="F9" s="2">
        <v>17558.5</v>
      </c>
      <c r="G9" s="2">
        <v>19129.2</v>
      </c>
      <c r="H9" t="s">
        <v>1</v>
      </c>
    </row>
    <row r="10" spans="1:15" x14ac:dyDescent="0.25">
      <c r="B10" t="s">
        <v>9</v>
      </c>
      <c r="C10" s="2">
        <v>12571.6</v>
      </c>
      <c r="D10" s="2">
        <v>14023.6</v>
      </c>
      <c r="E10" s="2">
        <v>15598.8</v>
      </c>
      <c r="F10" s="2">
        <v>17641.7</v>
      </c>
      <c r="G10" s="2">
        <v>19212.400000000001</v>
      </c>
      <c r="H10" t="s">
        <v>1</v>
      </c>
    </row>
    <row r="11" spans="1:15" x14ac:dyDescent="0.25">
      <c r="A11" t="s">
        <v>10</v>
      </c>
      <c r="B11" t="s">
        <v>10</v>
      </c>
      <c r="C11">
        <v>0</v>
      </c>
      <c r="D11">
        <v>0</v>
      </c>
      <c r="E11">
        <v>0</v>
      </c>
      <c r="F11">
        <v>0</v>
      </c>
      <c r="G11">
        <v>0</v>
      </c>
      <c r="H11" t="s">
        <v>1</v>
      </c>
    </row>
    <row r="12" spans="1:15" x14ac:dyDescent="0.25">
      <c r="B12" t="s">
        <v>11</v>
      </c>
      <c r="H12" t="s">
        <v>1</v>
      </c>
    </row>
    <row r="13" spans="1:15" x14ac:dyDescent="0.25">
      <c r="A13" t="s">
        <v>91</v>
      </c>
      <c r="B13" t="s">
        <v>12</v>
      </c>
      <c r="C13">
        <v>2508.9</v>
      </c>
      <c r="D13">
        <v>2200</v>
      </c>
      <c r="E13">
        <v>130.4</v>
      </c>
      <c r="F13" s="2">
        <v>629.9</v>
      </c>
      <c r="G13" s="2">
        <v>574.6</v>
      </c>
      <c r="H13" t="s">
        <v>1</v>
      </c>
    </row>
    <row r="14" spans="1:15" x14ac:dyDescent="0.25">
      <c r="A14" t="s">
        <v>91</v>
      </c>
      <c r="B14" t="s">
        <v>13</v>
      </c>
      <c r="C14">
        <v>195</v>
      </c>
      <c r="D14">
        <v>47.3</v>
      </c>
      <c r="E14">
        <v>2</v>
      </c>
      <c r="F14">
        <v>28.9</v>
      </c>
      <c r="G14">
        <v>1.4</v>
      </c>
      <c r="H14" t="s">
        <v>1</v>
      </c>
    </row>
    <row r="15" spans="1:15" x14ac:dyDescent="0.25">
      <c r="A15" t="s">
        <v>92</v>
      </c>
      <c r="B15" t="s">
        <v>14</v>
      </c>
      <c r="C15">
        <v>293.3</v>
      </c>
      <c r="D15">
        <v>218.1</v>
      </c>
      <c r="E15">
        <v>205.5</v>
      </c>
      <c r="F15">
        <v>161.69999999999999</v>
      </c>
      <c r="G15">
        <v>166.9</v>
      </c>
      <c r="H15" t="s">
        <v>1</v>
      </c>
    </row>
    <row r="16" spans="1:15" x14ac:dyDescent="0.25">
      <c r="A16" t="s">
        <v>93</v>
      </c>
      <c r="B16" t="s">
        <v>15</v>
      </c>
      <c r="C16">
        <v>81.7</v>
      </c>
      <c r="D16">
        <v>79.3</v>
      </c>
      <c r="E16">
        <v>74.5</v>
      </c>
      <c r="F16">
        <v>50.8</v>
      </c>
      <c r="G16">
        <v>25.8</v>
      </c>
      <c r="H16" t="s">
        <v>1</v>
      </c>
    </row>
    <row r="17" spans="1:8" x14ac:dyDescent="0.25">
      <c r="B17" t="s">
        <v>16</v>
      </c>
      <c r="C17">
        <v>3078.9</v>
      </c>
      <c r="D17">
        <v>2544.6999999999998</v>
      </c>
      <c r="E17">
        <v>412.4</v>
      </c>
      <c r="F17" s="2">
        <v>871.3</v>
      </c>
      <c r="G17" s="2">
        <v>768.7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2556.1999999999998</v>
      </c>
      <c r="D19" s="2">
        <v>1212.5</v>
      </c>
      <c r="E19" s="2">
        <v>1653.2</v>
      </c>
      <c r="F19" s="2">
        <v>2314.5</v>
      </c>
      <c r="G19" s="2">
        <v>2708.2</v>
      </c>
      <c r="H19" t="s">
        <v>1</v>
      </c>
    </row>
    <row r="20" spans="1:8" x14ac:dyDescent="0.25">
      <c r="A20" t="s">
        <v>92</v>
      </c>
      <c r="B20" t="s">
        <v>19</v>
      </c>
      <c r="C20" s="2">
        <v>1334.5</v>
      </c>
      <c r="D20" s="2">
        <v>1367.1</v>
      </c>
      <c r="E20" s="2">
        <v>1524.8</v>
      </c>
      <c r="F20" s="2">
        <v>1810.9</v>
      </c>
      <c r="G20" s="2">
        <v>2266.1999999999998</v>
      </c>
      <c r="H20" t="s">
        <v>1</v>
      </c>
    </row>
    <row r="21" spans="1:8" x14ac:dyDescent="0.25">
      <c r="A21" t="s">
        <v>92</v>
      </c>
      <c r="B21" t="s">
        <v>20</v>
      </c>
      <c r="C21" s="2">
        <v>2564.4</v>
      </c>
      <c r="D21" s="2">
        <v>2838.8</v>
      </c>
      <c r="E21" s="2">
        <v>3569.2</v>
      </c>
      <c r="F21" s="2">
        <v>3476.9</v>
      </c>
      <c r="G21" s="2">
        <v>4204.8</v>
      </c>
      <c r="H21" t="s">
        <v>1</v>
      </c>
    </row>
    <row r="22" spans="1:8" x14ac:dyDescent="0.25">
      <c r="A22" t="s">
        <v>93</v>
      </c>
      <c r="B22" t="s">
        <v>21</v>
      </c>
      <c r="C22">
        <v>438.7</v>
      </c>
      <c r="D22">
        <v>478.9</v>
      </c>
      <c r="E22">
        <v>466.9</v>
      </c>
      <c r="F22">
        <v>501.5</v>
      </c>
      <c r="G22">
        <v>586.6</v>
      </c>
      <c r="H22" t="s">
        <v>1</v>
      </c>
    </row>
    <row r="23" spans="1:8" x14ac:dyDescent="0.25">
      <c r="B23" t="s">
        <v>22</v>
      </c>
      <c r="C23" s="2">
        <v>6893.8</v>
      </c>
      <c r="D23" s="2">
        <v>5897.3</v>
      </c>
      <c r="E23" s="2">
        <v>7214.1</v>
      </c>
      <c r="F23" s="2">
        <v>8103.8</v>
      </c>
      <c r="G23" s="2">
        <v>9765.7999999999993</v>
      </c>
      <c r="H23" t="s">
        <v>1</v>
      </c>
    </row>
    <row r="24" spans="1:8" x14ac:dyDescent="0.25">
      <c r="B24" t="s">
        <v>23</v>
      </c>
      <c r="C24" s="2">
        <v>22544.3</v>
      </c>
      <c r="D24" s="2">
        <v>22465.599999999999</v>
      </c>
      <c r="E24" s="2">
        <v>23225.3</v>
      </c>
      <c r="F24" s="2">
        <v>26616.799999999999</v>
      </c>
      <c r="G24" s="2">
        <v>29746.9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4973.3</v>
      </c>
      <c r="D27" s="2">
        <v>4912.7</v>
      </c>
      <c r="E27" s="2">
        <v>4777.8999999999996</v>
      </c>
      <c r="F27" s="2">
        <v>4732.2</v>
      </c>
      <c r="G27" s="2">
        <v>8867.6</v>
      </c>
      <c r="H27" t="s">
        <v>1</v>
      </c>
    </row>
    <row r="28" spans="1:8" x14ac:dyDescent="0.25">
      <c r="A28" t="s">
        <v>29</v>
      </c>
      <c r="B28" t="s">
        <v>27</v>
      </c>
      <c r="C28">
        <v>1461.6</v>
      </c>
      <c r="D28" s="2">
        <v>1812.4</v>
      </c>
      <c r="E28" s="2">
        <v>1581.1</v>
      </c>
      <c r="F28" s="2">
        <v>2913.6</v>
      </c>
      <c r="G28" s="2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767.8</v>
      </c>
      <c r="D29">
        <v>472.5</v>
      </c>
      <c r="E29">
        <v>436.4</v>
      </c>
      <c r="F29">
        <v>953.9</v>
      </c>
      <c r="G29">
        <v>0</v>
      </c>
      <c r="H29" t="s">
        <v>1</v>
      </c>
    </row>
    <row r="30" spans="1:8" x14ac:dyDescent="0.25">
      <c r="B30" t="s">
        <v>29</v>
      </c>
      <c r="C30" s="2">
        <v>9905.4</v>
      </c>
      <c r="D30" s="2">
        <v>9658.6</v>
      </c>
      <c r="E30" s="2">
        <v>7894.1</v>
      </c>
      <c r="F30" s="2">
        <v>9210.9</v>
      </c>
      <c r="G30" s="2">
        <v>8867.6</v>
      </c>
      <c r="H30" t="s">
        <v>1</v>
      </c>
    </row>
    <row r="31" spans="1:8" x14ac:dyDescent="0.25">
      <c r="A31" t="s">
        <v>94</v>
      </c>
      <c r="B31" t="s">
        <v>30</v>
      </c>
      <c r="C31">
        <v>465.3</v>
      </c>
      <c r="D31">
        <v>334.2</v>
      </c>
      <c r="E31">
        <v>309.10000000000002</v>
      </c>
      <c r="F31">
        <v>833.3</v>
      </c>
      <c r="G31">
        <v>598.6</v>
      </c>
      <c r="H31" t="s">
        <v>1</v>
      </c>
    </row>
    <row r="32" spans="1:8" x14ac:dyDescent="0.25">
      <c r="A32" t="s">
        <v>95</v>
      </c>
      <c r="B32" t="s">
        <v>31</v>
      </c>
      <c r="C32" s="2">
        <v>540.5</v>
      </c>
      <c r="D32" s="2">
        <v>431.7</v>
      </c>
      <c r="E32" s="2">
        <v>1219.9000000000001</v>
      </c>
      <c r="F32">
        <v>1068.5999999999999</v>
      </c>
      <c r="G32">
        <v>1277</v>
      </c>
      <c r="H32" t="s">
        <v>1</v>
      </c>
    </row>
    <row r="33" spans="1:8" x14ac:dyDescent="0.25">
      <c r="A33" t="s">
        <v>95</v>
      </c>
      <c r="B33" t="s">
        <v>32</v>
      </c>
      <c r="C33">
        <v>0</v>
      </c>
      <c r="D33">
        <v>0</v>
      </c>
      <c r="E33">
        <v>0</v>
      </c>
      <c r="F33">
        <v>0</v>
      </c>
      <c r="G33">
        <v>0</v>
      </c>
      <c r="H33" t="s">
        <v>1</v>
      </c>
    </row>
    <row r="34" spans="1:8" x14ac:dyDescent="0.25">
      <c r="A34" t="s">
        <v>95</v>
      </c>
      <c r="B34" t="s">
        <v>33</v>
      </c>
      <c r="C34">
        <v>601.6</v>
      </c>
      <c r="D34">
        <v>465.1</v>
      </c>
      <c r="E34">
        <v>711.8</v>
      </c>
      <c r="F34">
        <v>393.8</v>
      </c>
      <c r="G34">
        <v>345.6</v>
      </c>
      <c r="H34" t="s">
        <v>1</v>
      </c>
    </row>
    <row r="35" spans="1:8" x14ac:dyDescent="0.25">
      <c r="B35" t="s">
        <v>34</v>
      </c>
      <c r="C35" s="2">
        <v>12045.9</v>
      </c>
      <c r="D35" s="2">
        <v>11355.5</v>
      </c>
      <c r="E35" s="2">
        <v>10626.2</v>
      </c>
      <c r="F35" s="2">
        <v>12066.5</v>
      </c>
      <c r="G35" s="2">
        <v>11636.1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1833</v>
      </c>
      <c r="D37" s="2">
        <v>2252.9</v>
      </c>
      <c r="E37" s="2">
        <v>2368.6999999999998</v>
      </c>
      <c r="F37" s="2">
        <v>1974.4</v>
      </c>
      <c r="G37" s="2">
        <v>2017.3</v>
      </c>
      <c r="H37" t="s">
        <v>1</v>
      </c>
    </row>
    <row r="38" spans="1:8" x14ac:dyDescent="0.25">
      <c r="A38" t="s">
        <v>96</v>
      </c>
      <c r="B38" t="s">
        <v>37</v>
      </c>
      <c r="C38" s="2">
        <v>2908.9</v>
      </c>
      <c r="D38" s="2">
        <v>3357.9</v>
      </c>
      <c r="E38" s="2">
        <v>3506.7</v>
      </c>
      <c r="F38" s="2">
        <v>4541.2</v>
      </c>
      <c r="G38" s="2">
        <v>5088.3999999999996</v>
      </c>
      <c r="H38" t="s">
        <v>1</v>
      </c>
    </row>
    <row r="39" spans="1:8" x14ac:dyDescent="0.25">
      <c r="A39" t="s">
        <v>96</v>
      </c>
      <c r="B39" t="s">
        <v>38</v>
      </c>
      <c r="C39" s="2">
        <v>4052.7</v>
      </c>
      <c r="D39" s="2">
        <v>3986.9</v>
      </c>
      <c r="E39" s="2">
        <v>5027.8</v>
      </c>
      <c r="F39" s="2">
        <v>4964.1000000000004</v>
      </c>
      <c r="G39" s="2">
        <v>6676.4</v>
      </c>
      <c r="H39" t="s">
        <v>1</v>
      </c>
    </row>
    <row r="40" spans="1:8" x14ac:dyDescent="0.25">
      <c r="A40" t="s">
        <v>96</v>
      </c>
      <c r="B40" t="s">
        <v>39</v>
      </c>
      <c r="C40" s="2">
        <v>263.8</v>
      </c>
      <c r="D40" s="2">
        <v>222.8</v>
      </c>
      <c r="E40">
        <v>205.3</v>
      </c>
      <c r="F40">
        <v>1482.9</v>
      </c>
      <c r="G40">
        <v>2419.1999999999998</v>
      </c>
      <c r="H40" t="s">
        <v>1</v>
      </c>
    </row>
    <row r="41" spans="1:8" x14ac:dyDescent="0.25">
      <c r="A41" t="s">
        <v>95</v>
      </c>
      <c r="B41" t="s">
        <v>40</v>
      </c>
      <c r="C41">
        <v>0</v>
      </c>
      <c r="D41">
        <v>0</v>
      </c>
      <c r="E41">
        <v>0</v>
      </c>
      <c r="F41">
        <v>0</v>
      </c>
      <c r="G41">
        <v>0</v>
      </c>
      <c r="H41" t="s">
        <v>1</v>
      </c>
    </row>
    <row r="42" spans="1:8" x14ac:dyDescent="0.25">
      <c r="A42" t="s">
        <v>95</v>
      </c>
      <c r="B42" t="s">
        <v>41</v>
      </c>
      <c r="C42" s="2">
        <v>1440</v>
      </c>
      <c r="D42" s="2">
        <v>1289.5999999999999</v>
      </c>
      <c r="E42" s="2">
        <v>1490.6</v>
      </c>
      <c r="F42" s="2">
        <v>1587.7</v>
      </c>
      <c r="G42" s="2">
        <v>1909.5</v>
      </c>
      <c r="H42" t="s">
        <v>1</v>
      </c>
    </row>
    <row r="43" spans="1:8" x14ac:dyDescent="0.25">
      <c r="B43" t="s">
        <v>42</v>
      </c>
      <c r="C43" s="2">
        <v>10498.4</v>
      </c>
      <c r="D43" s="2">
        <v>11110.1</v>
      </c>
      <c r="E43" s="2">
        <v>12599.1</v>
      </c>
      <c r="F43" s="2">
        <v>14550.3</v>
      </c>
      <c r="G43" s="2">
        <v>18110.8</v>
      </c>
      <c r="H43" t="s">
        <v>1</v>
      </c>
    </row>
    <row r="44" spans="1:8" x14ac:dyDescent="0.25">
      <c r="B44" t="s">
        <v>43</v>
      </c>
      <c r="C44" s="2">
        <v>22544.3</v>
      </c>
      <c r="D44" s="2">
        <v>22465.599999999999</v>
      </c>
      <c r="E44" s="2">
        <v>23225.3</v>
      </c>
      <c r="F44" s="2">
        <v>26616.799999999999</v>
      </c>
      <c r="G44" s="2">
        <v>29746.9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871.1</v>
      </c>
      <c r="D47" s="2">
        <v>577.9</v>
      </c>
      <c r="E47" s="2">
        <v>1040.5999999999999</v>
      </c>
      <c r="F47">
        <v>1077.4000000000001</v>
      </c>
      <c r="G47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55.87</v>
      </c>
      <c r="D49">
        <v>55.87</v>
      </c>
      <c r="E49">
        <v>55.87</v>
      </c>
      <c r="F49">
        <v>55.87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119.4</v>
      </c>
      <c r="D51">
        <v>79.099999999999994</v>
      </c>
      <c r="E51">
        <v>30.3</v>
      </c>
      <c r="F51">
        <v>453.2</v>
      </c>
      <c r="G51">
        <v>0</v>
      </c>
      <c r="H51" t="s">
        <v>1</v>
      </c>
    </row>
    <row r="52" spans="2:8" x14ac:dyDescent="0.25">
      <c r="B52" t="s">
        <v>51</v>
      </c>
      <c r="C52">
        <v>631.79999999999995</v>
      </c>
      <c r="D52" s="2">
        <v>2255.1</v>
      </c>
      <c r="E52" s="2">
        <v>2371.1999999999998</v>
      </c>
      <c r="F52" s="2">
        <v>2017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1336.7</v>
      </c>
      <c r="D55">
        <v>0</v>
      </c>
      <c r="E55">
        <v>0</v>
      </c>
      <c r="F55">
        <v>0</v>
      </c>
      <c r="G55" s="2">
        <v>0</v>
      </c>
      <c r="H55" t="s">
        <v>1</v>
      </c>
    </row>
  </sheetData>
  <hyperlinks>
    <hyperlink ref="F1" location="Index_Data!A1" tooltip="Hi click here To return Index page" display="Index_Data!A1" xr:uid="{11AF0E2E-78B3-4CBE-B104-FEBBF0B3F3A2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A8A75-9BD9-40DB-841F-A7F304399C18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149</v>
      </c>
      <c r="C5" s="44"/>
      <c r="D5" s="44"/>
      <c r="E5" s="44"/>
      <c r="F5" s="44"/>
      <c r="G5" s="44"/>
    </row>
    <row r="6" spans="2:15" ht="18.75" x14ac:dyDescent="0.25">
      <c r="B6" s="12" t="str">
        <f>Balance_Sheet!B13</f>
        <v>Net Worth</v>
      </c>
      <c r="C6" s="13">
        <f>Balance_Sheet!C13</f>
        <v>12571.6</v>
      </c>
      <c r="D6" s="13">
        <f>Balance_Sheet!D13</f>
        <v>15632.521936808991</v>
      </c>
      <c r="E6" s="13">
        <f>Balance_Sheet!E13</f>
        <v>21401.257480909793</v>
      </c>
      <c r="F6" s="13">
        <f>Balance_Sheet!F13</f>
        <v>25275.872840225009</v>
      </c>
      <c r="G6" s="13">
        <f>Balance_Sheet!G13</f>
        <v>31343.195434457044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39.365103989872999</v>
      </c>
      <c r="D7" s="13">
        <f>Income_Statement!D61</f>
        <v>29.33154183736433</v>
      </c>
      <c r="E7" s="13">
        <f>Income_Statement!E61</f>
        <v>50.493733968039365</v>
      </c>
      <c r="F7" s="13">
        <f>Income_Statement!F61</f>
        <v>36.349282706061118</v>
      </c>
      <c r="G7" s="13">
        <f>Income_Statement!G61</f>
        <v>45.964565107818444</v>
      </c>
    </row>
    <row r="8" spans="2:15" ht="18.75" x14ac:dyDescent="0.25">
      <c r="B8" s="14" t="s">
        <v>150</v>
      </c>
      <c r="C8" s="14">
        <f>ROUND(C6/C7, 2)</f>
        <v>319.36</v>
      </c>
      <c r="D8" s="14">
        <f t="shared" ref="D8:G8" si="0">ROUND(D6/D7, 2)</f>
        <v>532.96</v>
      </c>
      <c r="E8" s="14">
        <f t="shared" si="0"/>
        <v>423.84</v>
      </c>
      <c r="F8" s="14">
        <f t="shared" si="0"/>
        <v>695.36</v>
      </c>
      <c r="G8" s="14">
        <f t="shared" si="0"/>
        <v>681.9</v>
      </c>
    </row>
  </sheetData>
  <mergeCells count="1">
    <mergeCell ref="B5:G5"/>
  </mergeCells>
  <hyperlinks>
    <hyperlink ref="F1" location="Index_Data!A1" tooltip="Hi click here To return Index page" display="Index_Data!A1" xr:uid="{4714607F-66FE-4667-BF01-72E365673526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98636-88E1-4C40-871B-E9BD1FD2874D}">
  <dimension ref="B1:O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151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399.2</v>
      </c>
      <c r="D6" s="13">
        <f>Income_Statement!D51</f>
        <v>332</v>
      </c>
      <c r="E6" s="13">
        <f>Income_Statement!E51</f>
        <v>391.6</v>
      </c>
      <c r="F6" s="13">
        <f>Income_Statement!F51</f>
        <v>414.7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39.365103989872999</v>
      </c>
      <c r="D7" s="13">
        <f>Income_Statement!D61</f>
        <v>29.33154183736433</v>
      </c>
      <c r="E7" s="13">
        <f>Income_Statement!E61</f>
        <v>50.493733968039365</v>
      </c>
      <c r="F7" s="13">
        <f>Income_Statement!F61</f>
        <v>36.349282706061118</v>
      </c>
      <c r="G7" s="13">
        <f>Income_Statement!G61</f>
        <v>45.964565107818444</v>
      </c>
    </row>
    <row r="8" spans="2:15" ht="18.75" x14ac:dyDescent="0.25">
      <c r="B8" s="12" t="s">
        <v>148</v>
      </c>
      <c r="C8" s="13">
        <f>ROUND(C6/C7, 2)</f>
        <v>10.14</v>
      </c>
      <c r="D8" s="13">
        <f t="shared" ref="D8:G8" si="0">ROUND(D6/D7, 2)</f>
        <v>11.32</v>
      </c>
      <c r="E8" s="13">
        <f t="shared" si="0"/>
        <v>7.76</v>
      </c>
      <c r="F8" s="13">
        <f t="shared" si="0"/>
        <v>11.41</v>
      </c>
      <c r="G8" s="13">
        <f t="shared" si="0"/>
        <v>0</v>
      </c>
    </row>
    <row r="9" spans="2:15" ht="18.75" x14ac:dyDescent="0.25">
      <c r="B9" s="12" t="str">
        <f>Income_Statement!B49</f>
        <v>Reported Net Profit(PAT)</v>
      </c>
      <c r="C9" s="13">
        <f>Income_Statement!C49</f>
        <v>2243.8109274227609</v>
      </c>
      <c r="D9" s="13">
        <f>Income_Statement!D49</f>
        <v>3461.121936808991</v>
      </c>
      <c r="E9" s="13">
        <f>Income_Statement!E49</f>
        <v>6160.2355441008021</v>
      </c>
      <c r="F9" s="13">
        <f>Income_Statement!F49</f>
        <v>4289.2153593152116</v>
      </c>
      <c r="G9" s="13">
        <f>Income_Statement!G49</f>
        <v>6067.322594232035</v>
      </c>
    </row>
    <row r="10" spans="2:15" ht="18.75" x14ac:dyDescent="0.25">
      <c r="B10" s="12" t="str">
        <f>Income_Statement!B61</f>
        <v>Total Shares Outstanding(cr)</v>
      </c>
      <c r="C10" s="13">
        <f>Income_Statement!C61</f>
        <v>39.365103989872999</v>
      </c>
      <c r="D10" s="13">
        <f>Income_Statement!D61</f>
        <v>29.33154183736433</v>
      </c>
      <c r="E10" s="13">
        <f>Income_Statement!E61</f>
        <v>50.493733968039365</v>
      </c>
      <c r="F10" s="13">
        <f>Income_Statement!F61</f>
        <v>36.349282706061118</v>
      </c>
      <c r="G10" s="13">
        <f>Income_Statement!G61</f>
        <v>45.964565107818444</v>
      </c>
    </row>
    <row r="11" spans="2:15" ht="18.75" x14ac:dyDescent="0.25">
      <c r="B11" s="12" t="s">
        <v>146</v>
      </c>
      <c r="C11" s="13">
        <f>C9/C10</f>
        <v>57</v>
      </c>
      <c r="D11" s="13">
        <f t="shared" ref="D11:G11" si="1">D9/D10</f>
        <v>118</v>
      </c>
      <c r="E11" s="13">
        <f t="shared" si="1"/>
        <v>121.99999999999999</v>
      </c>
      <c r="F11" s="13">
        <f t="shared" si="1"/>
        <v>117.99999999999999</v>
      </c>
      <c r="G11" s="13">
        <f t="shared" si="1"/>
        <v>132</v>
      </c>
    </row>
    <row r="12" spans="2:15" ht="18.75" x14ac:dyDescent="0.25">
      <c r="B12" s="14" t="s">
        <v>152</v>
      </c>
      <c r="C12" s="14">
        <f>ROUND(C8/C11, 2)</f>
        <v>0.18</v>
      </c>
      <c r="D12" s="14">
        <f t="shared" ref="D12:G12" si="2">ROUND(D8/D11, 2)</f>
        <v>0.1</v>
      </c>
      <c r="E12" s="14">
        <f t="shared" si="2"/>
        <v>0.06</v>
      </c>
      <c r="F12" s="14">
        <f t="shared" si="2"/>
        <v>0.1</v>
      </c>
      <c r="G12" s="14">
        <f t="shared" si="2"/>
        <v>0</v>
      </c>
    </row>
  </sheetData>
  <mergeCells count="1">
    <mergeCell ref="B5:G5"/>
  </mergeCells>
  <hyperlinks>
    <hyperlink ref="F1" location="Index_Data!A1" tooltip="Hi click here To return Index page" display="Index_Data!A1" xr:uid="{3DCB7BC0-0145-4605-BD75-8F4E4ADCF0F0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EAA24-E25A-4EE6-B1C8-68E18B0E3A57}">
  <dimension ref="B1:O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3" width="13.5703125" bestFit="1" customWidth="1"/>
    <col min="4" max="4" width="15.140625" bestFit="1" customWidth="1"/>
    <col min="5" max="5" width="13.5703125" bestFit="1" customWidth="1"/>
    <col min="6" max="6" width="15.140625" bestFit="1" customWidth="1"/>
    <col min="7" max="7" width="12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153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399.2</v>
      </c>
      <c r="D6" s="13">
        <f>Income_Statement!D51</f>
        <v>332</v>
      </c>
      <c r="E6" s="13">
        <f>Income_Statement!E51</f>
        <v>391.6</v>
      </c>
      <c r="F6" s="13">
        <f>Income_Statement!F51</f>
        <v>414.7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39.365103989872999</v>
      </c>
      <c r="D7" s="13">
        <f>Income_Statement!D61</f>
        <v>29.33154183736433</v>
      </c>
      <c r="E7" s="13">
        <f>Income_Statement!E61</f>
        <v>50.493733968039365</v>
      </c>
      <c r="F7" s="13">
        <f>Income_Statement!F61</f>
        <v>36.349282706061118</v>
      </c>
      <c r="G7" s="13">
        <f>Income_Statement!G61</f>
        <v>45.964565107818444</v>
      </c>
    </row>
    <row r="8" spans="2:15" ht="18.75" x14ac:dyDescent="0.25">
      <c r="B8" s="12" t="s">
        <v>154</v>
      </c>
      <c r="C8" s="13">
        <f>ROUND(C6/C7, 2)</f>
        <v>10.14</v>
      </c>
      <c r="D8" s="13">
        <f t="shared" ref="D8:G8" si="0">ROUND(D6/D7, 2)</f>
        <v>11.32</v>
      </c>
      <c r="E8" s="13">
        <f t="shared" si="0"/>
        <v>7.76</v>
      </c>
      <c r="F8" s="13">
        <f t="shared" si="0"/>
        <v>11.41</v>
      </c>
      <c r="G8" s="13">
        <f t="shared" si="0"/>
        <v>0</v>
      </c>
    </row>
    <row r="9" spans="2:15" ht="18.75" x14ac:dyDescent="0.25">
      <c r="B9" s="14" t="s">
        <v>155</v>
      </c>
      <c r="C9" s="15">
        <f>1-C8</f>
        <v>-9.14</v>
      </c>
      <c r="D9" s="15">
        <f t="shared" ref="D9:G9" si="1">1-D8</f>
        <v>-10.32</v>
      </c>
      <c r="E9" s="15">
        <f t="shared" si="1"/>
        <v>-6.76</v>
      </c>
      <c r="F9" s="15">
        <f t="shared" si="1"/>
        <v>-10.41</v>
      </c>
      <c r="G9" s="15">
        <f t="shared" si="1"/>
        <v>1</v>
      </c>
    </row>
  </sheetData>
  <mergeCells count="1">
    <mergeCell ref="B5:G5"/>
  </mergeCells>
  <hyperlinks>
    <hyperlink ref="F1" location="Index_Data!A1" tooltip="Hi click here To return Index page" display="Index_Data!A1" xr:uid="{B79CD575-547F-4E6D-ACF1-76F8B10B8E7C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E4314-B38F-4F14-8842-CF430A518D5E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156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14202.8</v>
      </c>
      <c r="D6" s="13">
        <f>Income_Statement!D5</f>
        <v>15385.1</v>
      </c>
      <c r="E6" s="13">
        <f>Income_Statement!E5</f>
        <v>17460</v>
      </c>
      <c r="F6" s="13">
        <f>Income_Statement!F5</f>
        <v>18972.2</v>
      </c>
      <c r="G6" s="13">
        <f>Income_Statement!G5</f>
        <v>21439.1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2630.9</v>
      </c>
      <c r="D7" s="13">
        <f>Income_Statement!D17</f>
        <v>2889.4</v>
      </c>
      <c r="E7" s="13">
        <f>Income_Statement!E17</f>
        <v>2984.8</v>
      </c>
      <c r="F7" s="13">
        <f>Income_Statement!F17</f>
        <v>4295.8</v>
      </c>
      <c r="G7" s="13">
        <f>Income_Statement!G17</f>
        <v>4312.3999999999996</v>
      </c>
    </row>
    <row r="8" spans="2:15" ht="18.75" x14ac:dyDescent="0.25">
      <c r="B8" s="14" t="s">
        <v>157</v>
      </c>
      <c r="C8" s="16">
        <f>ROUND(C6- C7, 2)</f>
        <v>11571.9</v>
      </c>
      <c r="D8" s="16">
        <f t="shared" ref="D8:G8" si="0">ROUND(D6- D7, 2)</f>
        <v>12495.7</v>
      </c>
      <c r="E8" s="16">
        <f t="shared" si="0"/>
        <v>14475.2</v>
      </c>
      <c r="F8" s="16">
        <f t="shared" si="0"/>
        <v>14676.4</v>
      </c>
      <c r="G8" s="16">
        <f t="shared" si="0"/>
        <v>17126.7</v>
      </c>
    </row>
  </sheetData>
  <mergeCells count="1">
    <mergeCell ref="B5:G5"/>
  </mergeCells>
  <hyperlinks>
    <hyperlink ref="F1" location="Index_Data!A1" tooltip="Hi click here To return Index page" display="Index_Data!A1" xr:uid="{E5EAF468-6796-42C7-9839-39114FFE17AC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2B616-6243-4B2D-BBDA-F7AC5F0C1774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158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14202.8</v>
      </c>
      <c r="D6" s="13">
        <f>Income_Statement!D5</f>
        <v>15385.1</v>
      </c>
      <c r="E6" s="13">
        <f>Income_Statement!E5</f>
        <v>17460</v>
      </c>
      <c r="F6" s="13">
        <f>Income_Statement!F5</f>
        <v>18972.2</v>
      </c>
      <c r="G6" s="13">
        <f>Income_Statement!G5</f>
        <v>21439.1</v>
      </c>
    </row>
    <row r="7" spans="2:15" ht="18.75" x14ac:dyDescent="0.25">
      <c r="B7" s="12" t="str">
        <f>Income_Statement!B25</f>
        <v>Total Expenditure</v>
      </c>
      <c r="C7" s="13">
        <f>Income_Statement!C25</f>
        <v>10521.2</v>
      </c>
      <c r="D7" s="13">
        <f>Income_Statement!D25</f>
        <v>10653</v>
      </c>
      <c r="E7" s="13">
        <f>Income_Statement!E25</f>
        <v>10800.3</v>
      </c>
      <c r="F7" s="13">
        <f>Income_Statement!F25</f>
        <v>12717.7</v>
      </c>
      <c r="G7" s="13">
        <f>Income_Statement!G25</f>
        <v>13717.300000000001</v>
      </c>
    </row>
    <row r="8" spans="2:15" ht="18.75" x14ac:dyDescent="0.25">
      <c r="B8" s="14" t="s">
        <v>159</v>
      </c>
      <c r="C8" s="16">
        <f>ROUND(C6- C7, 2)</f>
        <v>3681.6</v>
      </c>
      <c r="D8" s="16">
        <f t="shared" ref="D8:G8" si="0">ROUND(D6- D7, 2)</f>
        <v>4732.1000000000004</v>
      </c>
      <c r="E8" s="16">
        <f t="shared" si="0"/>
        <v>6659.7</v>
      </c>
      <c r="F8" s="16">
        <f t="shared" si="0"/>
        <v>6254.5</v>
      </c>
      <c r="G8" s="16">
        <f t="shared" si="0"/>
        <v>7721.8</v>
      </c>
    </row>
  </sheetData>
  <mergeCells count="1">
    <mergeCell ref="B5:G5"/>
  </mergeCells>
  <hyperlinks>
    <hyperlink ref="F1" location="Index_Data!A1" tooltip="Hi click here To return Index page" display="Index_Data!A1" xr:uid="{F55DB0BC-B20B-4395-AB09-3117EE4FF604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07E06-42D8-4B05-B928-39AEA5E2253F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160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2243.8109274227609</v>
      </c>
      <c r="D6" s="13">
        <f>Income_Statement!D49</f>
        <v>3461.121936808991</v>
      </c>
      <c r="E6" s="13">
        <f>Income_Statement!E49</f>
        <v>6160.2355441008021</v>
      </c>
      <c r="F6" s="13">
        <f>Income_Statement!F49</f>
        <v>4289.2153593152116</v>
      </c>
      <c r="G6" s="13">
        <f>Income_Statement!G49</f>
        <v>6067.322594232035</v>
      </c>
    </row>
    <row r="7" spans="2:15" ht="18.75" x14ac:dyDescent="0.25">
      <c r="B7" s="12" t="str">
        <f>Balance_Sheet!B74</f>
        <v>Total Assets</v>
      </c>
      <c r="C7" s="13">
        <f>Balance_Sheet!C74</f>
        <v>22544.300000000003</v>
      </c>
      <c r="D7" s="13">
        <f>Balance_Sheet!D74</f>
        <v>24074.521936808989</v>
      </c>
      <c r="E7" s="13">
        <f>Balance_Sheet!E74</f>
        <v>29027.75748090979</v>
      </c>
      <c r="F7" s="13">
        <f>Balance_Sheet!F74</f>
        <v>34250.972840225004</v>
      </c>
      <c r="G7" s="13">
        <f>Balance_Sheet!G74</f>
        <v>41877.695434457033</v>
      </c>
    </row>
    <row r="8" spans="2:15" ht="18.75" x14ac:dyDescent="0.25">
      <c r="B8" s="14" t="s">
        <v>161</v>
      </c>
      <c r="C8" s="15">
        <f>ROUND(C6/ C7, 2)</f>
        <v>0.1</v>
      </c>
      <c r="D8" s="15">
        <f t="shared" ref="D8:G8" si="0">ROUND(D6/ D7, 2)</f>
        <v>0.14000000000000001</v>
      </c>
      <c r="E8" s="15">
        <f t="shared" si="0"/>
        <v>0.21</v>
      </c>
      <c r="F8" s="15">
        <f t="shared" si="0"/>
        <v>0.13</v>
      </c>
      <c r="G8" s="15">
        <f t="shared" si="0"/>
        <v>0.14000000000000001</v>
      </c>
    </row>
  </sheetData>
  <mergeCells count="1">
    <mergeCell ref="B5:G5"/>
  </mergeCells>
  <hyperlinks>
    <hyperlink ref="F1" location="Index_Data!A1" tooltip="Hi click here To return Index page" display="Index_Data!A1" xr:uid="{1C1A19B1-24D3-456A-B280-70C000FDB37E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F8243-64DE-4AB8-B15C-876D03AD250D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162</v>
      </c>
      <c r="C5" s="44"/>
      <c r="D5" s="44"/>
      <c r="E5" s="44"/>
      <c r="F5" s="44"/>
      <c r="G5" s="44"/>
    </row>
    <row r="6" spans="2:15" ht="18.75" x14ac:dyDescent="0.25">
      <c r="B6" s="12" t="str">
        <f>Income_Statement!B33</f>
        <v>PBIT</v>
      </c>
      <c r="C6" s="13">
        <f>Income_Statement!C33</f>
        <v>2760.6109274227611</v>
      </c>
      <c r="D6" s="13">
        <f>Income_Statement!D33</f>
        <v>3935.8219368089913</v>
      </c>
      <c r="E6" s="13">
        <f>Income_Statement!E33</f>
        <v>6118.2355441008021</v>
      </c>
      <c r="F6" s="13">
        <f>Income_Statement!F33</f>
        <v>5318.1153593152112</v>
      </c>
      <c r="G6" s="13">
        <f>Income_Statement!G33</f>
        <v>7042.0225942320349</v>
      </c>
    </row>
    <row r="7" spans="2:15" ht="18.75" x14ac:dyDescent="0.25">
      <c r="B7" s="12" t="str">
        <f>Balance_Sheet!B21</f>
        <v>Total Debt</v>
      </c>
      <c r="C7" s="13">
        <f>Balance_Sheet!C21</f>
        <v>5260.1</v>
      </c>
      <c r="D7" s="13">
        <f>Balance_Sheet!D21</f>
        <v>3459.8</v>
      </c>
      <c r="E7" s="13">
        <f>Balance_Sheet!E21</f>
        <v>1785.6000000000001</v>
      </c>
      <c r="F7" s="13">
        <f>Balance_Sheet!F21</f>
        <v>2973.3</v>
      </c>
      <c r="G7" s="13">
        <f>Balance_Sheet!G21</f>
        <v>3284.2</v>
      </c>
    </row>
    <row r="8" spans="2:15" ht="18.75" x14ac:dyDescent="0.25">
      <c r="B8" s="12" t="str">
        <f>Balance_Sheet!B13</f>
        <v>Net Worth</v>
      </c>
      <c r="C8" s="13">
        <f>Balance_Sheet!C13</f>
        <v>12571.6</v>
      </c>
      <c r="D8" s="13">
        <f>Balance_Sheet!D13</f>
        <v>15632.521936808991</v>
      </c>
      <c r="E8" s="13">
        <f>Balance_Sheet!E13</f>
        <v>21401.257480909793</v>
      </c>
      <c r="F8" s="13">
        <f>Balance_Sheet!F13</f>
        <v>25275.872840225009</v>
      </c>
      <c r="G8" s="13">
        <f>Balance_Sheet!G13</f>
        <v>31343.195434457044</v>
      </c>
    </row>
    <row r="9" spans="2:15" ht="18.75" x14ac:dyDescent="0.25">
      <c r="B9" s="14" t="s">
        <v>163</v>
      </c>
      <c r="C9" s="15">
        <f>ROUND(C6/ (C7+ C7), 2)</f>
        <v>0.26</v>
      </c>
      <c r="D9" s="15">
        <f t="shared" ref="D9:G9" si="0">ROUND(D6/ (D7+ D7), 2)</f>
        <v>0.56999999999999995</v>
      </c>
      <c r="E9" s="15">
        <f t="shared" si="0"/>
        <v>1.71</v>
      </c>
      <c r="F9" s="15">
        <f t="shared" si="0"/>
        <v>0.89</v>
      </c>
      <c r="G9" s="15">
        <f t="shared" si="0"/>
        <v>1.07</v>
      </c>
    </row>
  </sheetData>
  <mergeCells count="1">
    <mergeCell ref="B5:G5"/>
  </mergeCells>
  <hyperlinks>
    <hyperlink ref="F1" location="Index_Data!A1" tooltip="Hi click here To return Index page" display="Index_Data!A1" xr:uid="{701844BA-7998-42DF-A1D6-E91BB75122E4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9FF00-FDEE-4168-97BE-C69E079C68D4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164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2243.8109274227609</v>
      </c>
      <c r="D6" s="13">
        <f>Income_Statement!D49</f>
        <v>3461.121936808991</v>
      </c>
      <c r="E6" s="13">
        <f>Income_Statement!E49</f>
        <v>6160.2355441008021</v>
      </c>
      <c r="F6" s="13">
        <f>Income_Statement!F49</f>
        <v>4289.2153593152116</v>
      </c>
      <c r="G6" s="13">
        <f>Income_Statement!G49</f>
        <v>6067.322594232035</v>
      </c>
    </row>
    <row r="7" spans="2:15" ht="18.75" x14ac:dyDescent="0.25">
      <c r="B7" s="12" t="str">
        <f>Balance_Sheet!B13</f>
        <v>Net Worth</v>
      </c>
      <c r="C7" s="13">
        <f>Balance_Sheet!C13</f>
        <v>12571.6</v>
      </c>
      <c r="D7" s="13">
        <f>Balance_Sheet!D13</f>
        <v>15632.521936808991</v>
      </c>
      <c r="E7" s="13">
        <f>Balance_Sheet!E13</f>
        <v>21401.257480909793</v>
      </c>
      <c r="F7" s="13">
        <f>Balance_Sheet!F13</f>
        <v>25275.872840225009</v>
      </c>
      <c r="G7" s="13">
        <f>Balance_Sheet!G13</f>
        <v>31343.195434457044</v>
      </c>
    </row>
    <row r="8" spans="2:15" ht="18.75" x14ac:dyDescent="0.25">
      <c r="B8" s="14" t="s">
        <v>165</v>
      </c>
      <c r="C8" s="15">
        <f>ROUND(C6/ (C7+ C7), 2)</f>
        <v>0.09</v>
      </c>
      <c r="D8" s="15">
        <f t="shared" ref="D8:G8" si="0">ROUND(D6/ (D7+ D7), 2)</f>
        <v>0.11</v>
      </c>
      <c r="E8" s="15">
        <f t="shared" si="0"/>
        <v>0.14000000000000001</v>
      </c>
      <c r="F8" s="15">
        <f t="shared" si="0"/>
        <v>0.08</v>
      </c>
      <c r="G8" s="15">
        <f t="shared" si="0"/>
        <v>0.1</v>
      </c>
    </row>
  </sheetData>
  <mergeCells count="1">
    <mergeCell ref="B5:G5"/>
  </mergeCells>
  <hyperlinks>
    <hyperlink ref="F1" location="Index_Data!A1" tooltip="Hi click here To return Index page" display="Index_Data!A1" xr:uid="{753DD8E5-2C85-4506-9AB3-6676E0AF5AE5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F03-9F4A-4611-9690-150CEEF2C091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166</v>
      </c>
      <c r="C5" s="44"/>
      <c r="D5" s="44"/>
      <c r="E5" s="44"/>
      <c r="F5" s="44"/>
      <c r="G5" s="44"/>
    </row>
    <row r="6" spans="2:15" ht="18.75" x14ac:dyDescent="0.25">
      <c r="B6" s="12" t="str">
        <f>Balance_Sheet!B21</f>
        <v>Total Debt</v>
      </c>
      <c r="C6" s="13">
        <f>Balance_Sheet!C21</f>
        <v>5260.1</v>
      </c>
      <c r="D6" s="13">
        <f>Balance_Sheet!D21</f>
        <v>3459.8</v>
      </c>
      <c r="E6" s="13">
        <f>Balance_Sheet!E21</f>
        <v>1785.6000000000001</v>
      </c>
      <c r="F6" s="13">
        <f>Balance_Sheet!F21</f>
        <v>2973.3</v>
      </c>
      <c r="G6" s="13">
        <f>Balance_Sheet!G21</f>
        <v>3284.2</v>
      </c>
    </row>
    <row r="7" spans="2:15" ht="18.75" x14ac:dyDescent="0.25">
      <c r="B7" s="12" t="str">
        <f>Balance_Sheet!B13</f>
        <v>Net Worth</v>
      </c>
      <c r="C7" s="13">
        <f>Balance_Sheet!C13</f>
        <v>12571.6</v>
      </c>
      <c r="D7" s="13">
        <f>Balance_Sheet!D13</f>
        <v>15632.521936808991</v>
      </c>
      <c r="E7" s="13">
        <f>Balance_Sheet!E13</f>
        <v>21401.257480909793</v>
      </c>
      <c r="F7" s="13">
        <f>Balance_Sheet!F13</f>
        <v>25275.872840225009</v>
      </c>
      <c r="G7" s="13">
        <f>Balance_Sheet!G13</f>
        <v>31343.195434457044</v>
      </c>
    </row>
    <row r="8" spans="2:15" ht="18.75" x14ac:dyDescent="0.25">
      <c r="B8" s="14" t="s">
        <v>167</v>
      </c>
      <c r="C8" s="14">
        <f>ROUND(C6/ C7, 2)</f>
        <v>0.42</v>
      </c>
      <c r="D8" s="14">
        <f t="shared" ref="D8:G8" si="0">ROUND(D6/ D7, 2)</f>
        <v>0.22</v>
      </c>
      <c r="E8" s="14">
        <f t="shared" si="0"/>
        <v>0.08</v>
      </c>
      <c r="F8" s="14">
        <f t="shared" si="0"/>
        <v>0.12</v>
      </c>
      <c r="G8" s="14">
        <f t="shared" si="0"/>
        <v>0.1</v>
      </c>
    </row>
  </sheetData>
  <mergeCells count="1">
    <mergeCell ref="B5:G5"/>
  </mergeCells>
  <hyperlinks>
    <hyperlink ref="F1" location="Index_Data!A1" tooltip="Hi click here To return Index page" display="Index_Data!A1" xr:uid="{EEC0A31D-BC2C-46C2-95C6-136DB85C0471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E98AA-3404-43CD-8F8D-F788455B9FFE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3" width="11.5703125" bestFit="1" customWidth="1"/>
    <col min="4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168</v>
      </c>
      <c r="C5" s="44"/>
      <c r="D5" s="44"/>
      <c r="E5" s="44"/>
      <c r="F5" s="44"/>
      <c r="G5" s="44"/>
    </row>
    <row r="6" spans="2:15" ht="18.75" x14ac:dyDescent="0.25">
      <c r="B6" s="12" t="str">
        <f>Balance_Sheet!B72</f>
        <v>Total Current Assets</v>
      </c>
      <c r="C6" s="13">
        <f>Balance_Sheet!C72</f>
        <v>9807.5</v>
      </c>
      <c r="D6" s="13">
        <f>Balance_Sheet!D72</f>
        <v>15424.621936808991</v>
      </c>
      <c r="E6" s="13">
        <f>Balance_Sheet!E72</f>
        <v>21852.45748090979</v>
      </c>
      <c r="F6" s="13">
        <f>Balance_Sheet!F72</f>
        <v>26370.272840225003</v>
      </c>
      <c r="G6" s="13">
        <f>Balance_Sheet!G72</f>
        <v>35086.095434457035</v>
      </c>
    </row>
    <row r="7" spans="2:15" ht="18.75" x14ac:dyDescent="0.25">
      <c r="B7" s="12" t="str">
        <f>Balance_Sheet!B33</f>
        <v>Total Current Liabilities</v>
      </c>
      <c r="C7" s="13">
        <f>Balance_Sheet!C33</f>
        <v>4712.6000000000004</v>
      </c>
      <c r="D7" s="13">
        <f>Balance_Sheet!D33</f>
        <v>4982.2</v>
      </c>
      <c r="E7" s="13">
        <f>Balance_Sheet!E33</f>
        <v>5840.9</v>
      </c>
      <c r="F7" s="13">
        <f>Balance_Sheet!F33</f>
        <v>6001.8</v>
      </c>
      <c r="G7" s="13">
        <f>Balance_Sheet!G33</f>
        <v>7250.3</v>
      </c>
    </row>
    <row r="8" spans="2:15" ht="18.75" x14ac:dyDescent="0.25">
      <c r="B8" s="14" t="s">
        <v>169</v>
      </c>
      <c r="C8" s="14">
        <f>ROUND(C6/ C7, 2)</f>
        <v>2.08</v>
      </c>
      <c r="D8" s="14">
        <f t="shared" ref="D8:G8" si="0">ROUND(D6/ D7, 2)</f>
        <v>3.1</v>
      </c>
      <c r="E8" s="14">
        <f t="shared" si="0"/>
        <v>3.74</v>
      </c>
      <c r="F8" s="14">
        <f t="shared" si="0"/>
        <v>4.3899999999999997</v>
      </c>
      <c r="G8" s="14">
        <f t="shared" si="0"/>
        <v>4.84</v>
      </c>
    </row>
  </sheetData>
  <mergeCells count="1">
    <mergeCell ref="B5:G5"/>
  </mergeCells>
  <hyperlinks>
    <hyperlink ref="F1" location="Index_Data!A1" tooltip="Hi click here To return Index page" display="Index_Data!A1" xr:uid="{502C9C9A-883D-4BBF-9955-1B72BDC9C4B3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D47DC-3EB3-4E44-9D4B-2B748F2A8672}">
  <dimension ref="A1:O41"/>
  <sheetViews>
    <sheetView topLeftCell="A23" workbookViewId="0">
      <selection activeCell="A41" sqref="A41"/>
    </sheetView>
  </sheetViews>
  <sheetFormatPr defaultRowHeight="15" x14ac:dyDescent="0.25"/>
  <sheetData>
    <row r="1" spans="1:15" x14ac:dyDescent="0.25">
      <c r="F1" s="45" t="s">
        <v>271</v>
      </c>
      <c r="O1" s="46"/>
    </row>
    <row r="2" spans="1:15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56</v>
      </c>
      <c r="H4" t="s">
        <v>1</v>
      </c>
    </row>
    <row r="5" spans="1:15" x14ac:dyDescent="0.25">
      <c r="A5" t="s">
        <v>97</v>
      </c>
      <c r="B5" t="s">
        <v>97</v>
      </c>
      <c r="C5" s="2">
        <v>14202.8</v>
      </c>
      <c r="D5" s="2">
        <v>15385.1</v>
      </c>
      <c r="E5" s="2">
        <v>17460</v>
      </c>
      <c r="F5" s="2">
        <v>18972.2</v>
      </c>
      <c r="G5" s="2">
        <v>21439.1</v>
      </c>
      <c r="H5" t="s">
        <v>1</v>
      </c>
    </row>
    <row r="6" spans="1:15" x14ac:dyDescent="0.25">
      <c r="A6" t="s">
        <v>98</v>
      </c>
      <c r="B6" t="s">
        <v>98</v>
      </c>
      <c r="C6">
        <v>0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15" x14ac:dyDescent="0.25">
      <c r="B7" t="s">
        <v>57</v>
      </c>
      <c r="C7" s="2">
        <v>14202.8</v>
      </c>
      <c r="D7" s="2">
        <v>15385.1</v>
      </c>
      <c r="E7" s="2">
        <v>17460</v>
      </c>
      <c r="F7" s="2">
        <v>18972.2</v>
      </c>
      <c r="G7" s="2">
        <v>21439.1</v>
      </c>
      <c r="H7" t="s">
        <v>1</v>
      </c>
    </row>
    <row r="8" spans="1:15" x14ac:dyDescent="0.25">
      <c r="B8" t="s">
        <v>58</v>
      </c>
      <c r="C8" s="2">
        <v>14281</v>
      </c>
      <c r="D8" s="2">
        <v>15448.2</v>
      </c>
      <c r="E8" s="2">
        <v>17517</v>
      </c>
      <c r="F8" s="2">
        <v>19047.5</v>
      </c>
      <c r="G8" s="2">
        <v>21545.200000000001</v>
      </c>
      <c r="H8" t="s">
        <v>1</v>
      </c>
    </row>
    <row r="9" spans="1:15" x14ac:dyDescent="0.25">
      <c r="A9" t="s">
        <v>59</v>
      </c>
      <c r="B9" t="s">
        <v>59</v>
      </c>
      <c r="C9">
        <v>155.19999999999999</v>
      </c>
      <c r="D9">
        <v>337.5</v>
      </c>
      <c r="E9">
        <v>620.6</v>
      </c>
      <c r="F9">
        <v>291.39999999999998</v>
      </c>
      <c r="G9">
        <v>484.4</v>
      </c>
      <c r="H9" t="s">
        <v>1</v>
      </c>
    </row>
    <row r="10" spans="1:15" x14ac:dyDescent="0.25">
      <c r="B10" t="s">
        <v>60</v>
      </c>
      <c r="C10" s="2">
        <v>14436.2</v>
      </c>
      <c r="D10" s="2">
        <v>15785.7</v>
      </c>
      <c r="E10" s="2">
        <v>18137.599999999999</v>
      </c>
      <c r="F10" s="2">
        <v>19338.900000000001</v>
      </c>
      <c r="G10" s="2">
        <v>22029.599999999999</v>
      </c>
      <c r="H10" t="s">
        <v>1</v>
      </c>
    </row>
    <row r="11" spans="1:15" x14ac:dyDescent="0.25">
      <c r="B11" t="s">
        <v>61</v>
      </c>
      <c r="H11" t="s">
        <v>1</v>
      </c>
    </row>
    <row r="12" spans="1:15" x14ac:dyDescent="0.25">
      <c r="A12" t="s">
        <v>99</v>
      </c>
      <c r="B12" t="s">
        <v>62</v>
      </c>
      <c r="C12" s="2">
        <v>2630.9</v>
      </c>
      <c r="D12" s="2">
        <v>2889.4</v>
      </c>
      <c r="E12" s="2">
        <v>2984.8</v>
      </c>
      <c r="F12" s="2">
        <v>4295.8</v>
      </c>
      <c r="G12" s="2">
        <v>4312.3999999999996</v>
      </c>
      <c r="H12" t="s">
        <v>1</v>
      </c>
    </row>
    <row r="13" spans="1:15" x14ac:dyDescent="0.25">
      <c r="B13" t="s">
        <v>63</v>
      </c>
      <c r="C13" s="2">
        <v>1450.1</v>
      </c>
      <c r="D13" s="2">
        <v>1880.8</v>
      </c>
      <c r="E13" s="2">
        <v>2545.9</v>
      </c>
      <c r="F13" s="2">
        <v>2573.6</v>
      </c>
      <c r="G13" s="2">
        <v>3483.7</v>
      </c>
      <c r="H13" t="s">
        <v>1</v>
      </c>
    </row>
    <row r="14" spans="1:15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15" x14ac:dyDescent="0.25">
      <c r="B15" t="s">
        <v>65</v>
      </c>
      <c r="C15">
        <v>-41.5</v>
      </c>
      <c r="D15">
        <v>-275.39999999999998</v>
      </c>
      <c r="E15">
        <v>23.7</v>
      </c>
      <c r="F15">
        <v>-790.5</v>
      </c>
      <c r="G15">
        <v>-353.9</v>
      </c>
      <c r="H15" t="s">
        <v>1</v>
      </c>
    </row>
    <row r="16" spans="1:15" x14ac:dyDescent="0.25">
      <c r="A16" t="s">
        <v>99</v>
      </c>
      <c r="B16" t="s">
        <v>66</v>
      </c>
      <c r="C16" s="2">
        <v>3214.9</v>
      </c>
      <c r="D16" s="2">
        <v>3356.2</v>
      </c>
      <c r="E16" s="2">
        <v>3380.2</v>
      </c>
      <c r="F16" s="2">
        <v>3629.9</v>
      </c>
      <c r="G16" s="2">
        <v>3885.8</v>
      </c>
      <c r="H16" t="s">
        <v>1</v>
      </c>
    </row>
    <row r="17" spans="1:8" x14ac:dyDescent="0.25">
      <c r="A17" t="s">
        <v>100</v>
      </c>
      <c r="B17" t="s">
        <v>67</v>
      </c>
      <c r="C17">
        <v>78.8</v>
      </c>
      <c r="D17">
        <v>88.9</v>
      </c>
      <c r="E17">
        <v>98.3</v>
      </c>
      <c r="F17">
        <v>97</v>
      </c>
      <c r="G17">
        <v>95.8</v>
      </c>
      <c r="H17" t="s">
        <v>1</v>
      </c>
    </row>
    <row r="18" spans="1:8" x14ac:dyDescent="0.25">
      <c r="A18" t="s">
        <v>101</v>
      </c>
      <c r="B18" t="s">
        <v>68</v>
      </c>
      <c r="C18" s="2">
        <v>1077.2</v>
      </c>
      <c r="D18" s="2">
        <v>1134.8</v>
      </c>
      <c r="E18" s="2">
        <v>1163.0999999999999</v>
      </c>
      <c r="F18" s="2">
        <v>1228.8</v>
      </c>
      <c r="G18" s="2">
        <v>1165.2</v>
      </c>
      <c r="H18" t="s">
        <v>1</v>
      </c>
    </row>
    <row r="19" spans="1:8" x14ac:dyDescent="0.25">
      <c r="A19" t="s">
        <v>99</v>
      </c>
      <c r="B19" t="s">
        <v>69</v>
      </c>
      <c r="C19" s="2">
        <v>4675.3999999999996</v>
      </c>
      <c r="D19" s="2">
        <v>4407.3999999999996</v>
      </c>
      <c r="E19" s="2">
        <v>4435.3</v>
      </c>
      <c r="F19" s="2">
        <v>4792</v>
      </c>
      <c r="G19" s="2">
        <v>5519.1</v>
      </c>
      <c r="H19" t="s">
        <v>1</v>
      </c>
    </row>
    <row r="20" spans="1:8" x14ac:dyDescent="0.25">
      <c r="B20" t="s">
        <v>70</v>
      </c>
      <c r="C20" s="2">
        <v>13085.8</v>
      </c>
      <c r="D20" s="2">
        <v>13493.7</v>
      </c>
      <c r="E20" s="2">
        <v>16308</v>
      </c>
      <c r="F20" s="2">
        <v>16503.400000000001</v>
      </c>
      <c r="G20" s="2">
        <v>19038.5</v>
      </c>
      <c r="H20" t="s">
        <v>1</v>
      </c>
    </row>
    <row r="21" spans="1:8" x14ac:dyDescent="0.25">
      <c r="B21" t="s">
        <v>71</v>
      </c>
      <c r="C21" s="2">
        <v>1350.4</v>
      </c>
      <c r="D21" s="2">
        <v>2292</v>
      </c>
      <c r="E21" s="2">
        <v>1829.6</v>
      </c>
      <c r="F21" s="2">
        <v>2835.5</v>
      </c>
      <c r="G21" s="2">
        <v>2991.1</v>
      </c>
      <c r="H21" t="s">
        <v>1</v>
      </c>
    </row>
    <row r="22" spans="1:8" x14ac:dyDescent="0.25">
      <c r="A22" t="s">
        <v>102</v>
      </c>
      <c r="B22" t="s">
        <v>72</v>
      </c>
      <c r="C22">
        <v>0</v>
      </c>
      <c r="D22">
        <v>0</v>
      </c>
      <c r="E22">
        <v>0</v>
      </c>
      <c r="F22">
        <v>0</v>
      </c>
      <c r="G22">
        <v>0</v>
      </c>
      <c r="H22" t="s">
        <v>1</v>
      </c>
    </row>
    <row r="23" spans="1:8" x14ac:dyDescent="0.25">
      <c r="B23" t="s">
        <v>73</v>
      </c>
      <c r="C23" s="2">
        <v>1350.4</v>
      </c>
      <c r="D23" s="2">
        <v>2292</v>
      </c>
      <c r="E23" s="2">
        <v>1829.6</v>
      </c>
      <c r="F23" s="2">
        <v>2835.5</v>
      </c>
      <c r="G23" s="2">
        <v>2991.1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>
        <v>175.3</v>
      </c>
      <c r="D25">
        <v>470.7</v>
      </c>
      <c r="E25">
        <v>661.6</v>
      </c>
      <c r="F25">
        <v>817.2</v>
      </c>
      <c r="G25">
        <v>878.9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262.7</v>
      </c>
      <c r="D27">
        <v>-84.9</v>
      </c>
      <c r="E27">
        <v>-801.9</v>
      </c>
      <c r="F27">
        <v>114.7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>
        <v>438</v>
      </c>
      <c r="D29">
        <v>385.8</v>
      </c>
      <c r="E29">
        <v>-140.30000000000001</v>
      </c>
      <c r="F29">
        <v>931.9</v>
      </c>
      <c r="G29">
        <v>878.9</v>
      </c>
      <c r="H29" t="s">
        <v>1</v>
      </c>
    </row>
    <row r="30" spans="1:8" x14ac:dyDescent="0.25">
      <c r="B30" t="s">
        <v>80</v>
      </c>
      <c r="C30" s="2">
        <v>912.4</v>
      </c>
      <c r="D30" s="2">
        <v>1906.2</v>
      </c>
      <c r="E30" s="2">
        <v>1969.9</v>
      </c>
      <c r="F30" s="2">
        <v>1903.6</v>
      </c>
      <c r="G30">
        <v>2112.1999999999998</v>
      </c>
      <c r="H30" t="s">
        <v>1</v>
      </c>
    </row>
    <row r="31" spans="1:8" x14ac:dyDescent="0.25">
      <c r="B31" t="s">
        <v>81</v>
      </c>
      <c r="C31" s="2">
        <v>912.4</v>
      </c>
      <c r="D31" s="2">
        <v>1906.2</v>
      </c>
      <c r="E31" s="2">
        <v>1969.9</v>
      </c>
      <c r="F31" s="2">
        <v>1903.6</v>
      </c>
      <c r="G31">
        <v>2112.1999999999998</v>
      </c>
      <c r="H31" t="s">
        <v>1</v>
      </c>
    </row>
    <row r="32" spans="1:8" x14ac:dyDescent="0.25">
      <c r="B32" t="s">
        <v>82</v>
      </c>
      <c r="C32" s="2">
        <v>912.4</v>
      </c>
      <c r="D32" s="2">
        <v>1906.2</v>
      </c>
      <c r="E32" s="2">
        <v>1969.9</v>
      </c>
      <c r="F32" s="2">
        <v>1903.6</v>
      </c>
      <c r="G32">
        <v>2112.1999999999998</v>
      </c>
      <c r="H32" t="s">
        <v>1</v>
      </c>
    </row>
    <row r="33" spans="1:8" x14ac:dyDescent="0.25">
      <c r="B33" t="s">
        <v>10</v>
      </c>
      <c r="C33">
        <v>0</v>
      </c>
      <c r="D33">
        <v>0</v>
      </c>
      <c r="E33">
        <v>0</v>
      </c>
      <c r="F33">
        <v>0</v>
      </c>
      <c r="G33">
        <v>0</v>
      </c>
      <c r="H33" t="s">
        <v>1</v>
      </c>
    </row>
    <row r="34" spans="1:8" x14ac:dyDescent="0.25">
      <c r="B34" t="s">
        <v>83</v>
      </c>
      <c r="C34" s="2">
        <v>946.8</v>
      </c>
      <c r="D34" s="2">
        <v>1950</v>
      </c>
      <c r="E34" s="2">
        <v>2026</v>
      </c>
      <c r="F34" s="2">
        <v>1951.6</v>
      </c>
      <c r="G34">
        <v>2182.5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57</v>
      </c>
      <c r="D37">
        <v>118</v>
      </c>
      <c r="E37">
        <v>122</v>
      </c>
      <c r="F37">
        <v>118</v>
      </c>
      <c r="G37">
        <v>132</v>
      </c>
      <c r="H37" t="s">
        <v>1</v>
      </c>
    </row>
    <row r="38" spans="1:8" x14ac:dyDescent="0.25">
      <c r="B38" t="s">
        <v>86</v>
      </c>
      <c r="C38">
        <v>57</v>
      </c>
      <c r="D38">
        <v>117</v>
      </c>
      <c r="E38">
        <v>122</v>
      </c>
      <c r="F38">
        <v>117</v>
      </c>
      <c r="G38">
        <v>131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399.2</v>
      </c>
      <c r="D40">
        <v>332</v>
      </c>
      <c r="E40">
        <v>391.6</v>
      </c>
      <c r="F40">
        <v>414.7</v>
      </c>
      <c r="G40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0</v>
      </c>
      <c r="D41">
        <v>68.2</v>
      </c>
      <c r="E41">
        <v>0</v>
      </c>
      <c r="F41">
        <v>0</v>
      </c>
      <c r="G41">
        <v>0</v>
      </c>
      <c r="H41" t="s">
        <v>1</v>
      </c>
    </row>
  </sheetData>
  <hyperlinks>
    <hyperlink ref="F1" location="Index_Data!A1" tooltip="Hi click here To return Index page" display="Index_Data!A1" xr:uid="{66FEE189-B079-4EE4-B4FE-544CD513A887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7B93B-3850-4743-A7C0-06258FC433C3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3" width="11.5703125" bestFit="1" customWidth="1"/>
    <col min="4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170</v>
      </c>
      <c r="C5" s="44"/>
      <c r="D5" s="44"/>
      <c r="E5" s="44"/>
      <c r="F5" s="44"/>
      <c r="G5" s="44"/>
    </row>
    <row r="6" spans="2:15" ht="18.75" x14ac:dyDescent="0.25">
      <c r="B6" s="12" t="str">
        <f>Balance_Sheet!B72</f>
        <v>Total Current Assets</v>
      </c>
      <c r="C6" s="13">
        <f>Balance_Sheet!C72</f>
        <v>9807.5</v>
      </c>
      <c r="D6" s="13">
        <f>Balance_Sheet!D72</f>
        <v>15424.621936808991</v>
      </c>
      <c r="E6" s="13">
        <f>Balance_Sheet!E72</f>
        <v>21852.45748090979</v>
      </c>
      <c r="F6" s="13">
        <f>Balance_Sheet!F72</f>
        <v>26370.272840225003</v>
      </c>
      <c r="G6" s="13">
        <f>Balance_Sheet!G72</f>
        <v>35086.095434457035</v>
      </c>
    </row>
    <row r="7" spans="2:15" ht="18.75" x14ac:dyDescent="0.25">
      <c r="B7" s="12" t="str">
        <f>Balance_Sheet!B66</f>
        <v>Inventories</v>
      </c>
      <c r="C7" s="13">
        <f>Balance_Sheet!C66</f>
        <v>2908.9</v>
      </c>
      <c r="D7" s="13">
        <f>Balance_Sheet!D66</f>
        <v>3357.9</v>
      </c>
      <c r="E7" s="13">
        <f>Balance_Sheet!E66</f>
        <v>3506.7</v>
      </c>
      <c r="F7" s="13">
        <f>Balance_Sheet!F66</f>
        <v>4541.2</v>
      </c>
      <c r="G7" s="13">
        <f>Balance_Sheet!G66</f>
        <v>5088.3999999999996</v>
      </c>
    </row>
    <row r="8" spans="2:15" ht="18.75" x14ac:dyDescent="0.25">
      <c r="B8" s="12" t="str">
        <f>Balance_Sheet!B33</f>
        <v>Total Current Liabilities</v>
      </c>
      <c r="C8" s="13">
        <f>Balance_Sheet!C33</f>
        <v>4712.6000000000004</v>
      </c>
      <c r="D8" s="13">
        <f>Balance_Sheet!D33</f>
        <v>4982.2</v>
      </c>
      <c r="E8" s="13">
        <f>Balance_Sheet!E33</f>
        <v>5840.9</v>
      </c>
      <c r="F8" s="13">
        <f>Balance_Sheet!F33</f>
        <v>6001.8</v>
      </c>
      <c r="G8" s="13">
        <f>Balance_Sheet!G33</f>
        <v>7250.3</v>
      </c>
    </row>
    <row r="9" spans="2:15" ht="18.75" x14ac:dyDescent="0.25">
      <c r="B9" s="14" t="s">
        <v>171</v>
      </c>
      <c r="C9" s="14">
        <f>ROUND((C6-C7)/ C8, 2)</f>
        <v>1.46</v>
      </c>
      <c r="D9" s="14">
        <f t="shared" ref="D9:G9" si="0">ROUND((D6-D7)/ D8, 2)</f>
        <v>2.42</v>
      </c>
      <c r="E9" s="14">
        <f t="shared" si="0"/>
        <v>3.14</v>
      </c>
      <c r="F9" s="14">
        <f t="shared" si="0"/>
        <v>3.64</v>
      </c>
      <c r="G9" s="14">
        <f t="shared" si="0"/>
        <v>4.1399999999999997</v>
      </c>
    </row>
  </sheetData>
  <mergeCells count="1">
    <mergeCell ref="B5:G5"/>
  </mergeCells>
  <hyperlinks>
    <hyperlink ref="F1" location="Index_Data!A1" tooltip="Hi click here To return Index page" display="Index_Data!A1" xr:uid="{C16C3D6B-D036-431C-B4A5-F0910B38CADD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0900B-3A7B-482E-AABB-E862AAF63A01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172</v>
      </c>
      <c r="C5" s="44"/>
      <c r="D5" s="44"/>
      <c r="E5" s="44"/>
      <c r="F5" s="44"/>
      <c r="G5" s="44"/>
    </row>
    <row r="6" spans="2:15" ht="18.75" x14ac:dyDescent="0.25">
      <c r="B6" s="12" t="str">
        <f>Income_Statement!B33</f>
        <v>PBIT</v>
      </c>
      <c r="C6" s="13">
        <f>Income_Statement!C33</f>
        <v>2760.6109274227611</v>
      </c>
      <c r="D6" s="13">
        <f>Income_Statement!D33</f>
        <v>3935.8219368089913</v>
      </c>
      <c r="E6" s="13">
        <f>Income_Statement!E33</f>
        <v>6118.2355441008021</v>
      </c>
      <c r="F6" s="13">
        <f>Income_Statement!F33</f>
        <v>5318.1153593152112</v>
      </c>
      <c r="G6" s="13">
        <f>Income_Statement!G33</f>
        <v>7042.0225942320349</v>
      </c>
    </row>
    <row r="7" spans="2:15" ht="18.75" x14ac:dyDescent="0.25">
      <c r="B7" s="12" t="str">
        <f>Income_Statement!B35</f>
        <v>Finance Costs</v>
      </c>
      <c r="C7" s="13">
        <f>Income_Statement!C35</f>
        <v>78.8</v>
      </c>
      <c r="D7" s="13">
        <f>Income_Statement!D35</f>
        <v>88.9</v>
      </c>
      <c r="E7" s="13">
        <f>Income_Statement!E35</f>
        <v>98.3</v>
      </c>
      <c r="F7" s="13">
        <f>Income_Statement!F35</f>
        <v>97</v>
      </c>
      <c r="G7" s="13">
        <f>Income_Statement!G35</f>
        <v>95.8</v>
      </c>
    </row>
    <row r="8" spans="2:15" ht="18.75" x14ac:dyDescent="0.25">
      <c r="B8" s="14" t="s">
        <v>173</v>
      </c>
      <c r="C8" s="14">
        <f>ROUND(C6/C7, 2)</f>
        <v>35.03</v>
      </c>
      <c r="D8" s="14">
        <f t="shared" ref="D8:G8" si="0">ROUND(D6/D7, 2)</f>
        <v>44.27</v>
      </c>
      <c r="E8" s="14">
        <f t="shared" si="0"/>
        <v>62.24</v>
      </c>
      <c r="F8" s="14">
        <f t="shared" si="0"/>
        <v>54.83</v>
      </c>
      <c r="G8" s="14">
        <f t="shared" si="0"/>
        <v>73.510000000000005</v>
      </c>
    </row>
  </sheetData>
  <mergeCells count="1">
    <mergeCell ref="B5:G5"/>
  </mergeCells>
  <hyperlinks>
    <hyperlink ref="F1" location="Index_Data!A1" tooltip="Hi click here To return Index page" display="Index_Data!A1" xr:uid="{BF234B78-04C0-404B-AE2A-F055EB92D563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FD172-7193-4D5C-AB67-B584B86ED234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174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2630.9</v>
      </c>
      <c r="D6" s="13">
        <f>Income_Statement!D17</f>
        <v>2889.4</v>
      </c>
      <c r="E6" s="13">
        <f>Income_Statement!E17</f>
        <v>2984.8</v>
      </c>
      <c r="F6" s="13">
        <f>Income_Statement!F17</f>
        <v>4295.8</v>
      </c>
      <c r="G6" s="13">
        <f>Income_Statement!G17</f>
        <v>4312.3999999999996</v>
      </c>
    </row>
    <row r="7" spans="2:15" ht="18.75" x14ac:dyDescent="0.25">
      <c r="B7" s="12" t="str">
        <f>Income_Statement!B9</f>
        <v>Net Sales</v>
      </c>
      <c r="C7" s="13">
        <f>Income_Statement!C9</f>
        <v>14202.8</v>
      </c>
      <c r="D7" s="13">
        <f>Income_Statement!D9</f>
        <v>15385.1</v>
      </c>
      <c r="E7" s="13">
        <f>Income_Statement!E9</f>
        <v>17460</v>
      </c>
      <c r="F7" s="13">
        <f>Income_Statement!F9</f>
        <v>18972.2</v>
      </c>
      <c r="G7" s="13">
        <f>Income_Statement!G9</f>
        <v>21439.1</v>
      </c>
    </row>
    <row r="8" spans="2:15" ht="18.75" x14ac:dyDescent="0.25">
      <c r="B8" s="14" t="s">
        <v>175</v>
      </c>
      <c r="C8" s="14">
        <f>ROUND(C6/C7, 2)</f>
        <v>0.19</v>
      </c>
      <c r="D8" s="14">
        <f t="shared" ref="D8:G8" si="0">ROUND(D6/D7, 2)</f>
        <v>0.19</v>
      </c>
      <c r="E8" s="14">
        <f t="shared" si="0"/>
        <v>0.17</v>
      </c>
      <c r="F8" s="14">
        <f t="shared" si="0"/>
        <v>0.23</v>
      </c>
      <c r="G8" s="14">
        <f t="shared" si="0"/>
        <v>0.2</v>
      </c>
    </row>
  </sheetData>
  <mergeCells count="1">
    <mergeCell ref="B5:G5"/>
  </mergeCells>
  <hyperlinks>
    <hyperlink ref="F1" location="Index_Data!A1" tooltip="Hi click here To return Index page" display="Index_Data!A1" xr:uid="{E58431DB-8ACC-4183-946B-021719404CA1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9EDFC-36CF-4DDA-ADA4-7F9B6A6BC44C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4" width="11.5703125" bestFit="1" customWidth="1"/>
    <col min="5" max="5" width="12.28515625" bestFit="1" customWidth="1"/>
    <col min="6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176</v>
      </c>
      <c r="C5" s="44"/>
      <c r="D5" s="44"/>
      <c r="E5" s="44"/>
      <c r="F5" s="44"/>
      <c r="G5" s="44"/>
    </row>
    <row r="6" spans="2:15" ht="18.75" x14ac:dyDescent="0.25">
      <c r="B6" s="12" t="str">
        <f>Balance_Sheet!B70</f>
        <v>Cash And Cash Equivalents</v>
      </c>
      <c r="C6" s="13">
        <f>Balance_Sheet!C70</f>
        <v>263.8</v>
      </c>
      <c r="D6" s="13">
        <f>Balance_Sheet!D70</f>
        <v>5893.4219368089916</v>
      </c>
      <c r="E6" s="13">
        <f>Balance_Sheet!E70</f>
        <v>9895.6574809097929</v>
      </c>
      <c r="F6" s="13">
        <f>Balance_Sheet!F70</f>
        <v>13814.872840225004</v>
      </c>
      <c r="G6" s="13">
        <f>Balance_Sheet!G70</f>
        <v>19789.195434457037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2630.9</v>
      </c>
      <c r="D7" s="13">
        <f>Income_Statement!D17</f>
        <v>2889.4</v>
      </c>
      <c r="E7" s="13">
        <f>Income_Statement!E17</f>
        <v>2984.8</v>
      </c>
      <c r="F7" s="13">
        <f>Income_Statement!F17</f>
        <v>4295.8</v>
      </c>
      <c r="G7" s="13">
        <f>Income_Statement!G17</f>
        <v>4312.3999999999996</v>
      </c>
    </row>
    <row r="8" spans="2:15" ht="18.75" x14ac:dyDescent="0.25">
      <c r="B8" s="14" t="s">
        <v>177</v>
      </c>
      <c r="C8" s="14">
        <f>ROUND(C6/C7*365, 2)</f>
        <v>36.6</v>
      </c>
      <c r="D8" s="14">
        <f t="shared" ref="D8:G8" si="0">ROUND(D6/D7*365, 2)</f>
        <v>744.48</v>
      </c>
      <c r="E8" s="14">
        <f t="shared" si="0"/>
        <v>1210.0999999999999</v>
      </c>
      <c r="F8" s="14">
        <f t="shared" si="0"/>
        <v>1173.8</v>
      </c>
      <c r="G8" s="14">
        <f t="shared" si="0"/>
        <v>1674.95</v>
      </c>
    </row>
  </sheetData>
  <mergeCells count="1">
    <mergeCell ref="B5:G5"/>
  </mergeCells>
  <hyperlinks>
    <hyperlink ref="F1" location="Index_Data!A1" tooltip="Hi click here To return Index page" display="Index_Data!A1" xr:uid="{C3D9C1C6-7A7E-427D-9AA7-414509DBBB7F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D4D02-6587-49E7-974A-112BC7F04F02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0" bestFit="1" customWidth="1"/>
    <col min="4" max="5" width="11.5703125" bestFit="1" customWidth="1"/>
    <col min="6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178</v>
      </c>
      <c r="C5" s="44"/>
      <c r="D5" s="44"/>
      <c r="E5" s="44"/>
      <c r="F5" s="44"/>
      <c r="G5" s="44"/>
    </row>
    <row r="6" spans="2:15" ht="18.75" x14ac:dyDescent="0.25">
      <c r="B6" s="12" t="str">
        <f>Balance_Sheet!B70</f>
        <v>Cash And Cash Equivalents</v>
      </c>
      <c r="C6" s="13">
        <f>Balance_Sheet!C70</f>
        <v>263.8</v>
      </c>
      <c r="D6" s="13">
        <f>Balance_Sheet!D70</f>
        <v>5893.4219368089916</v>
      </c>
      <c r="E6" s="13">
        <f>Balance_Sheet!E70</f>
        <v>9895.6574809097929</v>
      </c>
      <c r="F6" s="13">
        <f>Balance_Sheet!F70</f>
        <v>13814.872840225004</v>
      </c>
      <c r="G6" s="13">
        <f>Balance_Sheet!G70</f>
        <v>19789.195434457037</v>
      </c>
    </row>
    <row r="7" spans="2:15" ht="18.75" x14ac:dyDescent="0.25">
      <c r="B7" s="12" t="s">
        <v>179</v>
      </c>
      <c r="C7" s="13">
        <v>365</v>
      </c>
      <c r="D7" s="13">
        <v>365</v>
      </c>
      <c r="E7" s="13">
        <v>365</v>
      </c>
      <c r="F7" s="13">
        <v>365</v>
      </c>
      <c r="G7" s="13">
        <v>365</v>
      </c>
    </row>
    <row r="8" spans="2:15" ht="18.75" x14ac:dyDescent="0.25">
      <c r="B8" s="14" t="s">
        <v>180</v>
      </c>
      <c r="C8" s="14">
        <f>ROUND(C6/C7*365, 2)</f>
        <v>263.8</v>
      </c>
      <c r="D8" s="14">
        <f t="shared" ref="D8:G8" si="0">ROUND(D6/D7*365, 2)</f>
        <v>5893.42</v>
      </c>
      <c r="E8" s="14">
        <f t="shared" si="0"/>
        <v>9895.66</v>
      </c>
      <c r="F8" s="14">
        <f t="shared" si="0"/>
        <v>13814.87</v>
      </c>
      <c r="G8" s="14">
        <f t="shared" si="0"/>
        <v>19789.2</v>
      </c>
    </row>
  </sheetData>
  <mergeCells count="1">
    <mergeCell ref="B5:G5"/>
  </mergeCells>
  <hyperlinks>
    <hyperlink ref="F1" location="Index_Data!A1" tooltip="Hi click here To return Index page" display="Index_Data!A1" xr:uid="{21BE9A2D-77E3-4CFE-B169-B9CE3C5DBBCC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C36AF-EBCD-4B95-B4F4-29378E5168ED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181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14202.8</v>
      </c>
      <c r="D6" s="13">
        <f>Income_Statement!D5</f>
        <v>15385.1</v>
      </c>
      <c r="E6" s="13">
        <f>Income_Statement!E5</f>
        <v>17460</v>
      </c>
      <c r="F6" s="13">
        <f>Income_Statement!F5</f>
        <v>18972.2</v>
      </c>
      <c r="G6" s="13">
        <f>Income_Statement!G5</f>
        <v>21439.1</v>
      </c>
    </row>
    <row r="7" spans="2:15" ht="18.75" x14ac:dyDescent="0.25">
      <c r="B7" s="12" t="str">
        <f>Balance_Sheet!B74</f>
        <v>Total Assets</v>
      </c>
      <c r="C7" s="13">
        <f>Balance_Sheet!C74</f>
        <v>22544.300000000003</v>
      </c>
      <c r="D7" s="13">
        <f>Balance_Sheet!D74</f>
        <v>24074.521936808989</v>
      </c>
      <c r="E7" s="13">
        <f>Balance_Sheet!E74</f>
        <v>29027.75748090979</v>
      </c>
      <c r="F7" s="13">
        <f>Balance_Sheet!F74</f>
        <v>34250.972840225004</v>
      </c>
      <c r="G7" s="13">
        <f>Balance_Sheet!G74</f>
        <v>41877.695434457033</v>
      </c>
    </row>
    <row r="8" spans="2:15" ht="18.75" x14ac:dyDescent="0.25">
      <c r="B8" s="14" t="s">
        <v>182</v>
      </c>
      <c r="C8" s="14">
        <f>ROUND(C6/C7, 2)</f>
        <v>0.63</v>
      </c>
      <c r="D8" s="14">
        <f t="shared" ref="D8:G8" si="0">ROUND(D6/D7, 2)</f>
        <v>0.64</v>
      </c>
      <c r="E8" s="14">
        <f t="shared" si="0"/>
        <v>0.6</v>
      </c>
      <c r="F8" s="14">
        <f t="shared" si="0"/>
        <v>0.55000000000000004</v>
      </c>
      <c r="G8" s="14">
        <f t="shared" si="0"/>
        <v>0.51</v>
      </c>
    </row>
  </sheetData>
  <mergeCells count="1">
    <mergeCell ref="B5:G5"/>
  </mergeCells>
  <hyperlinks>
    <hyperlink ref="F1" location="Index_Data!A1" tooltip="Hi click here To return Index page" display="Index_Data!A1" xr:uid="{CBA4A82D-D26B-48BA-AE41-B96FDAC09F6A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1A745-C04F-4940-BAD5-AC91D978BF8F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183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14202.8</v>
      </c>
      <c r="D6" s="13">
        <f>Income_Statement!D5</f>
        <v>15385.1</v>
      </c>
      <c r="E6" s="13">
        <f>Income_Statement!E5</f>
        <v>17460</v>
      </c>
      <c r="F6" s="13">
        <f>Income_Statement!F5</f>
        <v>18972.2</v>
      </c>
      <c r="G6" s="13">
        <f>Income_Statement!G5</f>
        <v>21439.1</v>
      </c>
    </row>
    <row r="7" spans="2:15" ht="18.75" x14ac:dyDescent="0.25">
      <c r="B7" s="12" t="str">
        <f>Balance_Sheet!B66</f>
        <v>Inventories</v>
      </c>
      <c r="C7" s="13">
        <f>Balance_Sheet!C66</f>
        <v>2908.9</v>
      </c>
      <c r="D7" s="13">
        <f>Balance_Sheet!D66</f>
        <v>3357.9</v>
      </c>
      <c r="E7" s="13">
        <f>Balance_Sheet!E66</f>
        <v>3506.7</v>
      </c>
      <c r="F7" s="13">
        <f>Balance_Sheet!F66</f>
        <v>4541.2</v>
      </c>
      <c r="G7" s="13">
        <f>Balance_Sheet!G66</f>
        <v>5088.3999999999996</v>
      </c>
    </row>
    <row r="8" spans="2:15" ht="18.75" x14ac:dyDescent="0.25">
      <c r="B8" s="14" t="s">
        <v>184</v>
      </c>
      <c r="C8" s="14">
        <f>ROUND(C6/C7, 2)</f>
        <v>4.88</v>
      </c>
      <c r="D8" s="14">
        <f t="shared" ref="D8:G8" si="0">ROUND(D6/D7, 2)</f>
        <v>4.58</v>
      </c>
      <c r="E8" s="14">
        <f t="shared" si="0"/>
        <v>4.9800000000000004</v>
      </c>
      <c r="F8" s="14">
        <f t="shared" si="0"/>
        <v>4.18</v>
      </c>
      <c r="G8" s="14">
        <f t="shared" si="0"/>
        <v>4.21</v>
      </c>
    </row>
  </sheetData>
  <mergeCells count="1">
    <mergeCell ref="B5:G5"/>
  </mergeCells>
  <hyperlinks>
    <hyperlink ref="F1" location="Index_Data!A1" tooltip="Hi click here To return Index page" display="Index_Data!A1" xr:uid="{C021648D-93E8-4B8B-8BE0-756E83435C4A}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4321F-E014-4DA9-B392-5F8DAC3CC33C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185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14202.8</v>
      </c>
      <c r="D6" s="13">
        <f>Income_Statement!D5</f>
        <v>15385.1</v>
      </c>
      <c r="E6" s="13">
        <f>Income_Statement!E5</f>
        <v>17460</v>
      </c>
      <c r="F6" s="13">
        <f>Income_Statement!F5</f>
        <v>18972.2</v>
      </c>
      <c r="G6" s="13">
        <f>Income_Statement!G5</f>
        <v>21439.1</v>
      </c>
    </row>
    <row r="7" spans="2:15" ht="18.75" x14ac:dyDescent="0.25">
      <c r="B7" s="12" t="str">
        <f>Balance_Sheet!B68</f>
        <v>Trade Receivables</v>
      </c>
      <c r="C7" s="13">
        <f>Balance_Sheet!C68</f>
        <v>4052.7</v>
      </c>
      <c r="D7" s="13">
        <f>Balance_Sheet!D68</f>
        <v>3986.9</v>
      </c>
      <c r="E7" s="13">
        <f>Balance_Sheet!E68</f>
        <v>5027.8</v>
      </c>
      <c r="F7" s="13">
        <f>Balance_Sheet!F68</f>
        <v>4964.1000000000004</v>
      </c>
      <c r="G7" s="13">
        <f>Balance_Sheet!G68</f>
        <v>6676.4</v>
      </c>
    </row>
    <row r="8" spans="2:15" ht="18.75" x14ac:dyDescent="0.25">
      <c r="B8" s="14" t="s">
        <v>186</v>
      </c>
      <c r="C8" s="14">
        <f>ROUND(C6/C7, 2)</f>
        <v>3.5</v>
      </c>
      <c r="D8" s="14">
        <f t="shared" ref="D8:G8" si="0">ROUND(D6/D7, 2)</f>
        <v>3.86</v>
      </c>
      <c r="E8" s="14">
        <f t="shared" si="0"/>
        <v>3.47</v>
      </c>
      <c r="F8" s="14">
        <f t="shared" si="0"/>
        <v>3.82</v>
      </c>
      <c r="G8" s="14">
        <f t="shared" si="0"/>
        <v>3.21</v>
      </c>
    </row>
  </sheetData>
  <mergeCells count="1">
    <mergeCell ref="B5:G5"/>
  </mergeCells>
  <hyperlinks>
    <hyperlink ref="F1" location="Index_Data!A1" tooltip="Hi click here To return Index page" display="Index_Data!A1" xr:uid="{2D9BA2C3-937E-4694-AE96-1BEE9F877F21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C9D65-FD25-4EDA-BFC8-21983D5ECFEF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187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14202.8</v>
      </c>
      <c r="D6" s="13">
        <f>Income_Statement!D5</f>
        <v>15385.1</v>
      </c>
      <c r="E6" s="13">
        <f>Income_Statement!E5</f>
        <v>17460</v>
      </c>
      <c r="F6" s="13">
        <f>Income_Statement!F5</f>
        <v>18972.2</v>
      </c>
      <c r="G6" s="13">
        <f>Income_Statement!G5</f>
        <v>21439.1</v>
      </c>
    </row>
    <row r="7" spans="2:15" ht="18.75" x14ac:dyDescent="0.25">
      <c r="B7" s="12" t="str">
        <f>Balance_Sheet!B40</f>
        <v>Tangible Assets</v>
      </c>
      <c r="C7" s="13">
        <f>Balance_Sheet!C40</f>
        <v>4973.3</v>
      </c>
      <c r="D7" s="13">
        <f>Balance_Sheet!D40</f>
        <v>4912.7</v>
      </c>
      <c r="E7" s="13">
        <f>Balance_Sheet!E40</f>
        <v>4777.8999999999996</v>
      </c>
      <c r="F7" s="13">
        <f>Balance_Sheet!F40</f>
        <v>4732.2</v>
      </c>
      <c r="G7" s="13">
        <f>Balance_Sheet!G40</f>
        <v>8867.6</v>
      </c>
    </row>
    <row r="8" spans="2:15" ht="18.75" x14ac:dyDescent="0.25">
      <c r="B8" s="14" t="s">
        <v>188</v>
      </c>
      <c r="C8" s="14">
        <f>ROUND(C6/C7, 2)</f>
        <v>2.86</v>
      </c>
      <c r="D8" s="14">
        <f t="shared" ref="D8:G8" si="0">ROUND(D6/D7, 2)</f>
        <v>3.13</v>
      </c>
      <c r="E8" s="14">
        <f t="shared" si="0"/>
        <v>3.65</v>
      </c>
      <c r="F8" s="14">
        <f t="shared" si="0"/>
        <v>4.01</v>
      </c>
      <c r="G8" s="14">
        <f t="shared" si="0"/>
        <v>2.42</v>
      </c>
    </row>
  </sheetData>
  <mergeCells count="1">
    <mergeCell ref="B5:G5"/>
  </mergeCells>
  <hyperlinks>
    <hyperlink ref="F1" location="Index_Data!A1" tooltip="Hi click here To return Index page" display="Index_Data!A1" xr:uid="{4800696A-3757-4F62-81EE-063EA239B951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FDA4D-A97A-40F8-8CB2-0F2BF8C38ECC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189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2630.9</v>
      </c>
      <c r="D6" s="13">
        <f>Income_Statement!D17</f>
        <v>2889.4</v>
      </c>
      <c r="E6" s="13">
        <f>Income_Statement!E17</f>
        <v>2984.8</v>
      </c>
      <c r="F6" s="13">
        <f>Income_Statement!F17</f>
        <v>4295.8</v>
      </c>
      <c r="G6" s="13">
        <f>Income_Statement!G17</f>
        <v>4312.3999999999996</v>
      </c>
    </row>
    <row r="7" spans="2:15" ht="18.75" x14ac:dyDescent="0.25">
      <c r="B7" s="12" t="str">
        <f>Balance_Sheet!B33</f>
        <v>Total Current Liabilities</v>
      </c>
      <c r="C7" s="13">
        <f>Balance_Sheet!C33</f>
        <v>4712.6000000000004</v>
      </c>
      <c r="D7" s="13">
        <f>Balance_Sheet!D33</f>
        <v>4982.2</v>
      </c>
      <c r="E7" s="13">
        <f>Balance_Sheet!E33</f>
        <v>5840.9</v>
      </c>
      <c r="F7" s="13">
        <f>Balance_Sheet!F33</f>
        <v>6001.8</v>
      </c>
      <c r="G7" s="13">
        <f>Balance_Sheet!G33</f>
        <v>7250.3</v>
      </c>
    </row>
    <row r="8" spans="2:15" ht="18.75" x14ac:dyDescent="0.25">
      <c r="B8" s="14" t="s">
        <v>190</v>
      </c>
      <c r="C8" s="14">
        <f>ROUND(C6/C7, 2)</f>
        <v>0.56000000000000005</v>
      </c>
      <c r="D8" s="14">
        <f t="shared" ref="D8:G8" si="0">ROUND(D6/D7, 2)</f>
        <v>0.57999999999999996</v>
      </c>
      <c r="E8" s="14">
        <f t="shared" si="0"/>
        <v>0.51</v>
      </c>
      <c r="F8" s="14">
        <f t="shared" si="0"/>
        <v>0.72</v>
      </c>
      <c r="G8" s="14">
        <f t="shared" si="0"/>
        <v>0.59</v>
      </c>
    </row>
  </sheetData>
  <mergeCells count="1">
    <mergeCell ref="B5:G5"/>
  </mergeCells>
  <hyperlinks>
    <hyperlink ref="F1" location="Index_Data!A1" tooltip="Hi click here To return Index page" display="Index_Data!A1" xr:uid="{676EB3E4-383F-48AA-B3ED-D079FEF9C0C4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FF839-F571-48F5-9D1A-486ACE0A0FE1}">
  <dimension ref="A1:A48"/>
  <sheetViews>
    <sheetView showGridLines="0" tabSelected="1" topLeftCell="A34" workbookViewId="0">
      <selection activeCell="A48" sqref="A48"/>
    </sheetView>
  </sheetViews>
  <sheetFormatPr defaultRowHeight="15" x14ac:dyDescent="0.25"/>
  <cols>
    <col min="1" max="1" width="33.140625" bestFit="1" customWidth="1"/>
  </cols>
  <sheetData>
    <row r="1" spans="1:1" x14ac:dyDescent="0.25">
      <c r="A1" s="47" t="s">
        <v>270</v>
      </c>
    </row>
    <row r="2" spans="1:1" x14ac:dyDescent="0.25">
      <c r="A2" s="47" t="s">
        <v>272</v>
      </c>
    </row>
    <row r="3" spans="1:1" x14ac:dyDescent="0.25">
      <c r="A3" s="48"/>
    </row>
    <row r="4" spans="1:1" x14ac:dyDescent="0.25">
      <c r="A4" s="47" t="s">
        <v>120</v>
      </c>
    </row>
    <row r="5" spans="1:1" x14ac:dyDescent="0.25">
      <c r="A5" s="47" t="s">
        <v>128</v>
      </c>
    </row>
    <row r="6" spans="1:1" x14ac:dyDescent="0.25">
      <c r="A6" s="47" t="s">
        <v>143</v>
      </c>
    </row>
    <row r="7" spans="1:1" x14ac:dyDescent="0.25">
      <c r="A7" s="47" t="s">
        <v>273</v>
      </c>
    </row>
    <row r="8" spans="1:1" x14ac:dyDescent="0.25">
      <c r="A8" s="47" t="s">
        <v>146</v>
      </c>
    </row>
    <row r="9" spans="1:1" x14ac:dyDescent="0.25">
      <c r="A9" s="47" t="s">
        <v>148</v>
      </c>
    </row>
    <row r="10" spans="1:1" x14ac:dyDescent="0.25">
      <c r="A10" s="47" t="s">
        <v>150</v>
      </c>
    </row>
    <row r="11" spans="1:1" x14ac:dyDescent="0.25">
      <c r="A11" s="47" t="s">
        <v>152</v>
      </c>
    </row>
    <row r="12" spans="1:1" x14ac:dyDescent="0.25">
      <c r="A12" s="47" t="s">
        <v>155</v>
      </c>
    </row>
    <row r="13" spans="1:1" x14ac:dyDescent="0.25">
      <c r="A13" s="47" t="s">
        <v>157</v>
      </c>
    </row>
    <row r="14" spans="1:1" x14ac:dyDescent="0.25">
      <c r="A14" s="47" t="s">
        <v>159</v>
      </c>
    </row>
    <row r="15" spans="1:1" x14ac:dyDescent="0.25">
      <c r="A15" s="47" t="s">
        <v>161</v>
      </c>
    </row>
    <row r="16" spans="1:1" x14ac:dyDescent="0.25">
      <c r="A16" s="47" t="s">
        <v>163</v>
      </c>
    </row>
    <row r="17" spans="1:1" x14ac:dyDescent="0.25">
      <c r="A17" s="47" t="s">
        <v>165</v>
      </c>
    </row>
    <row r="18" spans="1:1" x14ac:dyDescent="0.25">
      <c r="A18" s="47" t="s">
        <v>167</v>
      </c>
    </row>
    <row r="19" spans="1:1" x14ac:dyDescent="0.25">
      <c r="A19" s="47" t="s">
        <v>169</v>
      </c>
    </row>
    <row r="20" spans="1:1" x14ac:dyDescent="0.25">
      <c r="A20" s="47" t="s">
        <v>171</v>
      </c>
    </row>
    <row r="21" spans="1:1" x14ac:dyDescent="0.25">
      <c r="A21" s="47" t="s">
        <v>173</v>
      </c>
    </row>
    <row r="22" spans="1:1" x14ac:dyDescent="0.25">
      <c r="A22" s="47" t="s">
        <v>175</v>
      </c>
    </row>
    <row r="23" spans="1:1" x14ac:dyDescent="0.25">
      <c r="A23" s="47" t="s">
        <v>177</v>
      </c>
    </row>
    <row r="24" spans="1:1" x14ac:dyDescent="0.25">
      <c r="A24" s="47" t="s">
        <v>180</v>
      </c>
    </row>
    <row r="25" spans="1:1" x14ac:dyDescent="0.25">
      <c r="A25" s="47" t="s">
        <v>182</v>
      </c>
    </row>
    <row r="26" spans="1:1" x14ac:dyDescent="0.25">
      <c r="A26" s="47" t="s">
        <v>184</v>
      </c>
    </row>
    <row r="27" spans="1:1" x14ac:dyDescent="0.25">
      <c r="A27" s="47" t="s">
        <v>186</v>
      </c>
    </row>
    <row r="28" spans="1:1" x14ac:dyDescent="0.25">
      <c r="A28" s="47" t="s">
        <v>188</v>
      </c>
    </row>
    <row r="29" spans="1:1" x14ac:dyDescent="0.25">
      <c r="A29" s="47" t="s">
        <v>190</v>
      </c>
    </row>
    <row r="30" spans="1:1" x14ac:dyDescent="0.25">
      <c r="A30" s="47" t="s">
        <v>192</v>
      </c>
    </row>
    <row r="31" spans="1:1" x14ac:dyDescent="0.25">
      <c r="A31" s="47" t="s">
        <v>194</v>
      </c>
    </row>
    <row r="32" spans="1:1" x14ac:dyDescent="0.25">
      <c r="A32" s="47" t="s">
        <v>196</v>
      </c>
    </row>
    <row r="33" spans="1:1" x14ac:dyDescent="0.25">
      <c r="A33" s="47" t="s">
        <v>198</v>
      </c>
    </row>
    <row r="34" spans="1:1" x14ac:dyDescent="0.25">
      <c r="A34" s="47" t="s">
        <v>201</v>
      </c>
    </row>
    <row r="35" spans="1:1" x14ac:dyDescent="0.25">
      <c r="A35" s="47" t="s">
        <v>274</v>
      </c>
    </row>
    <row r="36" spans="1:1" x14ac:dyDescent="0.25">
      <c r="A36" s="47" t="s">
        <v>275</v>
      </c>
    </row>
    <row r="37" spans="1:1" x14ac:dyDescent="0.25">
      <c r="A37" s="47" t="s">
        <v>276</v>
      </c>
    </row>
    <row r="38" spans="1:1" x14ac:dyDescent="0.25">
      <c r="A38" s="47" t="s">
        <v>278</v>
      </c>
    </row>
    <row r="39" spans="1:1" x14ac:dyDescent="0.25">
      <c r="A39" s="47" t="s">
        <v>279</v>
      </c>
    </row>
    <row r="40" spans="1:1" x14ac:dyDescent="0.25">
      <c r="A40" s="47" t="s">
        <v>280</v>
      </c>
    </row>
    <row r="41" spans="1:1" x14ac:dyDescent="0.25">
      <c r="A41" s="47" t="s">
        <v>281</v>
      </c>
    </row>
    <row r="42" spans="1:1" x14ac:dyDescent="0.25">
      <c r="A42" s="47" t="s">
        <v>282</v>
      </c>
    </row>
    <row r="43" spans="1:1" x14ac:dyDescent="0.25">
      <c r="A43" s="47" t="s">
        <v>283</v>
      </c>
    </row>
    <row r="44" spans="1:1" x14ac:dyDescent="0.25">
      <c r="A44" s="47" t="s">
        <v>284</v>
      </c>
    </row>
    <row r="45" spans="1:1" x14ac:dyDescent="0.25">
      <c r="A45" s="47" t="s">
        <v>277</v>
      </c>
    </row>
    <row r="46" spans="1:1" x14ac:dyDescent="0.25">
      <c r="A46" s="47" t="s">
        <v>285</v>
      </c>
    </row>
    <row r="47" spans="1:1" x14ac:dyDescent="0.25">
      <c r="A47" s="47" t="s">
        <v>286</v>
      </c>
    </row>
    <row r="48" spans="1:1" x14ac:dyDescent="0.25">
      <c r="A48" s="47" t="s">
        <v>287</v>
      </c>
    </row>
  </sheetData>
  <hyperlinks>
    <hyperlink ref="A1" location="BSInput!A1" tooltip="Hi click here to view the sheet" display="BSInput!A1" xr:uid="{94754153-6FF9-45E9-8F9A-6617085810EB}"/>
    <hyperlink ref="A2" location="ISMInput!A1" tooltip="Hi click here to view the sheet" display="ISMInput!A1" xr:uid="{4A34B2D8-87FB-4DDA-B7E7-B5AD87C07102}"/>
    <hyperlink ref="A4" location="Income_Statement!A1" tooltip="Hi click here to view the sheet" display="Income_Statement!A1" xr:uid="{EE911330-E0D4-4AC6-BFF3-F06C2E7C1F83}"/>
    <hyperlink ref="A5" location="Balance_Sheet!A1" tooltip="Hi click here to view the sheet" display="Balance_Sheet!A1" xr:uid="{294A8A22-05AD-4DDD-A959-A5FB6B0A76F2}"/>
    <hyperlink ref="A6" location="CashFlow_Statement!A1" tooltip="Hi click here to view the sheet" display="CashFlow_Statement!A1" xr:uid="{CC4F7980-DE32-4CEE-AC6D-C7FA9552B5E0}"/>
    <hyperlink ref="A7" location="Ratios!A1" tooltip="Hi click here to view the sheet" display="Ratios!A1" xr:uid="{B3FE079D-8B67-4776-A5D1-7A084B9C6E97}"/>
    <hyperlink ref="A8" location="Earning__Per_Share!A1" tooltip="Hi click here to view the sheet" display="Earning__Per_Share!A1" xr:uid="{F0EC5E64-184C-401E-BD44-39DE881B4A5F}"/>
    <hyperlink ref="A9" location="Equity_Dividend_Per_Share!A1" tooltip="Hi click here to view the sheet" display="Equity_Dividend_Per_Share!A1" xr:uid="{1F52A2E5-4123-4600-897E-5251EA730C54}"/>
    <hyperlink ref="A10" location="Book_Value__Per_Share!A1" tooltip="Hi click here to view the sheet" display="Book_Value__Per_Share!A1" xr:uid="{D41AE783-D5E2-4C7A-9B17-6C579FC26B83}"/>
    <hyperlink ref="A11" location="Dividend_Pay_Out_Ratio!A1" tooltip="Hi click here to view the sheet" display="Dividend_Pay_Out_Ratio!A1" xr:uid="{61C40D34-50F0-4A79-8ABD-4454E5ACF4C1}"/>
    <hyperlink ref="A12" location="Dividend_Retention_Ratio!A1" tooltip="Hi click here to view the sheet" display="Dividend_Retention_Ratio!A1" xr:uid="{33DF9928-447C-4C48-BF94-2E1412677AD0}"/>
    <hyperlink ref="A13" location="Gross_Profit!A1" tooltip="Hi click here to view the sheet" display="Gross_Profit!A1" xr:uid="{5DF9A80F-6C49-4718-8E96-5F0258BF2942}"/>
    <hyperlink ref="A14" location="Net_Profit!A1" tooltip="Hi click here to view the sheet" display="Net_Profit!A1" xr:uid="{27932D6B-8578-415B-8C25-BFA5CD5ADB1E}"/>
    <hyperlink ref="A15" location="Return_On_Assets!A1" tooltip="Hi click here to view the sheet" display="Return_On_Assets!A1" xr:uid="{34996E44-7D5B-469F-B55F-0CD3837A5ED0}"/>
    <hyperlink ref="A16" location="Return_On_Capital_Employeed!A1" tooltip="Hi click here to view the sheet" display="Return_On_Capital_Employeed!A1" xr:uid="{4D173CCD-A385-4768-A1B7-8CDFBA390ADD}"/>
    <hyperlink ref="A17" location="Return_On_Equity!A1" tooltip="Hi click here to view the sheet" display="Return_On_Equity!A1" xr:uid="{3D8D913B-5414-4CA3-8214-0A9A749F3B7E}"/>
    <hyperlink ref="A18" location="Debt_Equity_Ratio!A1" tooltip="Hi click here to view the sheet" display="Debt_Equity_Ratio!A1" xr:uid="{C2CA36B0-EBD1-4E46-B2B8-6837D53BA804}"/>
    <hyperlink ref="A19" location="Current_Ratio!A1" tooltip="Hi click here to view the sheet" display="Current_Ratio!A1" xr:uid="{E43C7853-E8BB-4D83-B59C-DC94B49B34AD}"/>
    <hyperlink ref="A20" location="Quick_Ratio!A1" tooltip="Hi click here to view the sheet" display="Quick_Ratio!A1" xr:uid="{5B7CC47D-A43A-4C5E-AEAB-523B5BEF4A19}"/>
    <hyperlink ref="A21" location="Interest_Coverage_Ratio!A1" tooltip="Hi click here to view the sheet" display="Interest_Coverage_Ratio!A1" xr:uid="{FD96BD76-69E5-4887-A94B-14E76281B112}"/>
    <hyperlink ref="A22" location="Material_Consumed!A1" tooltip="Hi click here to view the sheet" display="Material_Consumed!A1" xr:uid="{65F41E30-75E4-4BA8-BC75-E580CA8C83BC}"/>
    <hyperlink ref="A23" location="Defensive_Interval_Ratio!A1" tooltip="Hi click here to view the sheet" display="Defensive_Interval_Ratio!A1" xr:uid="{2B343482-215F-4BEB-9CC4-24C114A01B6D}"/>
    <hyperlink ref="A24" location="Purchases_Per_Day!A1" tooltip="Hi click here to view the sheet" display="Purchases_Per_Day!A1" xr:uid="{B30E07B6-793A-43A5-A078-C42EB11D1663}"/>
    <hyperlink ref="A25" location="Asset_TurnOver_Ratio!A1" tooltip="Hi click here to view the sheet" display="Asset_TurnOver_Ratio!A1" xr:uid="{7BDC9C40-0F84-4B98-8ADF-A4EE1FDF9FB3}"/>
    <hyperlink ref="A26" location="Inventory_TurnOver_Ratio!A1" tooltip="Hi click here to view the sheet" display="Inventory_TurnOver_Ratio!A1" xr:uid="{EF894051-152C-4B43-80F9-D67E7FA50121}"/>
    <hyperlink ref="A27" location="Debtors_TurnOver_Ratio!A1" tooltip="Hi click here to view the sheet" display="Debtors_TurnOver_Ratio!A1" xr:uid="{C948F724-A6F9-4BFC-90AB-F38EBC09B033}"/>
    <hyperlink ref="A28" location="Fixed_Assets_TurnOver_Ratio!A1" tooltip="Hi click here to view the sheet" display="Fixed_Assets_TurnOver_Ratio!A1" xr:uid="{8ED93C93-3B81-4D85-A587-179EDCDD687A}"/>
    <hyperlink ref="A29" location="Payable_TurnOver_Ratio!A1" tooltip="Hi click here to view the sheet" display="Payable_TurnOver_Ratio!A1" xr:uid="{66400863-2AC0-48B5-BA9E-B0E3909925D2}"/>
    <hyperlink ref="A30" location="Inventory_Days!A1" tooltip="Hi click here to view the sheet" display="Inventory_Days!A1" xr:uid="{2B5E22B4-EE0D-4F00-8A3F-9DA498442C20}"/>
    <hyperlink ref="A31" location="Payable_Days!A1" tooltip="Hi click here to view the sheet" display="Payable_Days!A1" xr:uid="{C97CC85C-2565-4A44-930C-AFC3233A1700}"/>
    <hyperlink ref="A32" location="Receivable_Days!A1" tooltip="Hi click here to view the sheet" display="Receivable_Days!A1" xr:uid="{E7134118-4F7F-4F51-B718-E8AC3B40E952}"/>
    <hyperlink ref="A33" location="Operating_Cycle!A1" tooltip="Hi click here to view the sheet" display="Operating_Cycle!A1" xr:uid="{ECDEB9C3-666C-4694-B0D9-CBD4A97A2C3B}"/>
    <hyperlink ref="A34" location="Cash_Conversion_Cycle_Days!A1" tooltip="Hi click here to view the sheet" display="Cash_Conversion_Cycle_Days!A1" xr:uid="{7D7D00F5-6E01-4B0F-A1E9-E1C97D2C119B}"/>
    <hyperlink ref="A35" location="NetWorthVsTotalLiabilties!A1" tooltip="Hi click here to view the sheet" display="NetWorthVsTotalLiabilties!A1" xr:uid="{43A45A02-ED35-4C7A-BEB6-D14918282E79}"/>
    <hyperlink ref="A36" location="PBDITvsPBIT!A1" tooltip="Hi click here to view the sheet" display="PBDITvsPBIT!A1" xr:uid="{33904D6D-89AC-4C63-8731-A3563228CB37}"/>
    <hyperlink ref="A37" location="CAvsCL!A1" tooltip="Hi click here to view the sheet" display="CAvsCL!A1" xr:uid="{0C473D49-C0C2-4416-9DE1-8023A85B39AB}"/>
    <hyperlink ref="A38" location="Long_And_Short_Term_Provisions!A1" tooltip="Hi click here to view the sheet" display="Long_And_Short_Term_Provisions!A1" xr:uid="{29372BA8-B638-4457-B999-362E401765EF}"/>
    <hyperlink ref="A39" location="MaterialConsumed_DirectExpenses!A1" tooltip="Hi click here to view the sheet" display="MaterialConsumed_DirectExpenses!A1" xr:uid="{E86E83A2-59C9-43D0-A917-FABCB67B6878}"/>
    <hyperlink ref="A40" location="Gross_Sales_In_Total_Income!A1" tooltip="Hi click here to view the sheet" display="Gross_Sales_In_Total_Income!A1" xr:uid="{9B45DF85-B6FE-4648-87A9-D3047D866671}"/>
    <hyperlink ref="A41" location="Total_Debt_In_Liabilities!A1" tooltip="Hi click here to view the sheet" display="Total_Debt_In_Liabilities!A1" xr:uid="{57BA68C1-6ED8-489B-9D6E-17F44663807E}"/>
    <hyperlink ref="A42" location="Total_CL_In_Liabilities!A1" tooltip="Hi click here to view the sheet" display="Total_CL_In_Liabilities!A1" xr:uid="{70D12B2A-080D-40C8-AAB2-843D0DD86A4B}"/>
    <hyperlink ref="A43" location="Total_NCA_In_Assets!A1" tooltip="Hi click here to view the sheet" display="Total_NCA_In_Assets!A1" xr:uid="{594DABAB-911F-4F78-A378-F4239F803462}"/>
    <hyperlink ref="A44" location="Total_CA_In_Assets!A1" tooltip="Hi click here to view the sheet" display="Total_CA_In_Assets!A1" xr:uid="{88E6E5DD-001B-4D3C-9868-686CB18C01AE}"/>
    <hyperlink ref="A45" location="TotalExpenditureVsTotalIncome!A1" tooltip="Hi click here to view the sheet" display="TotalExpenditureVsTotalIncome!A1" xr:uid="{99D940C6-C580-481B-B480-A8D79B8B9505}"/>
    <hyperlink ref="A46" location="Net_Profit_CF_To_Balance_Sheet!A1" tooltip="Hi click here to view the sheet" display="Net_Profit_CF_To_Balance_Sheet!A1" xr:uid="{AC683664-2C44-4CDE-BD8C-83E109951DF7}"/>
    <hyperlink ref="A47" location="BS_Backup!A1" tooltip="Hi click here to view the sheet" display="BS_Backup!A1" xr:uid="{CFA6E23A-228C-41AF-B4CC-D1B524D23DBD}"/>
    <hyperlink ref="A48" location="ISM_Backup!A1" tooltip="Hi click here to view the sheet" display="ISM_Backup!A1" xr:uid="{E9C1DFB6-ADCA-45B1-94D0-289C32DF6B86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78B6F-5679-4DC8-B70E-72655D8F82D0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191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14202.8</v>
      </c>
      <c r="D6" s="13">
        <f>Income_Statement!D5</f>
        <v>15385.1</v>
      </c>
      <c r="E6" s="13">
        <f>Income_Statement!E5</f>
        <v>17460</v>
      </c>
      <c r="F6" s="13">
        <f>Income_Statement!F5</f>
        <v>18972.2</v>
      </c>
      <c r="G6" s="13">
        <f>Income_Statement!G5</f>
        <v>21439.1</v>
      </c>
    </row>
    <row r="7" spans="2:15" ht="18.75" x14ac:dyDescent="0.25">
      <c r="B7" s="12" t="str">
        <f>Balance_Sheet!B66</f>
        <v>Inventories</v>
      </c>
      <c r="C7" s="13">
        <f>Balance_Sheet!C66</f>
        <v>2908.9</v>
      </c>
      <c r="D7" s="13">
        <f>Balance_Sheet!D66</f>
        <v>3357.9</v>
      </c>
      <c r="E7" s="13">
        <f>Balance_Sheet!E66</f>
        <v>3506.7</v>
      </c>
      <c r="F7" s="13">
        <f>Balance_Sheet!F66</f>
        <v>4541.2</v>
      </c>
      <c r="G7" s="13">
        <f>Balance_Sheet!G66</f>
        <v>5088.3999999999996</v>
      </c>
    </row>
    <row r="8" spans="2:15" ht="18.75" x14ac:dyDescent="0.25">
      <c r="B8" s="14" t="s">
        <v>192</v>
      </c>
      <c r="C8" s="14">
        <f>ROUND(365/C6*C7, 2)</f>
        <v>74.760000000000005</v>
      </c>
      <c r="D8" s="14">
        <f t="shared" ref="D8:G8" si="0">ROUND(365/D6*D7, 2)</f>
        <v>79.66</v>
      </c>
      <c r="E8" s="14">
        <f t="shared" si="0"/>
        <v>73.31</v>
      </c>
      <c r="F8" s="14">
        <f t="shared" si="0"/>
        <v>87.37</v>
      </c>
      <c r="G8" s="14">
        <f t="shared" si="0"/>
        <v>86.63</v>
      </c>
    </row>
  </sheetData>
  <mergeCells count="1">
    <mergeCell ref="B5:G5"/>
  </mergeCells>
  <hyperlinks>
    <hyperlink ref="F1" location="Index_Data!A1" tooltip="Hi click here To return Index page" display="Index_Data!A1" xr:uid="{48A16ABC-1B1F-488D-B096-6A076FA02766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09849-8D32-4193-95FB-271010749A11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193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2630.9</v>
      </c>
      <c r="D6" s="13">
        <f>Income_Statement!D17</f>
        <v>2889.4</v>
      </c>
      <c r="E6" s="13">
        <f>Income_Statement!E17</f>
        <v>2984.8</v>
      </c>
      <c r="F6" s="13">
        <f>Income_Statement!F17</f>
        <v>4295.8</v>
      </c>
      <c r="G6" s="13">
        <f>Income_Statement!G17</f>
        <v>4312.3999999999996</v>
      </c>
    </row>
    <row r="7" spans="2:15" ht="18.75" x14ac:dyDescent="0.25">
      <c r="B7" s="12" t="str">
        <f>Balance_Sheet!B33</f>
        <v>Total Current Liabilities</v>
      </c>
      <c r="C7" s="13">
        <f>Balance_Sheet!C33</f>
        <v>4712.6000000000004</v>
      </c>
      <c r="D7" s="13">
        <f>Balance_Sheet!D33</f>
        <v>4982.2</v>
      </c>
      <c r="E7" s="13">
        <f>Balance_Sheet!E33</f>
        <v>5840.9</v>
      </c>
      <c r="F7" s="13">
        <f>Balance_Sheet!F33</f>
        <v>6001.8</v>
      </c>
      <c r="G7" s="13">
        <f>Balance_Sheet!G33</f>
        <v>7250.3</v>
      </c>
    </row>
    <row r="8" spans="2:15" ht="18.75" x14ac:dyDescent="0.25">
      <c r="B8" s="14" t="s">
        <v>194</v>
      </c>
      <c r="C8" s="14">
        <f>ROUND(365/C6*C7, 2)</f>
        <v>653.80999999999995</v>
      </c>
      <c r="D8" s="14">
        <f t="shared" ref="D8:G8" si="0">ROUND(365/D6*D7, 2)</f>
        <v>629.37</v>
      </c>
      <c r="E8" s="14">
        <f t="shared" si="0"/>
        <v>714.26</v>
      </c>
      <c r="F8" s="14">
        <f t="shared" si="0"/>
        <v>509.95</v>
      </c>
      <c r="G8" s="14">
        <f t="shared" si="0"/>
        <v>613.66</v>
      </c>
    </row>
  </sheetData>
  <mergeCells count="1">
    <mergeCell ref="B5:G5"/>
  </mergeCells>
  <hyperlinks>
    <hyperlink ref="F1" location="Index_Data!A1" tooltip="Hi click here To return Index page" display="Index_Data!A1" xr:uid="{2651DDA2-42F3-4584-B7CA-BD28EF9C6933}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7E79D-63B4-487D-945B-D809AAD04F37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195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14202.8</v>
      </c>
      <c r="D6" s="13">
        <f>Income_Statement!D5</f>
        <v>15385.1</v>
      </c>
      <c r="E6" s="13">
        <f>Income_Statement!E5</f>
        <v>17460</v>
      </c>
      <c r="F6" s="13">
        <f>Income_Statement!F5</f>
        <v>18972.2</v>
      </c>
      <c r="G6" s="13">
        <f>Income_Statement!G5</f>
        <v>21439.1</v>
      </c>
    </row>
    <row r="7" spans="2:15" ht="18.75" x14ac:dyDescent="0.25">
      <c r="B7" s="12" t="str">
        <f>Balance_Sheet!B68</f>
        <v>Trade Receivables</v>
      </c>
      <c r="C7" s="13">
        <f>Balance_Sheet!C68</f>
        <v>4052.7</v>
      </c>
      <c r="D7" s="13">
        <f>Balance_Sheet!D68</f>
        <v>3986.9</v>
      </c>
      <c r="E7" s="13">
        <f>Balance_Sheet!E68</f>
        <v>5027.8</v>
      </c>
      <c r="F7" s="13">
        <f>Balance_Sheet!F68</f>
        <v>4964.1000000000004</v>
      </c>
      <c r="G7" s="13">
        <f>Balance_Sheet!G68</f>
        <v>6676.4</v>
      </c>
    </row>
    <row r="8" spans="2:15" ht="18.75" x14ac:dyDescent="0.25">
      <c r="B8" s="14" t="s">
        <v>196</v>
      </c>
      <c r="C8" s="14">
        <f>ROUND(365/C6*C7, 2)</f>
        <v>104.15</v>
      </c>
      <c r="D8" s="14">
        <f t="shared" ref="D8:G8" si="0">ROUND(365/D6*D7, 2)</f>
        <v>94.59</v>
      </c>
      <c r="E8" s="14">
        <f t="shared" si="0"/>
        <v>105.11</v>
      </c>
      <c r="F8" s="14">
        <f t="shared" si="0"/>
        <v>95.5</v>
      </c>
      <c r="G8" s="14">
        <f t="shared" si="0"/>
        <v>113.67</v>
      </c>
    </row>
  </sheetData>
  <mergeCells count="1">
    <mergeCell ref="B5:G5"/>
  </mergeCells>
  <hyperlinks>
    <hyperlink ref="F1" location="Index_Data!A1" tooltip="Hi click here To return Index page" display="Index_Data!A1" xr:uid="{632B2AF6-2325-458C-BBBA-D0540795CD14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31331-1767-48E9-A239-2E2581DA942D}">
  <dimension ref="B1:O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197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14202.8</v>
      </c>
      <c r="D6" s="13">
        <f>Income_Statement!D5</f>
        <v>15385.1</v>
      </c>
      <c r="E6" s="13">
        <f>Income_Statement!E5</f>
        <v>17460</v>
      </c>
      <c r="F6" s="13">
        <f>Income_Statement!F5</f>
        <v>18972.2</v>
      </c>
      <c r="G6" s="13">
        <f>Income_Statement!G5</f>
        <v>21439.1</v>
      </c>
    </row>
    <row r="7" spans="2:15" ht="18.75" x14ac:dyDescent="0.25">
      <c r="B7" s="12" t="str">
        <f>Balance_Sheet!B66</f>
        <v>Inventories</v>
      </c>
      <c r="C7" s="13">
        <f>Balance_Sheet!C66</f>
        <v>2908.9</v>
      </c>
      <c r="D7" s="13">
        <f>Balance_Sheet!D66</f>
        <v>3357.9</v>
      </c>
      <c r="E7" s="13">
        <f>Balance_Sheet!E66</f>
        <v>3506.7</v>
      </c>
      <c r="F7" s="13">
        <f>Balance_Sheet!F66</f>
        <v>4541.2</v>
      </c>
      <c r="G7" s="13">
        <f>Balance_Sheet!G66</f>
        <v>5088.3999999999996</v>
      </c>
    </row>
    <row r="8" spans="2:15" ht="18.75" x14ac:dyDescent="0.25">
      <c r="B8" s="12" t="s">
        <v>192</v>
      </c>
      <c r="C8" s="13">
        <f>ROUND(365/C6*C7, 2)</f>
        <v>74.760000000000005</v>
      </c>
      <c r="D8" s="13">
        <f t="shared" ref="D8:G8" si="0">ROUND(365/D6*D7, 2)</f>
        <v>79.66</v>
      </c>
      <c r="E8" s="13">
        <f t="shared" si="0"/>
        <v>73.31</v>
      </c>
      <c r="F8" s="13">
        <f t="shared" si="0"/>
        <v>87.37</v>
      </c>
      <c r="G8" s="13">
        <f t="shared" si="0"/>
        <v>86.63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2630.9</v>
      </c>
      <c r="D9" s="13">
        <f>Income_Statement!D17</f>
        <v>2889.4</v>
      </c>
      <c r="E9" s="13">
        <f>Income_Statement!E17</f>
        <v>2984.8</v>
      </c>
      <c r="F9" s="13">
        <f>Income_Statement!F17</f>
        <v>4295.8</v>
      </c>
      <c r="G9" s="13">
        <f>Income_Statement!G17</f>
        <v>4312.3999999999996</v>
      </c>
    </row>
    <row r="10" spans="2:15" ht="18.75" x14ac:dyDescent="0.25">
      <c r="B10" s="12" t="str">
        <f>Balance_Sheet!B33</f>
        <v>Total Current Liabilities</v>
      </c>
      <c r="C10" s="13">
        <f>Balance_Sheet!C33</f>
        <v>4712.6000000000004</v>
      </c>
      <c r="D10" s="13">
        <f>Balance_Sheet!D33</f>
        <v>4982.2</v>
      </c>
      <c r="E10" s="13">
        <f>Balance_Sheet!E33</f>
        <v>5840.9</v>
      </c>
      <c r="F10" s="13">
        <f>Balance_Sheet!F33</f>
        <v>6001.8</v>
      </c>
      <c r="G10" s="13">
        <f>Balance_Sheet!G33</f>
        <v>7250.3</v>
      </c>
    </row>
    <row r="11" spans="2:15" ht="18.75" x14ac:dyDescent="0.25">
      <c r="B11" s="12" t="s">
        <v>194</v>
      </c>
      <c r="C11" s="13">
        <f>ROUND(365/C9*C10, 2)</f>
        <v>653.80999999999995</v>
      </c>
      <c r="D11" s="13">
        <f t="shared" ref="D11:G11" si="1">ROUND(365/D9*D10, 2)</f>
        <v>629.37</v>
      </c>
      <c r="E11" s="13">
        <f t="shared" si="1"/>
        <v>714.26</v>
      </c>
      <c r="F11" s="13">
        <f t="shared" si="1"/>
        <v>509.95</v>
      </c>
      <c r="G11" s="13">
        <f t="shared" si="1"/>
        <v>613.66</v>
      </c>
    </row>
    <row r="12" spans="2:15" ht="18.75" x14ac:dyDescent="0.25">
      <c r="B12" s="14" t="s">
        <v>198</v>
      </c>
      <c r="C12" s="16">
        <f>ROUND(C11+C8, 2)</f>
        <v>728.57</v>
      </c>
      <c r="D12" s="16">
        <f t="shared" ref="D12:G12" si="2">ROUND(D11+D8, 2)</f>
        <v>709.03</v>
      </c>
      <c r="E12" s="16">
        <f t="shared" si="2"/>
        <v>787.57</v>
      </c>
      <c r="F12" s="16">
        <f t="shared" si="2"/>
        <v>597.32000000000005</v>
      </c>
      <c r="G12" s="16">
        <f t="shared" si="2"/>
        <v>700.29</v>
      </c>
    </row>
  </sheetData>
  <mergeCells count="1">
    <mergeCell ref="B5:G5"/>
  </mergeCells>
  <hyperlinks>
    <hyperlink ref="F1" location="Index_Data!A1" tooltip="Hi click here To return Index page" display="Index_Data!A1" xr:uid="{BA7087D0-2F3F-4259-BA96-9C1399C18A6C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80B43-5457-46A0-AFBB-4A126DA9A39D}">
  <dimension ref="B1:O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199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14202.8</v>
      </c>
      <c r="D6" s="13">
        <f>Income_Statement!D5</f>
        <v>15385.1</v>
      </c>
      <c r="E6" s="13">
        <f>Income_Statement!E5</f>
        <v>17460</v>
      </c>
      <c r="F6" s="13">
        <f>Income_Statement!F5</f>
        <v>18972.2</v>
      </c>
      <c r="G6" s="13">
        <f>Income_Statement!G5</f>
        <v>21439.1</v>
      </c>
    </row>
    <row r="7" spans="2:15" ht="18.75" x14ac:dyDescent="0.25">
      <c r="B7" s="12" t="str">
        <f>Balance_Sheet!B66</f>
        <v>Inventories</v>
      </c>
      <c r="C7" s="13">
        <f>Balance_Sheet!C66</f>
        <v>2908.9</v>
      </c>
      <c r="D7" s="13">
        <f>Balance_Sheet!D66</f>
        <v>3357.9</v>
      </c>
      <c r="E7" s="13">
        <f>Balance_Sheet!E66</f>
        <v>3506.7</v>
      </c>
      <c r="F7" s="13">
        <f>Balance_Sheet!F66</f>
        <v>4541.2</v>
      </c>
      <c r="G7" s="13">
        <f>Balance_Sheet!G66</f>
        <v>5088.3999999999996</v>
      </c>
    </row>
    <row r="8" spans="2:15" ht="18.75" x14ac:dyDescent="0.25">
      <c r="B8" s="12" t="s">
        <v>192</v>
      </c>
      <c r="C8" s="13">
        <f>ROUND(365/C6*C7, 2)</f>
        <v>74.760000000000005</v>
      </c>
      <c r="D8" s="13">
        <f t="shared" ref="D8:G8" si="0">ROUND(365/D6*D7, 2)</f>
        <v>79.66</v>
      </c>
      <c r="E8" s="13">
        <f t="shared" si="0"/>
        <v>73.31</v>
      </c>
      <c r="F8" s="13">
        <f t="shared" si="0"/>
        <v>87.37</v>
      </c>
      <c r="G8" s="13">
        <f t="shared" si="0"/>
        <v>86.63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2630.9</v>
      </c>
      <c r="D9" s="13">
        <f>Income_Statement!D17</f>
        <v>2889.4</v>
      </c>
      <c r="E9" s="13">
        <f>Income_Statement!E17</f>
        <v>2984.8</v>
      </c>
      <c r="F9" s="13">
        <f>Income_Statement!F17</f>
        <v>4295.8</v>
      </c>
      <c r="G9" s="13">
        <f>Income_Statement!G17</f>
        <v>4312.3999999999996</v>
      </c>
    </row>
    <row r="10" spans="2:15" ht="18.75" x14ac:dyDescent="0.25">
      <c r="B10" s="12" t="str">
        <f>Balance_Sheet!B33</f>
        <v>Total Current Liabilities</v>
      </c>
      <c r="C10" s="13">
        <f>Balance_Sheet!C33</f>
        <v>4712.6000000000004</v>
      </c>
      <c r="D10" s="13">
        <f>Balance_Sheet!D33</f>
        <v>4982.2</v>
      </c>
      <c r="E10" s="13">
        <f>Balance_Sheet!E33</f>
        <v>5840.9</v>
      </c>
      <c r="F10" s="13">
        <f>Balance_Sheet!F33</f>
        <v>6001.8</v>
      </c>
      <c r="G10" s="13">
        <f>Balance_Sheet!G33</f>
        <v>7250.3</v>
      </c>
    </row>
    <row r="11" spans="2:15" ht="18.75" x14ac:dyDescent="0.25">
      <c r="B11" s="12" t="s">
        <v>194</v>
      </c>
      <c r="C11" s="13">
        <f>ROUND(365/C9*C10, 2)</f>
        <v>653.80999999999995</v>
      </c>
      <c r="D11" s="13">
        <f t="shared" ref="D11:G11" si="1">ROUND(365/D9*D10, 2)</f>
        <v>629.37</v>
      </c>
      <c r="E11" s="13">
        <f t="shared" si="1"/>
        <v>714.26</v>
      </c>
      <c r="F11" s="13">
        <f t="shared" si="1"/>
        <v>509.95</v>
      </c>
      <c r="G11" s="13">
        <f t="shared" si="1"/>
        <v>613.66</v>
      </c>
    </row>
    <row r="12" spans="2:15" ht="18.75" x14ac:dyDescent="0.25">
      <c r="B12" s="12" t="s">
        <v>200</v>
      </c>
      <c r="C12" s="13">
        <f>ROUND(C11+C8, 2)</f>
        <v>728.57</v>
      </c>
      <c r="D12" s="13">
        <f t="shared" ref="D12:G12" si="2">ROUND(D11+D8, 2)</f>
        <v>709.03</v>
      </c>
      <c r="E12" s="13">
        <f t="shared" si="2"/>
        <v>787.57</v>
      </c>
      <c r="F12" s="13">
        <f t="shared" si="2"/>
        <v>597.32000000000005</v>
      </c>
      <c r="G12" s="13">
        <f t="shared" si="2"/>
        <v>700.29</v>
      </c>
    </row>
    <row r="13" spans="2:15" ht="18.75" x14ac:dyDescent="0.25">
      <c r="B13" s="12" t="str">
        <f>Income_Statement!B17</f>
        <v>Cost Of Materials Consumed</v>
      </c>
      <c r="C13" s="13">
        <f>Income_Statement!C17</f>
        <v>2630.9</v>
      </c>
      <c r="D13" s="13">
        <f>Income_Statement!D17</f>
        <v>2889.4</v>
      </c>
      <c r="E13" s="13">
        <f>Income_Statement!E17</f>
        <v>2984.8</v>
      </c>
      <c r="F13" s="13">
        <f>Income_Statement!F17</f>
        <v>4295.8</v>
      </c>
      <c r="G13" s="13">
        <f>Income_Statement!G17</f>
        <v>4312.3999999999996</v>
      </c>
    </row>
    <row r="14" spans="2:15" ht="18.75" x14ac:dyDescent="0.25">
      <c r="B14" s="12" t="str">
        <f>Balance_Sheet!B33</f>
        <v>Total Current Liabilities</v>
      </c>
      <c r="C14" s="13">
        <f>Balance_Sheet!C33</f>
        <v>4712.6000000000004</v>
      </c>
      <c r="D14" s="13">
        <f>Balance_Sheet!D33</f>
        <v>4982.2</v>
      </c>
      <c r="E14" s="13">
        <f>Balance_Sheet!E33</f>
        <v>5840.9</v>
      </c>
      <c r="F14" s="13">
        <f>Balance_Sheet!F33</f>
        <v>6001.8</v>
      </c>
      <c r="G14" s="13">
        <f>Balance_Sheet!G33</f>
        <v>7250.3</v>
      </c>
    </row>
    <row r="15" spans="2:15" ht="18.75" x14ac:dyDescent="0.25">
      <c r="B15" s="12" t="s">
        <v>194</v>
      </c>
      <c r="C15" s="13">
        <f>ROUND(365/C13*C14, 2)</f>
        <v>653.80999999999995</v>
      </c>
      <c r="D15" s="13">
        <f t="shared" ref="D15:G15" si="3">ROUND(365/D13*D14, 2)</f>
        <v>629.37</v>
      </c>
      <c r="E15" s="13">
        <f t="shared" si="3"/>
        <v>714.26</v>
      </c>
      <c r="F15" s="13">
        <f t="shared" si="3"/>
        <v>509.95</v>
      </c>
      <c r="G15" s="13">
        <f t="shared" si="3"/>
        <v>613.66</v>
      </c>
    </row>
    <row r="16" spans="2:15" ht="18.75" x14ac:dyDescent="0.25">
      <c r="B16" s="14" t="s">
        <v>201</v>
      </c>
      <c r="C16" s="16">
        <f>ROUND(C15-C12, 2)</f>
        <v>-74.760000000000005</v>
      </c>
      <c r="D16" s="16">
        <f t="shared" ref="D16:G16" si="4">ROUND(D15-D12, 2)</f>
        <v>-79.66</v>
      </c>
      <c r="E16" s="16">
        <f t="shared" si="4"/>
        <v>-73.31</v>
      </c>
      <c r="F16" s="16">
        <f t="shared" si="4"/>
        <v>-87.37</v>
      </c>
      <c r="G16" s="16">
        <f t="shared" si="4"/>
        <v>-86.63</v>
      </c>
    </row>
  </sheetData>
  <mergeCells count="1">
    <mergeCell ref="B5:G5"/>
  </mergeCells>
  <hyperlinks>
    <hyperlink ref="F1" location="Index_Data!A1" tooltip="Hi click here To return Index page" display="Index_Data!A1" xr:uid="{9BE390CC-9ECD-4810-A7A9-31ECBC875A90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DC5D8-130F-466F-915C-D9C2762319E3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Balance_Sheet!B13</f>
        <v>Net Worth</v>
      </c>
      <c r="C5" s="13">
        <f>Balance_Sheet!C13</f>
        <v>12571.6</v>
      </c>
      <c r="D5" s="13">
        <f>Balance_Sheet!D13</f>
        <v>15632.521936808991</v>
      </c>
      <c r="E5" s="13">
        <f>Balance_Sheet!E13</f>
        <v>21401.257480909793</v>
      </c>
      <c r="F5" s="13">
        <f>Balance_Sheet!F13</f>
        <v>25275.872840225009</v>
      </c>
      <c r="G5" s="13">
        <f>Balance_Sheet!G13</f>
        <v>31343.195434457044</v>
      </c>
    </row>
    <row r="6" spans="2:15" ht="18.75" x14ac:dyDescent="0.25">
      <c r="B6" s="12" t="str">
        <f>Balance_Sheet!B37</f>
        <v>Total Liabilities</v>
      </c>
      <c r="C6" s="13">
        <f>Balance_Sheet!C37</f>
        <v>22544.300000000003</v>
      </c>
      <c r="D6" s="13">
        <f>Balance_Sheet!D37</f>
        <v>24074.521936808993</v>
      </c>
      <c r="E6" s="13">
        <f>Balance_Sheet!E37</f>
        <v>29027.757480909793</v>
      </c>
      <c r="F6" s="13">
        <f>Balance_Sheet!F37</f>
        <v>34250.972840225011</v>
      </c>
      <c r="G6" s="13">
        <f>Balance_Sheet!G37</f>
        <v>41877.695434457048</v>
      </c>
    </row>
  </sheetData>
  <hyperlinks>
    <hyperlink ref="F1" location="Index_Data!A1" tooltip="Hi click here To return Index page" display="Index_Data!A1" xr:uid="{F4C5EC09-7C27-48EB-B97A-EE6318EEA8C8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0DEA4-E5F8-46C8-9C6F-E9C8415912A3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Income_Statement!B29</f>
        <v>PBDIT</v>
      </c>
      <c r="C5" s="13">
        <f>Income_Statement!C29</f>
        <v>3837.8109274227609</v>
      </c>
      <c r="D5" s="13">
        <f>Income_Statement!D29</f>
        <v>5070.6219368089914</v>
      </c>
      <c r="E5" s="13">
        <f>Income_Statement!E29</f>
        <v>7281.3355441008025</v>
      </c>
      <c r="F5" s="13">
        <f>Income_Statement!F29</f>
        <v>6546.9153593152114</v>
      </c>
      <c r="G5" s="13">
        <f>Income_Statement!G29</f>
        <v>8207.2225942320347</v>
      </c>
    </row>
    <row r="6" spans="2:15" ht="18.75" x14ac:dyDescent="0.25">
      <c r="B6" s="12" t="str">
        <f>Income_Statement!B33</f>
        <v>PBIT</v>
      </c>
      <c r="C6" s="13">
        <f>Income_Statement!C33</f>
        <v>2760.6109274227611</v>
      </c>
      <c r="D6" s="13">
        <f>Income_Statement!D33</f>
        <v>3935.8219368089913</v>
      </c>
      <c r="E6" s="13">
        <f>Income_Statement!E33</f>
        <v>6118.2355441008021</v>
      </c>
      <c r="F6" s="13">
        <f>Income_Statement!F33</f>
        <v>5318.1153593152112</v>
      </c>
      <c r="G6" s="13">
        <f>Income_Statement!G33</f>
        <v>7042.0225942320349</v>
      </c>
    </row>
  </sheetData>
  <hyperlinks>
    <hyperlink ref="F1" location="Index_Data!A1" tooltip="Hi click here To return Index page" display="Index_Data!A1" xr:uid="{98837DD2-5B67-433C-869A-2F8445AAAC6D}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CE2BE-8F7B-48DB-9FEA-BA7EAE319397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3" width="11.5703125" bestFit="1" customWidth="1"/>
    <col min="4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Balance_Sheet!B72</f>
        <v>Total Current Assets</v>
      </c>
      <c r="C5" s="13">
        <f>Balance_Sheet!C72</f>
        <v>9807.5</v>
      </c>
      <c r="D5" s="13">
        <f>Balance_Sheet!D72</f>
        <v>15424.621936808991</v>
      </c>
      <c r="E5" s="13">
        <f>Balance_Sheet!E72</f>
        <v>21852.45748090979</v>
      </c>
      <c r="F5" s="13">
        <f>Balance_Sheet!F72</f>
        <v>26370.272840225003</v>
      </c>
      <c r="G5" s="13">
        <f>Balance_Sheet!G72</f>
        <v>35086.095434457035</v>
      </c>
    </row>
    <row r="6" spans="2:15" ht="18.75" x14ac:dyDescent="0.25">
      <c r="B6" s="12" t="str">
        <f>Balance_Sheet!B33</f>
        <v>Total Current Liabilities</v>
      </c>
      <c r="C6" s="13">
        <f>Balance_Sheet!C33</f>
        <v>4712.6000000000004</v>
      </c>
      <c r="D6" s="13">
        <f>Balance_Sheet!D33</f>
        <v>4982.2</v>
      </c>
      <c r="E6" s="13">
        <f>Balance_Sheet!E33</f>
        <v>5840.9</v>
      </c>
      <c r="F6" s="13">
        <f>Balance_Sheet!F33</f>
        <v>6001.8</v>
      </c>
      <c r="G6" s="13">
        <f>Balance_Sheet!G33</f>
        <v>7250.3</v>
      </c>
    </row>
  </sheetData>
  <hyperlinks>
    <hyperlink ref="F1" location="Index_Data!A1" tooltip="Hi click here To return Index page" display="Index_Data!A1" xr:uid="{F7F33676-86ED-426A-B2FF-4089DC80FD5C}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DF520-A4BA-499A-9D2E-CAE0BBB33DE8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0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Balance_Sheet!B23</f>
        <v>Long Term Provisions</v>
      </c>
      <c r="C5" s="13">
        <f>Balance_Sheet!C23</f>
        <v>81.7</v>
      </c>
      <c r="D5" s="13">
        <f>Balance_Sheet!D23</f>
        <v>79.3</v>
      </c>
      <c r="E5" s="13">
        <f>Balance_Sheet!E23</f>
        <v>74.5</v>
      </c>
      <c r="F5" s="13">
        <f>Balance_Sheet!F23</f>
        <v>50.8</v>
      </c>
      <c r="G5" s="13">
        <f>Balance_Sheet!G23</f>
        <v>25.8</v>
      </c>
    </row>
    <row r="6" spans="2:15" ht="18.75" x14ac:dyDescent="0.25">
      <c r="B6" s="12" t="str">
        <f>Balance_Sheet!B25</f>
        <v>Short Term Provisions</v>
      </c>
      <c r="C6" s="13">
        <f>Balance_Sheet!C25</f>
        <v>438.7</v>
      </c>
      <c r="D6" s="13">
        <f>Balance_Sheet!D25</f>
        <v>478.9</v>
      </c>
      <c r="E6" s="13">
        <f>Balance_Sheet!E25</f>
        <v>466.9</v>
      </c>
      <c r="F6" s="13">
        <f>Balance_Sheet!F25</f>
        <v>501.5</v>
      </c>
      <c r="G6" s="13">
        <f>Balance_Sheet!G25</f>
        <v>586.6</v>
      </c>
    </row>
  </sheetData>
  <hyperlinks>
    <hyperlink ref="F1" location="Index_Data!A1" tooltip="Hi click here To return Index page" display="Index_Data!A1" xr:uid="{77C7C83B-92E2-4924-8DF7-6C07A23B5BB0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1AF40-2718-46B6-ACD9-550ECE57630D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Income_Statement!B17</f>
        <v>Cost Of Materials Consumed</v>
      </c>
      <c r="C5" s="13">
        <f>Income_Statement!C17</f>
        <v>2630.9</v>
      </c>
      <c r="D5" s="13">
        <f>Income_Statement!D17</f>
        <v>2889.4</v>
      </c>
      <c r="E5" s="13">
        <f>Income_Statement!E17</f>
        <v>2984.8</v>
      </c>
      <c r="F5" s="13">
        <f>Income_Statement!F17</f>
        <v>4295.8</v>
      </c>
      <c r="G5" s="13">
        <f>Income_Statement!G17</f>
        <v>4312.3999999999996</v>
      </c>
    </row>
    <row r="6" spans="2:15" ht="18.75" x14ac:dyDescent="0.25">
      <c r="B6" s="12" t="str">
        <f>Income_Statement!B19</f>
        <v>Operating And Direct Expenses</v>
      </c>
      <c r="C6" s="13">
        <f>Income_Statement!C19</f>
        <v>0</v>
      </c>
      <c r="D6" s="13">
        <f>Income_Statement!D19</f>
        <v>0</v>
      </c>
      <c r="E6" s="13">
        <f>Income_Statement!E19</f>
        <v>0</v>
      </c>
      <c r="F6" s="13">
        <f>Income_Statement!F19</f>
        <v>0</v>
      </c>
      <c r="G6" s="13">
        <f>Income_Statement!G19</f>
        <v>0</v>
      </c>
    </row>
  </sheetData>
  <hyperlinks>
    <hyperlink ref="F1" location="Index_Data!A1" tooltip="Hi click here To return Index page" display="Index_Data!A1" xr:uid="{2334FB62-8CD0-4BD4-9F02-3C3C249647B1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E673F-6F6F-4760-BC62-80A3ABE2AAE5}">
  <dimension ref="B1:O65"/>
  <sheetViews>
    <sheetView showGridLines="0" topLeftCell="A49" workbookViewId="0">
      <selection activeCell="H61" sqref="H61:L61"/>
    </sheetView>
  </sheetViews>
  <sheetFormatPr defaultRowHeight="15" x14ac:dyDescent="0.25"/>
  <cols>
    <col min="2" max="2" width="61.85546875" bestFit="1" customWidth="1"/>
    <col min="3" max="12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120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97</v>
      </c>
      <c r="C5" s="5">
        <v>14202.8</v>
      </c>
      <c r="D5" s="5">
        <v>15385.1</v>
      </c>
      <c r="E5" s="5">
        <v>17460</v>
      </c>
      <c r="F5" s="5">
        <v>18972.2</v>
      </c>
      <c r="G5" s="5">
        <v>21439.1</v>
      </c>
      <c r="H5" s="28">
        <f>GROWTH(C5:G5,C4:G4,H4)</f>
        <v>23592.464707438019</v>
      </c>
      <c r="I5" s="28">
        <f t="shared" ref="I5:L5" si="0">GROWTH(D5:H5,D4:H4,I4)</f>
        <v>26326.97201408723</v>
      </c>
      <c r="J5" s="28">
        <f t="shared" si="0"/>
        <v>29128.57448097401</v>
      </c>
      <c r="K5" s="28">
        <f t="shared" si="0"/>
        <v>32496.962632953921</v>
      </c>
      <c r="L5" s="28">
        <f t="shared" si="0"/>
        <v>35971.128543734718</v>
      </c>
    </row>
    <row r="6" spans="2:15" x14ac:dyDescent="0.25">
      <c r="B6" s="17" t="s">
        <v>238</v>
      </c>
      <c r="C6" s="18">
        <f>C5/Income_Statement!C5</f>
        <v>1</v>
      </c>
      <c r="D6" s="18">
        <f>D5/Income_Statement!D5</f>
        <v>1</v>
      </c>
      <c r="E6" s="18">
        <f>E5/Income_Statement!E5</f>
        <v>1</v>
      </c>
      <c r="F6" s="18">
        <f>F5/Income_Statement!F5</f>
        <v>1</v>
      </c>
      <c r="G6" s="18">
        <f>G5/Income_Statement!G5</f>
        <v>1</v>
      </c>
      <c r="H6" s="25">
        <f>H5/Income_Statement!H5</f>
        <v>1</v>
      </c>
      <c r="I6" s="25">
        <f>I5/Income_Statement!I5</f>
        <v>1</v>
      </c>
      <c r="J6" s="25">
        <f>J5/Income_Statement!J5</f>
        <v>1</v>
      </c>
      <c r="K6" s="25">
        <f>K5/Income_Statement!K5</f>
        <v>1</v>
      </c>
      <c r="L6" s="25">
        <f>L5/Income_Statement!L5</f>
        <v>1</v>
      </c>
    </row>
    <row r="7" spans="2:15" ht="18.75" x14ac:dyDescent="0.25">
      <c r="B7" s="8" t="s">
        <v>98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24">
        <f>H5*H8</f>
        <v>0</v>
      </c>
      <c r="I7" s="24">
        <f t="shared" ref="I7:L7" si="1">I5*I8</f>
        <v>0</v>
      </c>
      <c r="J7" s="24">
        <f t="shared" si="1"/>
        <v>0</v>
      </c>
      <c r="K7" s="24">
        <f t="shared" si="1"/>
        <v>0</v>
      </c>
      <c r="L7" s="24">
        <f t="shared" si="1"/>
        <v>0</v>
      </c>
    </row>
    <row r="8" spans="2:15" x14ac:dyDescent="0.25">
      <c r="B8" s="17" t="s">
        <v>239</v>
      </c>
      <c r="C8" s="18">
        <f>C7/Income_Statement!C5</f>
        <v>0</v>
      </c>
      <c r="D8" s="18">
        <f>D7/Income_Statement!D5</f>
        <v>0</v>
      </c>
      <c r="E8" s="18">
        <f>E7/Income_Statement!E5</f>
        <v>0</v>
      </c>
      <c r="F8" s="18">
        <f>F7/Income_Statement!F5</f>
        <v>0</v>
      </c>
      <c r="G8" s="18">
        <f>G7/Income_Statement!G5</f>
        <v>0</v>
      </c>
      <c r="H8" s="25">
        <f>G8</f>
        <v>0</v>
      </c>
      <c r="I8" s="25">
        <f t="shared" ref="I8:L8" si="2">H8</f>
        <v>0</v>
      </c>
      <c r="J8" s="25">
        <f t="shared" si="2"/>
        <v>0</v>
      </c>
      <c r="K8" s="25">
        <f t="shared" si="2"/>
        <v>0</v>
      </c>
      <c r="L8" s="25">
        <f t="shared" si="2"/>
        <v>0</v>
      </c>
    </row>
    <row r="9" spans="2:15" ht="18.75" x14ac:dyDescent="0.25">
      <c r="B9" s="9" t="s">
        <v>105</v>
      </c>
      <c r="C9" s="7">
        <f>C5 - C7</f>
        <v>14202.8</v>
      </c>
      <c r="D9" s="7">
        <f t="shared" ref="D9:L9" si="3">D5 - D7</f>
        <v>15385.1</v>
      </c>
      <c r="E9" s="7">
        <f t="shared" si="3"/>
        <v>17460</v>
      </c>
      <c r="F9" s="7">
        <f t="shared" si="3"/>
        <v>18972.2</v>
      </c>
      <c r="G9" s="7">
        <f t="shared" si="3"/>
        <v>21439.1</v>
      </c>
      <c r="H9" s="29">
        <f t="shared" si="3"/>
        <v>23592.464707438019</v>
      </c>
      <c r="I9" s="29">
        <f t="shared" si="3"/>
        <v>26326.97201408723</v>
      </c>
      <c r="J9" s="29">
        <f t="shared" si="3"/>
        <v>29128.57448097401</v>
      </c>
      <c r="K9" s="29">
        <f t="shared" si="3"/>
        <v>32496.962632953921</v>
      </c>
      <c r="L9" s="29">
        <f t="shared" si="3"/>
        <v>35971.128543734718</v>
      </c>
    </row>
    <row r="10" spans="2:15" x14ac:dyDescent="0.25">
      <c r="B10" s="19" t="s">
        <v>240</v>
      </c>
      <c r="C10" s="21">
        <f>C9/Income_Statement!C5</f>
        <v>1</v>
      </c>
      <c r="D10" s="21">
        <f>D9/Income_Statement!D5</f>
        <v>1</v>
      </c>
      <c r="E10" s="21">
        <f>E9/Income_Statement!E5</f>
        <v>1</v>
      </c>
      <c r="F10" s="21">
        <f>F9/Income_Statement!F5</f>
        <v>1</v>
      </c>
      <c r="G10" s="21">
        <f>G9/Income_Statement!G5</f>
        <v>1</v>
      </c>
      <c r="H10" s="30">
        <f>H9/Income_Statement!H5</f>
        <v>1</v>
      </c>
      <c r="I10" s="30">
        <f>I9/Income_Statement!I5</f>
        <v>1</v>
      </c>
      <c r="J10" s="30">
        <f>J9/Income_Statement!J5</f>
        <v>1</v>
      </c>
      <c r="K10" s="30">
        <f>K9/Income_Statement!K5</f>
        <v>1</v>
      </c>
      <c r="L10" s="30">
        <f>L9/Income_Statement!L5</f>
        <v>1</v>
      </c>
    </row>
    <row r="11" spans="2:15" ht="18.75" x14ac:dyDescent="0.25">
      <c r="B11" s="8" t="s">
        <v>59</v>
      </c>
      <c r="C11" s="4">
        <v>155.19999999999999</v>
      </c>
      <c r="D11" s="4">
        <v>337.5</v>
      </c>
      <c r="E11" s="4">
        <v>620.6</v>
      </c>
      <c r="F11" s="4">
        <v>291.39999999999998</v>
      </c>
      <c r="G11" s="4">
        <v>484.4</v>
      </c>
      <c r="H11" s="24">
        <f>H5*H12</f>
        <v>517.54339190257667</v>
      </c>
      <c r="I11" s="24">
        <f t="shared" ref="I11:L11" si="4">I5*I12</f>
        <v>577.52975637171289</v>
      </c>
      <c r="J11" s="24">
        <f t="shared" si="4"/>
        <v>638.98797455516888</v>
      </c>
      <c r="K11" s="24">
        <f t="shared" si="4"/>
        <v>712.87966205107205</v>
      </c>
      <c r="L11" s="24">
        <f t="shared" si="4"/>
        <v>789.09177603723526</v>
      </c>
    </row>
    <row r="12" spans="2:15" x14ac:dyDescent="0.25">
      <c r="B12" s="17" t="s">
        <v>241</v>
      </c>
      <c r="C12" s="18">
        <f>C11/Income_Statement!C5</f>
        <v>1.0927422761708959E-2</v>
      </c>
      <c r="D12" s="18">
        <f>D11/Income_Statement!D5</f>
        <v>2.1936808990516799E-2</v>
      </c>
      <c r="E12" s="18">
        <f>E11/Income_Statement!E5</f>
        <v>3.5544100801832762E-2</v>
      </c>
      <c r="F12" s="18">
        <f>F11/Income_Statement!F5</f>
        <v>1.5359315208568324E-2</v>
      </c>
      <c r="G12" s="18">
        <f>G11/Income_Statement!G5</f>
        <v>2.2594232033993966E-2</v>
      </c>
      <c r="H12" s="25">
        <f>MEDIAN(C12:G12)</f>
        <v>2.1936808990516799E-2</v>
      </c>
      <c r="I12" s="25">
        <f t="shared" ref="I12:L12" si="5">H12</f>
        <v>2.1936808990516799E-2</v>
      </c>
      <c r="J12" s="25">
        <f t="shared" si="5"/>
        <v>2.1936808990516799E-2</v>
      </c>
      <c r="K12" s="25">
        <f t="shared" si="5"/>
        <v>2.1936808990516799E-2</v>
      </c>
      <c r="L12" s="25">
        <f t="shared" si="5"/>
        <v>2.1936808990516799E-2</v>
      </c>
    </row>
    <row r="13" spans="2:15" ht="18.75" x14ac:dyDescent="0.25">
      <c r="B13" s="8" t="s">
        <v>106</v>
      </c>
      <c r="C13" s="4"/>
      <c r="D13" s="4"/>
      <c r="E13" s="4"/>
      <c r="F13" s="4"/>
      <c r="G13" s="4"/>
      <c r="H13" s="24">
        <f>H5*H14</f>
        <v>0</v>
      </c>
      <c r="I13" s="24">
        <f t="shared" ref="I13:L13" si="6">I5*I14</f>
        <v>0</v>
      </c>
      <c r="J13" s="24">
        <f t="shared" si="6"/>
        <v>0</v>
      </c>
      <c r="K13" s="24">
        <f t="shared" si="6"/>
        <v>0</v>
      </c>
      <c r="L13" s="24">
        <f t="shared" si="6"/>
        <v>0</v>
      </c>
    </row>
    <row r="14" spans="2:15" x14ac:dyDescent="0.25">
      <c r="B14" s="17" t="s">
        <v>242</v>
      </c>
      <c r="C14" s="18">
        <f>C13/Income_Statement!C5</f>
        <v>0</v>
      </c>
      <c r="D14" s="18">
        <f>D13/Income_Statement!D5</f>
        <v>0</v>
      </c>
      <c r="E14" s="18">
        <f>E13/Income_Statement!E5</f>
        <v>0</v>
      </c>
      <c r="F14" s="18">
        <f>F13/Income_Statement!F5</f>
        <v>0</v>
      </c>
      <c r="G14" s="18">
        <f>G13/Income_Statement!G5</f>
        <v>0</v>
      </c>
      <c r="H14" s="25">
        <f>MEDIAN(C14:G14)</f>
        <v>0</v>
      </c>
      <c r="I14" s="25">
        <f t="shared" ref="I14:L14" si="7">H14</f>
        <v>0</v>
      </c>
      <c r="J14" s="25">
        <f t="shared" si="7"/>
        <v>0</v>
      </c>
      <c r="K14" s="25">
        <f t="shared" si="7"/>
        <v>0</v>
      </c>
      <c r="L14" s="25">
        <f t="shared" si="7"/>
        <v>0</v>
      </c>
    </row>
    <row r="15" spans="2:15" ht="18.75" x14ac:dyDescent="0.25">
      <c r="B15" s="9" t="s">
        <v>107</v>
      </c>
      <c r="C15" s="7">
        <f>SUM(C9:C13)</f>
        <v>14359.010927422762</v>
      </c>
      <c r="D15" s="7">
        <f t="shared" ref="D15:L15" si="8">SUM(D9:D13)</f>
        <v>15723.621936808991</v>
      </c>
      <c r="E15" s="7">
        <f t="shared" si="8"/>
        <v>18081.635544100802</v>
      </c>
      <c r="F15" s="7">
        <f t="shared" si="8"/>
        <v>19264.615359315212</v>
      </c>
      <c r="G15" s="7">
        <f t="shared" si="8"/>
        <v>21924.522594232036</v>
      </c>
      <c r="H15" s="29">
        <f t="shared" si="8"/>
        <v>24111.030036149587</v>
      </c>
      <c r="I15" s="29">
        <f t="shared" si="8"/>
        <v>26905.523707267934</v>
      </c>
      <c r="J15" s="29">
        <f t="shared" si="8"/>
        <v>29768.584392338169</v>
      </c>
      <c r="K15" s="29">
        <f t="shared" si="8"/>
        <v>33210.864231813983</v>
      </c>
      <c r="L15" s="29">
        <f t="shared" si="8"/>
        <v>36761.242256580939</v>
      </c>
    </row>
    <row r="16" spans="2:15" x14ac:dyDescent="0.25">
      <c r="B16" s="19" t="s">
        <v>243</v>
      </c>
      <c r="C16" s="21">
        <f>C15/Income_Statement!C5</f>
        <v>1.0109986007986287</v>
      </c>
      <c r="D16" s="21">
        <f>D15/Income_Statement!D5</f>
        <v>1.0220032327907516</v>
      </c>
      <c r="E16" s="21">
        <f>E15/Income_Statement!E5</f>
        <v>1.0356034103150515</v>
      </c>
      <c r="F16" s="21">
        <f>F15/Income_Statement!F5</f>
        <v>1.0154128334782055</v>
      </c>
      <c r="G16" s="21">
        <f>G15/Income_Statement!G5</f>
        <v>1.0226419296627207</v>
      </c>
      <c r="H16" s="30">
        <f>H15/Income_Statement!H5</f>
        <v>1.0219801252282081</v>
      </c>
      <c r="I16" s="30">
        <f>I15/Income_Statement!I5</f>
        <v>1.0219756260944528</v>
      </c>
      <c r="J16" s="30">
        <f>J15/Income_Statement!J5</f>
        <v>1.0219718926438435</v>
      </c>
      <c r="K16" s="30">
        <f>K15/Income_Statement!K5</f>
        <v>1.0219682561389944</v>
      </c>
      <c r="L16" s="30">
        <f>L15/Income_Statement!L5</f>
        <v>1.0219652189084247</v>
      </c>
    </row>
    <row r="17" spans="2:12" ht="18.75" x14ac:dyDescent="0.25">
      <c r="B17" s="8" t="s">
        <v>62</v>
      </c>
      <c r="C17" s="5">
        <v>2630.9</v>
      </c>
      <c r="D17" s="5">
        <v>2889.4</v>
      </c>
      <c r="E17" s="5">
        <v>2984.8</v>
      </c>
      <c r="F17" s="5">
        <v>4295.8</v>
      </c>
      <c r="G17" s="5">
        <v>4312.3999999999996</v>
      </c>
      <c r="H17" s="28">
        <f>H5*H18</f>
        <v>4745.5417813413678</v>
      </c>
      <c r="I17" s="28">
        <f t="shared" ref="I17:L17" si="9">I5*I18</f>
        <v>5295.5783644625835</v>
      </c>
      <c r="J17" s="28">
        <f t="shared" si="9"/>
        <v>5859.110904457385</v>
      </c>
      <c r="K17" s="28">
        <f t="shared" si="9"/>
        <v>6536.6504031582708</v>
      </c>
      <c r="L17" s="28">
        <f t="shared" si="9"/>
        <v>7235.4667281742986</v>
      </c>
    </row>
    <row r="18" spans="2:12" x14ac:dyDescent="0.25">
      <c r="B18" s="17" t="s">
        <v>244</v>
      </c>
      <c r="C18" s="18">
        <f>C17/Income_Statement!C5</f>
        <v>0.1852381220604388</v>
      </c>
      <c r="D18" s="18">
        <f>D17/Income_Statement!D5</f>
        <v>0.18780508413984959</v>
      </c>
      <c r="E18" s="18">
        <f>E17/Income_Statement!E5</f>
        <v>0.17095074455899198</v>
      </c>
      <c r="F18" s="18">
        <f>F17/Income_Statement!F5</f>
        <v>0.22642603388115243</v>
      </c>
      <c r="G18" s="18">
        <f>G17/Income_Statement!G5</f>
        <v>0.20114650335135337</v>
      </c>
      <c r="H18" s="25">
        <f>G18</f>
        <v>0.20114650335135337</v>
      </c>
      <c r="I18" s="25">
        <f t="shared" ref="I18:L18" si="10">H18</f>
        <v>0.20114650335135337</v>
      </c>
      <c r="J18" s="25">
        <f t="shared" si="10"/>
        <v>0.20114650335135337</v>
      </c>
      <c r="K18" s="25">
        <f t="shared" si="10"/>
        <v>0.20114650335135337</v>
      </c>
      <c r="L18" s="25">
        <f t="shared" si="10"/>
        <v>0.20114650335135337</v>
      </c>
    </row>
    <row r="19" spans="2:12" ht="18.75" x14ac:dyDescent="0.25">
      <c r="B19" s="8" t="s">
        <v>64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24">
        <f>H5*H20</f>
        <v>0</v>
      </c>
      <c r="I19" s="24">
        <f t="shared" ref="I19:L19" si="11">I5*I20</f>
        <v>0</v>
      </c>
      <c r="J19" s="24">
        <f t="shared" si="11"/>
        <v>0</v>
      </c>
      <c r="K19" s="24">
        <f t="shared" si="11"/>
        <v>0</v>
      </c>
      <c r="L19" s="24">
        <f t="shared" si="11"/>
        <v>0</v>
      </c>
    </row>
    <row r="20" spans="2:12" x14ac:dyDescent="0.25">
      <c r="B20" s="17" t="s">
        <v>245</v>
      </c>
      <c r="C20" s="18">
        <f>C19/Income_Statement!C5</f>
        <v>0</v>
      </c>
      <c r="D20" s="18">
        <f>D19/Income_Statement!D5</f>
        <v>0</v>
      </c>
      <c r="E20" s="18">
        <f>E19/Income_Statement!E5</f>
        <v>0</v>
      </c>
      <c r="F20" s="18">
        <f>F19/Income_Statement!F5</f>
        <v>0</v>
      </c>
      <c r="G20" s="18">
        <f>G19/Income_Statement!G5</f>
        <v>0</v>
      </c>
      <c r="H20" s="25">
        <f>G20</f>
        <v>0</v>
      </c>
      <c r="I20" s="25">
        <f t="shared" ref="I20:L20" si="12">H20</f>
        <v>0</v>
      </c>
      <c r="J20" s="25">
        <f t="shared" si="12"/>
        <v>0</v>
      </c>
      <c r="K20" s="25">
        <f t="shared" si="12"/>
        <v>0</v>
      </c>
      <c r="L20" s="25">
        <f t="shared" si="12"/>
        <v>0</v>
      </c>
    </row>
    <row r="21" spans="2:12" ht="18.75" x14ac:dyDescent="0.25">
      <c r="B21" s="8" t="s">
        <v>66</v>
      </c>
      <c r="C21" s="5">
        <v>3214.9</v>
      </c>
      <c r="D21" s="5">
        <v>3356.2</v>
      </c>
      <c r="E21" s="5">
        <v>3380.2</v>
      </c>
      <c r="F21" s="5">
        <v>3629.9</v>
      </c>
      <c r="G21" s="5">
        <v>3885.8</v>
      </c>
      <c r="H21" s="28">
        <f>H5*H22</f>
        <v>4276.093649461156</v>
      </c>
      <c r="I21" s="28">
        <f t="shared" ref="I21:L21" si="13">I5*I22</f>
        <v>4771.7183954708998</v>
      </c>
      <c r="J21" s="28">
        <f t="shared" si="13"/>
        <v>5279.5040238708161</v>
      </c>
      <c r="K21" s="28">
        <f t="shared" si="13"/>
        <v>5890.0185828291469</v>
      </c>
      <c r="L21" s="28">
        <f t="shared" si="13"/>
        <v>6519.705178633636</v>
      </c>
    </row>
    <row r="22" spans="2:12" x14ac:dyDescent="0.25">
      <c r="B22" s="17" t="s">
        <v>246</v>
      </c>
      <c r="C22" s="18">
        <f>C21/Income_Statement!C5</f>
        <v>0.22635677472047766</v>
      </c>
      <c r="D22" s="18">
        <f>D21/Income_Statement!D5</f>
        <v>0.21814612839695549</v>
      </c>
      <c r="E22" s="18">
        <f>E21/Income_Statement!E5</f>
        <v>0.1935967926689576</v>
      </c>
      <c r="F22" s="18">
        <f>F21/Income_Statement!F5</f>
        <v>0.19132731048586879</v>
      </c>
      <c r="G22" s="18">
        <f>G21/Income_Statement!G5</f>
        <v>0.18124828001175425</v>
      </c>
      <c r="H22" s="25">
        <f>G22</f>
        <v>0.18124828001175425</v>
      </c>
      <c r="I22" s="25">
        <f t="shared" ref="I22:L22" si="14">H22</f>
        <v>0.18124828001175425</v>
      </c>
      <c r="J22" s="25">
        <f t="shared" si="14"/>
        <v>0.18124828001175425</v>
      </c>
      <c r="K22" s="25">
        <f t="shared" si="14"/>
        <v>0.18124828001175425</v>
      </c>
      <c r="L22" s="25">
        <f t="shared" si="14"/>
        <v>0.18124828001175425</v>
      </c>
    </row>
    <row r="23" spans="2:12" ht="18.75" x14ac:dyDescent="0.25">
      <c r="B23" s="8" t="s">
        <v>69</v>
      </c>
      <c r="C23" s="5">
        <v>4675.3999999999996</v>
      </c>
      <c r="D23" s="5">
        <v>4407.3999999999996</v>
      </c>
      <c r="E23" s="5">
        <v>4435.3</v>
      </c>
      <c r="F23" s="5">
        <v>4792</v>
      </c>
      <c r="G23" s="5">
        <v>5519.1</v>
      </c>
      <c r="H23" s="28">
        <f>H5*H24</f>
        <v>6510.0978174072297</v>
      </c>
      <c r="I23" s="28">
        <f t="shared" ref="I23:L23" si="15">I5*I24</f>
        <v>7264.6569645525778</v>
      </c>
      <c r="J23" s="28">
        <f t="shared" si="15"/>
        <v>8037.7303306079775</v>
      </c>
      <c r="K23" s="28">
        <f t="shared" si="15"/>
        <v>8967.2023729873126</v>
      </c>
      <c r="L23" s="28">
        <f t="shared" si="15"/>
        <v>9925.8626992208046</v>
      </c>
    </row>
    <row r="24" spans="2:12" x14ac:dyDescent="0.25">
      <c r="B24" s="17" t="s">
        <v>247</v>
      </c>
      <c r="C24" s="18">
        <f>C23/Income_Statement!C5</f>
        <v>0.32918861069648236</v>
      </c>
      <c r="D24" s="18">
        <f>D23/Income_Statement!D5</f>
        <v>0.28647197613275177</v>
      </c>
      <c r="E24" s="18">
        <f>E23/Income_Statement!E5</f>
        <v>0.25402634593356244</v>
      </c>
      <c r="F24" s="18">
        <f>F23/Income_Statement!F5</f>
        <v>0.25258009086979893</v>
      </c>
      <c r="G24" s="18">
        <f>G23/Income_Statement!G5</f>
        <v>0.25743151531547503</v>
      </c>
      <c r="H24" s="25">
        <f>AVERAGE(C24:G24)</f>
        <v>0.27593970778961407</v>
      </c>
      <c r="I24" s="25">
        <f t="shared" ref="I24:L24" si="16">H24</f>
        <v>0.27593970778961407</v>
      </c>
      <c r="J24" s="25">
        <f t="shared" si="16"/>
        <v>0.27593970778961407</v>
      </c>
      <c r="K24" s="25">
        <f t="shared" si="16"/>
        <v>0.27593970778961407</v>
      </c>
      <c r="L24" s="25">
        <f t="shared" si="16"/>
        <v>0.27593970778961407</v>
      </c>
    </row>
    <row r="25" spans="2:12" ht="18.75" x14ac:dyDescent="0.25">
      <c r="B25" s="9" t="s">
        <v>108</v>
      </c>
      <c r="C25" s="7">
        <f>C17+C19+C21+C23</f>
        <v>10521.2</v>
      </c>
      <c r="D25" s="7">
        <f t="shared" ref="D25:L25" si="17">D17+D19+D21+D23</f>
        <v>10653</v>
      </c>
      <c r="E25" s="7">
        <f t="shared" si="17"/>
        <v>10800.3</v>
      </c>
      <c r="F25" s="7">
        <f t="shared" si="17"/>
        <v>12717.7</v>
      </c>
      <c r="G25" s="7">
        <f t="shared" si="17"/>
        <v>13717.300000000001</v>
      </c>
      <c r="H25" s="29">
        <f t="shared" si="17"/>
        <v>15531.733248209754</v>
      </c>
      <c r="I25" s="29">
        <f t="shared" si="17"/>
        <v>17331.953724486062</v>
      </c>
      <c r="J25" s="29">
        <f t="shared" si="17"/>
        <v>19176.345258936177</v>
      </c>
      <c r="K25" s="29">
        <f t="shared" si="17"/>
        <v>21393.871358974728</v>
      </c>
      <c r="L25" s="29">
        <f t="shared" si="17"/>
        <v>23681.034606028741</v>
      </c>
    </row>
    <row r="26" spans="2:12" x14ac:dyDescent="0.25">
      <c r="B26" s="19" t="s">
        <v>248</v>
      </c>
      <c r="C26" s="21">
        <f>C25/Income_Statement!C5</f>
        <v>0.74078350747739896</v>
      </c>
      <c r="D26" s="21">
        <f>D25/Income_Statement!D5</f>
        <v>0.69242318866955688</v>
      </c>
      <c r="E26" s="21">
        <f>E25/Income_Statement!E5</f>
        <v>0.61857388316151196</v>
      </c>
      <c r="F26" s="21">
        <f>F25/Income_Statement!F5</f>
        <v>0.67033343523682021</v>
      </c>
      <c r="G26" s="21">
        <f>G25/Income_Statement!G5</f>
        <v>0.63982629867858265</v>
      </c>
      <c r="H26" s="30">
        <f>H25/Income_Statement!H5</f>
        <v>0.65833449115272169</v>
      </c>
      <c r="I26" s="30">
        <f>I25/Income_Statement!I5</f>
        <v>0.65833449115272169</v>
      </c>
      <c r="J26" s="30">
        <f>J25/Income_Statement!J5</f>
        <v>0.65833449115272158</v>
      </c>
      <c r="K26" s="30">
        <f>K25/Income_Statement!K5</f>
        <v>0.65833449115272158</v>
      </c>
      <c r="L26" s="30">
        <f>L25/Income_Statement!L5</f>
        <v>0.6583344911527218</v>
      </c>
    </row>
    <row r="27" spans="2:12" ht="18.75" x14ac:dyDescent="0.25">
      <c r="B27" s="9" t="s">
        <v>109</v>
      </c>
      <c r="C27" s="7">
        <f xml:space="preserve"> C15-C25-C11</f>
        <v>3682.6109274227611</v>
      </c>
      <c r="D27" s="7">
        <f t="shared" ref="D27:L27" si="18" xml:space="preserve"> D15-D25-D11</f>
        <v>4733.1219368089914</v>
      </c>
      <c r="E27" s="7">
        <f t="shared" si="18"/>
        <v>6660.7355441008021</v>
      </c>
      <c r="F27" s="7">
        <f t="shared" si="18"/>
        <v>6255.5153593152118</v>
      </c>
      <c r="G27" s="7">
        <f t="shared" si="18"/>
        <v>7722.822594232035</v>
      </c>
      <c r="H27" s="29">
        <f t="shared" si="18"/>
        <v>8061.7533960372566</v>
      </c>
      <c r="I27" s="29">
        <f t="shared" si="18"/>
        <v>8996.0402264101594</v>
      </c>
      <c r="J27" s="29">
        <f t="shared" si="18"/>
        <v>9953.2511588468224</v>
      </c>
      <c r="K27" s="29">
        <f t="shared" si="18"/>
        <v>11104.113210788182</v>
      </c>
      <c r="L27" s="29">
        <f t="shared" si="18"/>
        <v>12291.115874514962</v>
      </c>
    </row>
    <row r="28" spans="2:12" x14ac:dyDescent="0.25">
      <c r="B28" s="19" t="s">
        <v>249</v>
      </c>
      <c r="C28" s="21">
        <f>C27/Income_Statement!C5</f>
        <v>0.25928767055952073</v>
      </c>
      <c r="D28" s="21">
        <f>D27/Income_Statement!D5</f>
        <v>0.30764323513067782</v>
      </c>
      <c r="E28" s="21">
        <f>E27/Income_Statement!E5</f>
        <v>0.3814854263517069</v>
      </c>
      <c r="F28" s="21">
        <f>F27/Income_Statement!F5</f>
        <v>0.32972008303281702</v>
      </c>
      <c r="G28" s="21">
        <f>G27/Income_Statement!G5</f>
        <v>0.36022139895014416</v>
      </c>
      <c r="H28" s="30">
        <f>H27/Income_Statement!H5</f>
        <v>0.34170882508496958</v>
      </c>
      <c r="I28" s="30">
        <f>I27/Income_Statement!I5</f>
        <v>0.3417043259512143</v>
      </c>
      <c r="J28" s="30">
        <f>J27/Income_Statement!J5</f>
        <v>0.34170059250060503</v>
      </c>
      <c r="K28" s="30">
        <f>K27/Income_Statement!K5</f>
        <v>0.341696955995756</v>
      </c>
      <c r="L28" s="30">
        <f>L27/Income_Statement!L5</f>
        <v>0.34169391876518623</v>
      </c>
    </row>
    <row r="29" spans="2:12" ht="18.75" x14ac:dyDescent="0.25">
      <c r="B29" s="9" t="s">
        <v>110</v>
      </c>
      <c r="C29" s="7">
        <f xml:space="preserve"> C27+C11</f>
        <v>3837.8109274227609</v>
      </c>
      <c r="D29" s="7">
        <f t="shared" ref="D29:L29" si="19" xml:space="preserve"> D27+D11</f>
        <v>5070.6219368089914</v>
      </c>
      <c r="E29" s="7">
        <f t="shared" si="19"/>
        <v>7281.3355441008025</v>
      </c>
      <c r="F29" s="7">
        <f t="shared" si="19"/>
        <v>6546.9153593152114</v>
      </c>
      <c r="G29" s="7">
        <f t="shared" si="19"/>
        <v>8207.2225942320347</v>
      </c>
      <c r="H29" s="29">
        <f t="shared" si="19"/>
        <v>8579.2967879398329</v>
      </c>
      <c r="I29" s="29">
        <f t="shared" si="19"/>
        <v>9573.5699827818717</v>
      </c>
      <c r="J29" s="29">
        <f t="shared" si="19"/>
        <v>10592.239133401992</v>
      </c>
      <c r="K29" s="29">
        <f t="shared" si="19"/>
        <v>11816.992872839255</v>
      </c>
      <c r="L29" s="29">
        <f t="shared" si="19"/>
        <v>13080.207650552198</v>
      </c>
    </row>
    <row r="30" spans="2:12" x14ac:dyDescent="0.25">
      <c r="B30" s="19" t="s">
        <v>250</v>
      </c>
      <c r="C30" s="21">
        <f>C29/Income_Statement!C5</f>
        <v>0.27021509332122967</v>
      </c>
      <c r="D30" s="21">
        <f>D29/Income_Statement!D5</f>
        <v>0.32958004412119463</v>
      </c>
      <c r="E30" s="21">
        <f>E29/Income_Statement!E5</f>
        <v>0.41702952715353964</v>
      </c>
      <c r="F30" s="21">
        <f>F29/Income_Statement!F5</f>
        <v>0.34507939824138534</v>
      </c>
      <c r="G30" s="21">
        <f>G29/Income_Statement!G5</f>
        <v>0.38281563098413812</v>
      </c>
      <c r="H30" s="30">
        <f>H29/Income_Statement!H5</f>
        <v>0.36364563407548639</v>
      </c>
      <c r="I30" s="30">
        <f>I29/Income_Statement!I5</f>
        <v>0.36364113494173106</v>
      </c>
      <c r="J30" s="30">
        <f>J29/Income_Statement!J5</f>
        <v>0.36363740149112184</v>
      </c>
      <c r="K30" s="30">
        <f>K29/Income_Statement!K5</f>
        <v>0.36363376498627281</v>
      </c>
      <c r="L30" s="30">
        <f>L29/Income_Statement!L5</f>
        <v>0.36363072775570304</v>
      </c>
    </row>
    <row r="31" spans="2:12" ht="18.75" x14ac:dyDescent="0.25">
      <c r="B31" s="8" t="s">
        <v>68</v>
      </c>
      <c r="C31" s="5">
        <v>1077.2</v>
      </c>
      <c r="D31" s="5">
        <v>1134.8</v>
      </c>
      <c r="E31" s="5">
        <v>1163.0999999999999</v>
      </c>
      <c r="F31" s="5">
        <v>1228.8</v>
      </c>
      <c r="G31" s="5">
        <v>1165.2</v>
      </c>
      <c r="H31" s="28">
        <f>Balance_Sheet!H40*H62</f>
        <v>2330.9725674272804</v>
      </c>
      <c r="I31" s="28">
        <f>Balance_Sheet!I40*I62</f>
        <v>2824.4640022798053</v>
      </c>
      <c r="J31" s="28">
        <f>Balance_Sheet!J40*J62</f>
        <v>3338.0633899892118</v>
      </c>
      <c r="K31" s="28">
        <f>Balance_Sheet!K40*K62</f>
        <v>3953.5977405500034</v>
      </c>
      <c r="L31" s="28">
        <f>Balance_Sheet!L40*L62</f>
        <v>4658.1406778349992</v>
      </c>
    </row>
    <row r="32" spans="2:12" x14ac:dyDescent="0.25">
      <c r="B32" s="17" t="s">
        <v>251</v>
      </c>
      <c r="C32" s="18">
        <f>C31/Income_Statement!C5</f>
        <v>7.5844199735263476E-2</v>
      </c>
      <c r="D32" s="18">
        <f>D31/Income_Statement!D5</f>
        <v>7.3759676570188032E-2</v>
      </c>
      <c r="E32" s="18">
        <f>E31/Income_Statement!E5</f>
        <v>6.6615120274914078E-2</v>
      </c>
      <c r="F32" s="18">
        <f>F31/Income_Statement!F5</f>
        <v>6.4768450680469311E-2</v>
      </c>
      <c r="G32" s="18">
        <f>G31/Income_Statement!G5</f>
        <v>5.4349296379045765E-2</v>
      </c>
      <c r="H32" s="25">
        <f>H31/Income_Statement!H5</f>
        <v>9.880157060031089E-2</v>
      </c>
      <c r="I32" s="25">
        <f>I31/Income_Statement!I5</f>
        <v>0.1072840431770304</v>
      </c>
      <c r="J32" s="25">
        <f>J31/Income_Statement!J5</f>
        <v>0.11459755410171354</v>
      </c>
      <c r="K32" s="25">
        <f>K31/Income_Statement!K5</f>
        <v>0.12166053133042076</v>
      </c>
      <c r="L32" s="25">
        <f>L31/Income_Statement!L5</f>
        <v>0.12949665096471744</v>
      </c>
    </row>
    <row r="33" spans="2:12" ht="18.75" x14ac:dyDescent="0.25">
      <c r="B33" s="9" t="s">
        <v>111</v>
      </c>
      <c r="C33" s="7">
        <f xml:space="preserve"> C29-C31</f>
        <v>2760.6109274227611</v>
      </c>
      <c r="D33" s="7">
        <f t="shared" ref="D33:L33" si="20" xml:space="preserve"> D29-D31</f>
        <v>3935.8219368089913</v>
      </c>
      <c r="E33" s="7">
        <f t="shared" si="20"/>
        <v>6118.2355441008021</v>
      </c>
      <c r="F33" s="7">
        <f t="shared" si="20"/>
        <v>5318.1153593152112</v>
      </c>
      <c r="G33" s="7">
        <f t="shared" si="20"/>
        <v>7042.0225942320349</v>
      </c>
      <c r="H33" s="29">
        <f t="shared" si="20"/>
        <v>6248.3242205125525</v>
      </c>
      <c r="I33" s="29">
        <f t="shared" si="20"/>
        <v>6749.1059805020668</v>
      </c>
      <c r="J33" s="29">
        <f t="shared" si="20"/>
        <v>7254.1757434127803</v>
      </c>
      <c r="K33" s="29">
        <f t="shared" si="20"/>
        <v>7863.3951322892517</v>
      </c>
      <c r="L33" s="29">
        <f t="shared" si="20"/>
        <v>8422.066972717199</v>
      </c>
    </row>
    <row r="34" spans="2:12" x14ac:dyDescent="0.25">
      <c r="B34" s="19" t="s">
        <v>252</v>
      </c>
      <c r="C34" s="21">
        <f>C33/Income_Statement!C5</f>
        <v>0.19437089358596624</v>
      </c>
      <c r="D34" s="21">
        <f>D33/Income_Statement!D5</f>
        <v>0.25582036755100657</v>
      </c>
      <c r="E34" s="21">
        <f>E33/Income_Statement!E5</f>
        <v>0.35041440687862557</v>
      </c>
      <c r="F34" s="21">
        <f>F33/Income_Statement!F5</f>
        <v>0.28031094756091601</v>
      </c>
      <c r="G34" s="21">
        <f>G33/Income_Statement!G5</f>
        <v>0.32846633460509234</v>
      </c>
      <c r="H34" s="30">
        <f>H33/Income_Statement!H5</f>
        <v>0.26484406347517547</v>
      </c>
      <c r="I34" s="30">
        <f>I33/Income_Statement!I5</f>
        <v>0.25635709176470067</v>
      </c>
      <c r="J34" s="30">
        <f>J33/Income_Statement!J5</f>
        <v>0.24903984738940829</v>
      </c>
      <c r="K34" s="30">
        <f>K33/Income_Statement!K5</f>
        <v>0.24197323365585205</v>
      </c>
      <c r="L34" s="30">
        <f>L33/Income_Statement!L5</f>
        <v>0.23413407679098561</v>
      </c>
    </row>
    <row r="35" spans="2:12" ht="18.75" x14ac:dyDescent="0.25">
      <c r="B35" s="8" t="s">
        <v>67</v>
      </c>
      <c r="C35" s="4">
        <v>78.8</v>
      </c>
      <c r="D35" s="4">
        <v>88.9</v>
      </c>
      <c r="E35" s="4">
        <v>98.3</v>
      </c>
      <c r="F35" s="4">
        <v>97</v>
      </c>
      <c r="G35" s="4">
        <v>95.8</v>
      </c>
      <c r="H35" s="24">
        <f>Balance_Sheet!H21*H63</f>
        <v>109.01778637111016</v>
      </c>
      <c r="I35" s="24">
        <f>Balance_Sheet!I21*I63</f>
        <v>132.09793800621156</v>
      </c>
      <c r="J35" s="24">
        <f>Balance_Sheet!J21*J63</f>
        <v>156.11852932220935</v>
      </c>
      <c r="K35" s="24">
        <f>Balance_Sheet!K21*K63</f>
        <v>184.90665976493514</v>
      </c>
      <c r="L35" s="24">
        <f>Balance_Sheet!L21*L63</f>
        <v>217.85763595396142</v>
      </c>
    </row>
    <row r="36" spans="2:12" x14ac:dyDescent="0.25">
      <c r="B36" s="17" t="s">
        <v>253</v>
      </c>
      <c r="C36" s="18">
        <f>C35/Income_Statement!C5</f>
        <v>5.5482017630326414E-3</v>
      </c>
      <c r="D36" s="18">
        <f>D35/Income_Statement!D5</f>
        <v>5.7783179829835364E-3</v>
      </c>
      <c r="E36" s="18">
        <f>E35/Income_Statement!E5</f>
        <v>5.6300114547537224E-3</v>
      </c>
      <c r="F36" s="18">
        <f>F35/Income_Statement!F5</f>
        <v>5.1127439095097031E-3</v>
      </c>
      <c r="G36" s="18">
        <f>G35/Income_Statement!G5</f>
        <v>4.4684711578377827E-3</v>
      </c>
      <c r="H36" s="25">
        <f>H35/Income_Statement!H5</f>
        <v>4.6208731356813275E-3</v>
      </c>
      <c r="I36" s="25">
        <f>I35/Income_Statement!I5</f>
        <v>5.0175894871437405E-3</v>
      </c>
      <c r="J36" s="25">
        <f>J35/Income_Statement!J5</f>
        <v>5.3596350698240213E-3</v>
      </c>
      <c r="K36" s="25">
        <f>K35/Income_Statement!K5</f>
        <v>5.6899674549100296E-3</v>
      </c>
      <c r="L36" s="25">
        <f>L35/Income_Statement!L5</f>
        <v>6.0564581867117101E-3</v>
      </c>
    </row>
    <row r="37" spans="2:12" ht="18.75" x14ac:dyDescent="0.25">
      <c r="B37" s="9" t="s">
        <v>112</v>
      </c>
      <c r="C37" s="7">
        <f xml:space="preserve"> C33-C35</f>
        <v>2681.8109274227609</v>
      </c>
      <c r="D37" s="7">
        <f t="shared" ref="D37:L37" si="21" xml:space="preserve"> D33-D35</f>
        <v>3846.9219368089912</v>
      </c>
      <c r="E37" s="7">
        <f t="shared" si="21"/>
        <v>6019.935544100802</v>
      </c>
      <c r="F37" s="7">
        <f t="shared" si="21"/>
        <v>5221.1153593152112</v>
      </c>
      <c r="G37" s="7">
        <f t="shared" si="21"/>
        <v>6946.2225942320347</v>
      </c>
      <c r="H37" s="29">
        <f t="shared" si="21"/>
        <v>6139.306434141442</v>
      </c>
      <c r="I37" s="29">
        <f t="shared" si="21"/>
        <v>6617.0080424958551</v>
      </c>
      <c r="J37" s="29">
        <f t="shared" si="21"/>
        <v>7098.0572140905706</v>
      </c>
      <c r="K37" s="29">
        <f t="shared" si="21"/>
        <v>7678.4884725243164</v>
      </c>
      <c r="L37" s="29">
        <f t="shared" si="21"/>
        <v>8204.2093367632369</v>
      </c>
    </row>
    <row r="38" spans="2:12" x14ac:dyDescent="0.25">
      <c r="B38" s="19" t="s">
        <v>254</v>
      </c>
      <c r="C38" s="21">
        <f>C37/Income_Statement!C5</f>
        <v>0.18882269182293357</v>
      </c>
      <c r="D38" s="21">
        <f>D37/Income_Statement!D5</f>
        <v>0.25004204956802301</v>
      </c>
      <c r="E38" s="21">
        <f>E37/Income_Statement!E5</f>
        <v>0.34478439542387179</v>
      </c>
      <c r="F38" s="21">
        <f>F37/Income_Statement!F5</f>
        <v>0.27519820365140635</v>
      </c>
      <c r="G38" s="21">
        <f>G37/Income_Statement!G5</f>
        <v>0.32399786344725456</v>
      </c>
      <c r="H38" s="30">
        <f>H37/Income_Statement!H5</f>
        <v>0.26022319033949415</v>
      </c>
      <c r="I38" s="30">
        <f>I37/Income_Statement!I5</f>
        <v>0.25133950227755691</v>
      </c>
      <c r="J38" s="30">
        <f>J37/Income_Statement!J5</f>
        <v>0.24368021231958426</v>
      </c>
      <c r="K38" s="30">
        <f>K37/Income_Statement!K5</f>
        <v>0.236283266200942</v>
      </c>
      <c r="L38" s="30">
        <f>L37/Income_Statement!L5</f>
        <v>0.22807761860427389</v>
      </c>
    </row>
    <row r="39" spans="2:12" ht="18.75" x14ac:dyDescent="0.25">
      <c r="B39" s="8" t="s">
        <v>113</v>
      </c>
      <c r="C39" s="4"/>
      <c r="D39" s="4"/>
      <c r="E39" s="4"/>
      <c r="F39" s="4"/>
      <c r="G39" s="4"/>
      <c r="H39" s="24">
        <f>H5*H40</f>
        <v>0</v>
      </c>
      <c r="I39" s="24">
        <f t="shared" ref="I39:L39" si="22">I5*I40</f>
        <v>0</v>
      </c>
      <c r="J39" s="24">
        <f t="shared" si="22"/>
        <v>0</v>
      </c>
      <c r="K39" s="24">
        <f t="shared" si="22"/>
        <v>0</v>
      </c>
      <c r="L39" s="24">
        <f t="shared" si="22"/>
        <v>0</v>
      </c>
    </row>
    <row r="40" spans="2:12" x14ac:dyDescent="0.25">
      <c r="B40" s="17" t="s">
        <v>255</v>
      </c>
      <c r="C40" s="18">
        <f>C39/Income_Statement!C5</f>
        <v>0</v>
      </c>
      <c r="D40" s="18">
        <f>D39/Income_Statement!D5</f>
        <v>0</v>
      </c>
      <c r="E40" s="18">
        <f>E39/Income_Statement!E5</f>
        <v>0</v>
      </c>
      <c r="F40" s="18">
        <f>F39/Income_Statement!F5</f>
        <v>0</v>
      </c>
      <c r="G40" s="18">
        <f>G39/Income_Statement!G5</f>
        <v>0</v>
      </c>
      <c r="H40" s="25">
        <f>G40</f>
        <v>0</v>
      </c>
      <c r="I40" s="25">
        <f t="shared" ref="I40:L40" si="23">H40</f>
        <v>0</v>
      </c>
      <c r="J40" s="25">
        <f t="shared" si="23"/>
        <v>0</v>
      </c>
      <c r="K40" s="25">
        <f t="shared" si="23"/>
        <v>0</v>
      </c>
      <c r="L40" s="25">
        <f t="shared" si="23"/>
        <v>0</v>
      </c>
    </row>
    <row r="41" spans="2:12" ht="18.75" x14ac:dyDescent="0.25">
      <c r="B41" s="9" t="s">
        <v>114</v>
      </c>
      <c r="C41" s="7">
        <f xml:space="preserve"> C37+C39</f>
        <v>2681.8109274227609</v>
      </c>
      <c r="D41" s="7">
        <f t="shared" ref="D41:L41" si="24" xml:space="preserve"> D37+D39</f>
        <v>3846.9219368089912</v>
      </c>
      <c r="E41" s="7">
        <f t="shared" si="24"/>
        <v>6019.935544100802</v>
      </c>
      <c r="F41" s="7">
        <f t="shared" si="24"/>
        <v>5221.1153593152112</v>
      </c>
      <c r="G41" s="7">
        <f t="shared" si="24"/>
        <v>6946.2225942320347</v>
      </c>
      <c r="H41" s="29">
        <f t="shared" si="24"/>
        <v>6139.306434141442</v>
      </c>
      <c r="I41" s="29">
        <f t="shared" si="24"/>
        <v>6617.0080424958551</v>
      </c>
      <c r="J41" s="29">
        <f t="shared" si="24"/>
        <v>7098.0572140905706</v>
      </c>
      <c r="K41" s="29">
        <f t="shared" si="24"/>
        <v>7678.4884725243164</v>
      </c>
      <c r="L41" s="29">
        <f t="shared" si="24"/>
        <v>8204.2093367632369</v>
      </c>
    </row>
    <row r="42" spans="2:12" x14ac:dyDescent="0.25">
      <c r="B42" s="19" t="s">
        <v>256</v>
      </c>
      <c r="C42" s="21">
        <f>C41/Income_Statement!C5</f>
        <v>0.18882269182293357</v>
      </c>
      <c r="D42" s="21">
        <f>D41/Income_Statement!D5</f>
        <v>0.25004204956802301</v>
      </c>
      <c r="E42" s="21">
        <f>E41/Income_Statement!E5</f>
        <v>0.34478439542387179</v>
      </c>
      <c r="F42" s="21">
        <f>F41/Income_Statement!F5</f>
        <v>0.27519820365140635</v>
      </c>
      <c r="G42" s="21">
        <f>G41/Income_Statement!G5</f>
        <v>0.32399786344725456</v>
      </c>
      <c r="H42" s="30">
        <f>H41/Income_Statement!H5</f>
        <v>0.26022319033949415</v>
      </c>
      <c r="I42" s="30">
        <f>I41/Income_Statement!I5</f>
        <v>0.25133950227755691</v>
      </c>
      <c r="J42" s="30">
        <f>J41/Income_Statement!J5</f>
        <v>0.24368021231958426</v>
      </c>
      <c r="K42" s="30">
        <f>K41/Income_Statement!K5</f>
        <v>0.236283266200942</v>
      </c>
      <c r="L42" s="30">
        <f>L41/Income_Statement!L5</f>
        <v>0.22807761860427389</v>
      </c>
    </row>
    <row r="43" spans="2:12" ht="18.75" x14ac:dyDescent="0.25">
      <c r="B43" s="8" t="s">
        <v>72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24">
        <f>H5*H44</f>
        <v>0</v>
      </c>
      <c r="I43" s="24">
        <f t="shared" ref="I43:L43" si="25">I5*I44</f>
        <v>0</v>
      </c>
      <c r="J43" s="24">
        <f t="shared" si="25"/>
        <v>0</v>
      </c>
      <c r="K43" s="24">
        <f t="shared" si="25"/>
        <v>0</v>
      </c>
      <c r="L43" s="24">
        <f t="shared" si="25"/>
        <v>0</v>
      </c>
    </row>
    <row r="44" spans="2:12" x14ac:dyDescent="0.25">
      <c r="B44" s="17" t="s">
        <v>257</v>
      </c>
      <c r="C44" s="18">
        <f>C43/Income_Statement!C5</f>
        <v>0</v>
      </c>
      <c r="D44" s="18">
        <f>D43/Income_Statement!D5</f>
        <v>0</v>
      </c>
      <c r="E44" s="18">
        <f>E43/Income_Statement!E5</f>
        <v>0</v>
      </c>
      <c r="F44" s="18">
        <f>F43/Income_Statement!F5</f>
        <v>0</v>
      </c>
      <c r="G44" s="18">
        <f>G43/Income_Statement!G5</f>
        <v>0</v>
      </c>
      <c r="H44" s="25">
        <f>G44</f>
        <v>0</v>
      </c>
      <c r="I44" s="25">
        <f t="shared" ref="I44:L44" si="26">H44</f>
        <v>0</v>
      </c>
      <c r="J44" s="25">
        <f t="shared" si="26"/>
        <v>0</v>
      </c>
      <c r="K44" s="25">
        <f t="shared" si="26"/>
        <v>0</v>
      </c>
      <c r="L44" s="25">
        <f t="shared" si="26"/>
        <v>0</v>
      </c>
    </row>
    <row r="45" spans="2:12" ht="18.75" x14ac:dyDescent="0.25">
      <c r="B45" s="9" t="s">
        <v>115</v>
      </c>
      <c r="C45" s="7">
        <f xml:space="preserve"> C41+C43</f>
        <v>2681.8109274227609</v>
      </c>
      <c r="D45" s="7">
        <f t="shared" ref="D45:L45" si="27" xml:space="preserve"> D41+D43</f>
        <v>3846.9219368089912</v>
      </c>
      <c r="E45" s="7">
        <f t="shared" si="27"/>
        <v>6019.935544100802</v>
      </c>
      <c r="F45" s="7">
        <f t="shared" si="27"/>
        <v>5221.1153593152112</v>
      </c>
      <c r="G45" s="7">
        <f t="shared" si="27"/>
        <v>6946.2225942320347</v>
      </c>
      <c r="H45" s="29">
        <f t="shared" si="27"/>
        <v>6139.306434141442</v>
      </c>
      <c r="I45" s="29">
        <f t="shared" si="27"/>
        <v>6617.0080424958551</v>
      </c>
      <c r="J45" s="29">
        <f t="shared" si="27"/>
        <v>7098.0572140905706</v>
      </c>
      <c r="K45" s="29">
        <f t="shared" si="27"/>
        <v>7678.4884725243164</v>
      </c>
      <c r="L45" s="29">
        <f t="shared" si="27"/>
        <v>8204.2093367632369</v>
      </c>
    </row>
    <row r="46" spans="2:12" x14ac:dyDescent="0.25">
      <c r="B46" s="19" t="s">
        <v>258</v>
      </c>
      <c r="C46" s="21">
        <f>C45/Income_Statement!C5</f>
        <v>0.18882269182293357</v>
      </c>
      <c r="D46" s="21">
        <f>D45/Income_Statement!D5</f>
        <v>0.25004204956802301</v>
      </c>
      <c r="E46" s="21">
        <f>E45/Income_Statement!E5</f>
        <v>0.34478439542387179</v>
      </c>
      <c r="F46" s="21">
        <f>F45/Income_Statement!F5</f>
        <v>0.27519820365140635</v>
      </c>
      <c r="G46" s="21">
        <f>G45/Income_Statement!G5</f>
        <v>0.32399786344725456</v>
      </c>
      <c r="H46" s="30">
        <f>H45/Income_Statement!H5</f>
        <v>0.26022319033949415</v>
      </c>
      <c r="I46" s="30">
        <f>I45/Income_Statement!I5</f>
        <v>0.25133950227755691</v>
      </c>
      <c r="J46" s="30">
        <f>J45/Income_Statement!J5</f>
        <v>0.24368021231958426</v>
      </c>
      <c r="K46" s="30">
        <f>K45/Income_Statement!K5</f>
        <v>0.236283266200942</v>
      </c>
      <c r="L46" s="30">
        <f>L45/Income_Statement!L5</f>
        <v>0.22807761860427389</v>
      </c>
    </row>
    <row r="47" spans="2:12" ht="18.75" x14ac:dyDescent="0.25">
      <c r="B47" s="8" t="s">
        <v>79</v>
      </c>
      <c r="C47" s="4">
        <v>438</v>
      </c>
      <c r="D47" s="4">
        <v>385.8</v>
      </c>
      <c r="E47" s="4">
        <v>-140.30000000000001</v>
      </c>
      <c r="F47" s="4">
        <v>931.9</v>
      </c>
      <c r="G47" s="4">
        <v>878.9</v>
      </c>
      <c r="H47" s="24">
        <f>H45*H64</f>
        <v>776.80154238758166</v>
      </c>
      <c r="I47" s="24">
        <f t="shared" ref="I47:L47" si="28">I45*I64</f>
        <v>837.24474556556913</v>
      </c>
      <c r="J47" s="24">
        <f t="shared" si="28"/>
        <v>898.11151324814705</v>
      </c>
      <c r="K47" s="24">
        <f t="shared" si="28"/>
        <v>971.55301704634485</v>
      </c>
      <c r="L47" s="24">
        <f t="shared" si="28"/>
        <v>1038.0720583398484</v>
      </c>
    </row>
    <row r="48" spans="2:12" x14ac:dyDescent="0.25">
      <c r="B48" s="17" t="s">
        <v>259</v>
      </c>
      <c r="C48" s="18">
        <f>C47/Income_Statement!C5</f>
        <v>3.083898949502915E-2</v>
      </c>
      <c r="D48" s="18">
        <f>D47/Income_Statement!D5</f>
        <v>2.5076210099381869E-2</v>
      </c>
      <c r="E48" s="18">
        <f>E47/Income_Statement!E5</f>
        <v>-8.035509736540665E-3</v>
      </c>
      <c r="F48" s="18">
        <f>F47/Income_Statement!F5</f>
        <v>4.9119237621361778E-2</v>
      </c>
      <c r="G48" s="18">
        <f>G47/Income_Statement!G5</f>
        <v>4.0995191029474187E-2</v>
      </c>
      <c r="H48" s="25">
        <f>H47/Income_Statement!H5</f>
        <v>3.2925832549520723E-2</v>
      </c>
      <c r="I48" s="25">
        <f>I47/Income_Statement!I5</f>
        <v>3.1801786590481051E-2</v>
      </c>
      <c r="J48" s="25">
        <f>J47/Income_Statement!J5</f>
        <v>3.0832662746155634E-2</v>
      </c>
      <c r="K48" s="25">
        <f>K47/Income_Statement!K5</f>
        <v>2.9896733058403749E-2</v>
      </c>
      <c r="L48" s="25">
        <f>L47/Income_Statement!L5</f>
        <v>2.8858479018186237E-2</v>
      </c>
    </row>
    <row r="49" spans="2:12" ht="18.75" x14ac:dyDescent="0.25">
      <c r="B49" s="9" t="s">
        <v>116</v>
      </c>
      <c r="C49" s="7">
        <f xml:space="preserve"> C45-C47</f>
        <v>2243.8109274227609</v>
      </c>
      <c r="D49" s="7">
        <f t="shared" ref="D49:L49" si="29" xml:space="preserve"> D45-D47</f>
        <v>3461.121936808991</v>
      </c>
      <c r="E49" s="7">
        <f t="shared" si="29"/>
        <v>6160.2355441008021</v>
      </c>
      <c r="F49" s="7">
        <f t="shared" si="29"/>
        <v>4289.2153593152116</v>
      </c>
      <c r="G49" s="7">
        <f t="shared" si="29"/>
        <v>6067.322594232035</v>
      </c>
      <c r="H49" s="29">
        <f t="shared" si="29"/>
        <v>5362.5048917538606</v>
      </c>
      <c r="I49" s="29">
        <f t="shared" si="29"/>
        <v>5779.7632969302858</v>
      </c>
      <c r="J49" s="29">
        <f t="shared" si="29"/>
        <v>6199.9457008424233</v>
      </c>
      <c r="K49" s="29">
        <f t="shared" si="29"/>
        <v>6706.9354554779711</v>
      </c>
      <c r="L49" s="29">
        <f t="shared" si="29"/>
        <v>7166.1372784233881</v>
      </c>
    </row>
    <row r="50" spans="2:12" x14ac:dyDescent="0.25">
      <c r="B50" s="19" t="s">
        <v>260</v>
      </c>
      <c r="C50" s="21">
        <f>C49/Income_Statement!C5</f>
        <v>0.15798370232790443</v>
      </c>
      <c r="D50" s="21">
        <f>D49/Income_Statement!D5</f>
        <v>0.22496583946864115</v>
      </c>
      <c r="E50" s="21">
        <f>E49/Income_Statement!E5</f>
        <v>0.35281990516041251</v>
      </c>
      <c r="F50" s="21">
        <f>F49/Income_Statement!F5</f>
        <v>0.22607896603004457</v>
      </c>
      <c r="G50" s="21">
        <f>G49/Income_Statement!G5</f>
        <v>0.28300267241778038</v>
      </c>
      <c r="H50" s="30">
        <f>H49/Income_Statement!H5</f>
        <v>0.22729735778997345</v>
      </c>
      <c r="I50" s="30">
        <f>I49/Income_Statement!I5</f>
        <v>0.21953771568707589</v>
      </c>
      <c r="J50" s="30">
        <f>J49/Income_Statement!J5</f>
        <v>0.21284754957342861</v>
      </c>
      <c r="K50" s="30">
        <f>K49/Income_Statement!K5</f>
        <v>0.20638653314253824</v>
      </c>
      <c r="L50" s="30">
        <f>L49/Income_Statement!L5</f>
        <v>0.19921913958608764</v>
      </c>
    </row>
    <row r="51" spans="2:12" ht="18.75" x14ac:dyDescent="0.25">
      <c r="B51" s="8" t="s">
        <v>88</v>
      </c>
      <c r="C51" s="4">
        <v>399.2</v>
      </c>
      <c r="D51" s="4">
        <v>332</v>
      </c>
      <c r="E51" s="4">
        <v>391.6</v>
      </c>
      <c r="F51" s="4">
        <v>414.7</v>
      </c>
      <c r="G51" s="4">
        <v>0</v>
      </c>
      <c r="H51" s="24">
        <f>H5*H52</f>
        <v>0</v>
      </c>
      <c r="I51" s="24">
        <f t="shared" ref="I51:L51" si="30">I5*I52</f>
        <v>0</v>
      </c>
      <c r="J51" s="24">
        <f t="shared" si="30"/>
        <v>0</v>
      </c>
      <c r="K51" s="24">
        <f t="shared" si="30"/>
        <v>0</v>
      </c>
      <c r="L51" s="24">
        <f t="shared" si="30"/>
        <v>0</v>
      </c>
    </row>
    <row r="52" spans="2:12" x14ac:dyDescent="0.25">
      <c r="B52" s="17" t="s">
        <v>261</v>
      </c>
      <c r="C52" s="18">
        <f>C51/Income_Statement!C5</f>
        <v>2.8107133804601909E-2</v>
      </c>
      <c r="D52" s="18">
        <f>D51/Income_Statement!D5</f>
        <v>2.1579320251412081E-2</v>
      </c>
      <c r="E52" s="18">
        <f>E51/Income_Statement!E5</f>
        <v>2.2428407789232534E-2</v>
      </c>
      <c r="F52" s="18">
        <f>F51/Income_Statement!F5</f>
        <v>2.1858297930656433E-2</v>
      </c>
      <c r="G52" s="18">
        <f>G51/Income_Statement!G5</f>
        <v>0</v>
      </c>
      <c r="H52" s="25">
        <f>G52</f>
        <v>0</v>
      </c>
      <c r="I52" s="25">
        <f t="shared" ref="I52:L52" si="31">H52</f>
        <v>0</v>
      </c>
      <c r="J52" s="25">
        <f t="shared" si="31"/>
        <v>0</v>
      </c>
      <c r="K52" s="25">
        <f t="shared" si="31"/>
        <v>0</v>
      </c>
      <c r="L52" s="25">
        <f t="shared" si="31"/>
        <v>0</v>
      </c>
    </row>
    <row r="53" spans="2:12" ht="18.75" x14ac:dyDescent="0.25">
      <c r="B53" s="8" t="s">
        <v>89</v>
      </c>
      <c r="C53" s="4">
        <v>0</v>
      </c>
      <c r="D53" s="4">
        <v>68.2</v>
      </c>
      <c r="E53" s="4">
        <v>0</v>
      </c>
      <c r="F53" s="4">
        <v>0</v>
      </c>
      <c r="G53" s="4">
        <v>0</v>
      </c>
      <c r="H53" s="24">
        <f>H5*H54</f>
        <v>0</v>
      </c>
      <c r="I53" s="24">
        <f t="shared" ref="I53:L53" si="32">I5*I54</f>
        <v>0</v>
      </c>
      <c r="J53" s="24">
        <f t="shared" si="32"/>
        <v>0</v>
      </c>
      <c r="K53" s="24">
        <f t="shared" si="32"/>
        <v>0</v>
      </c>
      <c r="L53" s="24">
        <f t="shared" si="32"/>
        <v>0</v>
      </c>
    </row>
    <row r="54" spans="2:12" x14ac:dyDescent="0.25">
      <c r="B54" s="17" t="s">
        <v>262</v>
      </c>
      <c r="C54" s="18">
        <f>C53/Income_Statement!C5</f>
        <v>0</v>
      </c>
      <c r="D54" s="18">
        <f>D53/Income_Statement!D5</f>
        <v>4.4328603648985058E-3</v>
      </c>
      <c r="E54" s="18">
        <f>E53/Income_Statement!E5</f>
        <v>0</v>
      </c>
      <c r="F54" s="18">
        <f>F53/Income_Statement!F5</f>
        <v>0</v>
      </c>
      <c r="G54" s="18">
        <f>G53/Income_Statement!G5</f>
        <v>0</v>
      </c>
      <c r="H54" s="25">
        <f>G54</f>
        <v>0</v>
      </c>
      <c r="I54" s="25">
        <f t="shared" ref="I54:L54" si="33">H54</f>
        <v>0</v>
      </c>
      <c r="J54" s="25">
        <f t="shared" si="33"/>
        <v>0</v>
      </c>
      <c r="K54" s="25">
        <f t="shared" si="33"/>
        <v>0</v>
      </c>
      <c r="L54" s="25">
        <f t="shared" si="33"/>
        <v>0</v>
      </c>
    </row>
    <row r="55" spans="2:12" ht="18.75" x14ac:dyDescent="0.25">
      <c r="B55" s="9" t="s">
        <v>117</v>
      </c>
      <c r="C55" s="7">
        <f xml:space="preserve"> C49-C51-C53</f>
        <v>1844.6109274227608</v>
      </c>
      <c r="D55" s="7">
        <f t="shared" ref="D55:L55" si="34" xml:space="preserve"> D49-D51-D53</f>
        <v>3060.9219368089912</v>
      </c>
      <c r="E55" s="7">
        <f t="shared" si="34"/>
        <v>5768.6355441008018</v>
      </c>
      <c r="F55" s="7">
        <f t="shared" si="34"/>
        <v>3874.5153593152118</v>
      </c>
      <c r="G55" s="7">
        <f t="shared" si="34"/>
        <v>6067.322594232035</v>
      </c>
      <c r="H55" s="29">
        <f t="shared" si="34"/>
        <v>5362.5048917538606</v>
      </c>
      <c r="I55" s="29">
        <f t="shared" si="34"/>
        <v>5779.7632969302858</v>
      </c>
      <c r="J55" s="29">
        <f t="shared" si="34"/>
        <v>6199.9457008424233</v>
      </c>
      <c r="K55" s="29">
        <f t="shared" si="34"/>
        <v>6706.9354554779711</v>
      </c>
      <c r="L55" s="29">
        <f t="shared" si="34"/>
        <v>7166.1372784233881</v>
      </c>
    </row>
    <row r="56" spans="2:12" x14ac:dyDescent="0.25">
      <c r="B56" s="19" t="s">
        <v>263</v>
      </c>
      <c r="C56" s="21">
        <f>C55/Income_Statement!C5</f>
        <v>0.12987656852330251</v>
      </c>
      <c r="D56" s="21">
        <f>D55/Income_Statement!D5</f>
        <v>0.19895365885233057</v>
      </c>
      <c r="E56" s="21">
        <f>E55/Income_Statement!E5</f>
        <v>0.33039149737117995</v>
      </c>
      <c r="F56" s="21">
        <f>F55/Income_Statement!F5</f>
        <v>0.20422066809938813</v>
      </c>
      <c r="G56" s="21">
        <f>G55/Income_Statement!G5</f>
        <v>0.28300267241778038</v>
      </c>
      <c r="H56" s="30">
        <f>H55/Income_Statement!H5</f>
        <v>0.22729735778997345</v>
      </c>
      <c r="I56" s="30">
        <f>I55/Income_Statement!I5</f>
        <v>0.21953771568707589</v>
      </c>
      <c r="J56" s="30">
        <f>J55/Income_Statement!J5</f>
        <v>0.21284754957342861</v>
      </c>
      <c r="K56" s="30">
        <f>K55/Income_Statement!K5</f>
        <v>0.20638653314253824</v>
      </c>
      <c r="L56" s="30">
        <f>L55/Income_Statement!L5</f>
        <v>0.19921913958608764</v>
      </c>
    </row>
    <row r="57" spans="2:12" ht="18.75" x14ac:dyDescent="0.25"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2:12" ht="18.75" x14ac:dyDescent="0.25"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2:12" ht="18.75" x14ac:dyDescent="0.25"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2:12" ht="18.75" x14ac:dyDescent="0.25">
      <c r="B60" s="8" t="s">
        <v>85</v>
      </c>
      <c r="C60" s="4">
        <v>57</v>
      </c>
      <c r="D60" s="4">
        <v>118</v>
      </c>
      <c r="E60" s="4">
        <v>122</v>
      </c>
      <c r="F60" s="4">
        <v>118</v>
      </c>
      <c r="G60" s="4">
        <v>132</v>
      </c>
      <c r="H60" s="4"/>
      <c r="I60" s="4"/>
      <c r="J60" s="4"/>
      <c r="K60" s="4"/>
      <c r="L60" s="4"/>
    </row>
    <row r="61" spans="2:12" ht="18.75" x14ac:dyDescent="0.25">
      <c r="B61" s="8" t="s">
        <v>118</v>
      </c>
      <c r="C61" s="4">
        <f>C49/C60</f>
        <v>39.365103989872999</v>
      </c>
      <c r="D61" s="4">
        <f t="shared" ref="D61:G61" si="35">D49/D60</f>
        <v>29.33154183736433</v>
      </c>
      <c r="E61" s="4">
        <f t="shared" si="35"/>
        <v>50.493733968039365</v>
      </c>
      <c r="F61" s="4">
        <f t="shared" si="35"/>
        <v>36.349282706061118</v>
      </c>
      <c r="G61" s="4">
        <f t="shared" si="35"/>
        <v>45.964565107818444</v>
      </c>
      <c r="H61" s="4"/>
      <c r="I61" s="4"/>
      <c r="J61" s="4"/>
      <c r="K61" s="4"/>
      <c r="L61" s="4"/>
    </row>
    <row r="62" spans="2:12" x14ac:dyDescent="0.25">
      <c r="B62" t="s">
        <v>266</v>
      </c>
      <c r="C62" s="23">
        <f>C31/Balance_Sheet!C40</f>
        <v>0.21659662598274787</v>
      </c>
      <c r="D62" s="23">
        <f>D31/Balance_Sheet!D40</f>
        <v>0.23099314022838766</v>
      </c>
      <c r="E62" s="23">
        <f>E31/Balance_Sheet!E40</f>
        <v>0.24343330752004019</v>
      </c>
      <c r="F62" s="23">
        <f>F31/Balance_Sheet!F40</f>
        <v>0.25966780778496262</v>
      </c>
      <c r="G62" s="23">
        <f>G31/Balance_Sheet!G40</f>
        <v>0.13139970228697731</v>
      </c>
      <c r="H62" s="23">
        <f>MEDIAN(C62:G62)</f>
        <v>0.23099314022838766</v>
      </c>
      <c r="I62" s="23">
        <f t="shared" ref="I62:L62" si="36">H62</f>
        <v>0.23099314022838766</v>
      </c>
      <c r="J62" s="23">
        <f t="shared" si="36"/>
        <v>0.23099314022838766</v>
      </c>
      <c r="K62" s="23">
        <f t="shared" si="36"/>
        <v>0.23099314022838766</v>
      </c>
      <c r="L62" s="23">
        <f t="shared" si="36"/>
        <v>0.23099314022838766</v>
      </c>
    </row>
    <row r="63" spans="2:12" x14ac:dyDescent="0.25">
      <c r="B63" t="s">
        <v>267</v>
      </c>
      <c r="C63" s="23">
        <f>C35/Balance_Sheet!C21</f>
        <v>1.498070378890135E-2</v>
      </c>
      <c r="D63" s="23">
        <f>D35/Balance_Sheet!D21</f>
        <v>2.5695126885947165E-2</v>
      </c>
      <c r="E63" s="23">
        <f>E35/Balance_Sheet!E21</f>
        <v>5.5051523297491037E-2</v>
      </c>
      <c r="F63" s="23">
        <f>F35/Balance_Sheet!F21</f>
        <v>3.2623684122019304E-2</v>
      </c>
      <c r="G63" s="23">
        <f>G35/Balance_Sheet!G21</f>
        <v>2.9169965288350284E-2</v>
      </c>
      <c r="H63" s="23">
        <f>G63</f>
        <v>2.9169965288350284E-2</v>
      </c>
      <c r="I63" s="23">
        <f t="shared" ref="I63:L63" si="37">H63</f>
        <v>2.9169965288350284E-2</v>
      </c>
      <c r="J63" s="23">
        <f t="shared" si="37"/>
        <v>2.9169965288350284E-2</v>
      </c>
      <c r="K63" s="23">
        <f t="shared" si="37"/>
        <v>2.9169965288350284E-2</v>
      </c>
      <c r="L63" s="23">
        <f t="shared" si="37"/>
        <v>2.9169965288350284E-2</v>
      </c>
    </row>
    <row r="64" spans="2:12" x14ac:dyDescent="0.25">
      <c r="B64" t="s">
        <v>268</v>
      </c>
      <c r="C64" s="23">
        <f>C47/Income_Statement!C45</f>
        <v>0.1633224756903057</v>
      </c>
      <c r="D64" s="23">
        <f>D47/Income_Statement!D45</f>
        <v>0.10028797213390293</v>
      </c>
      <c r="E64" s="23">
        <f>E47/Income_Statement!E45</f>
        <v>-2.3305897375842523E-2</v>
      </c>
      <c r="F64" s="23">
        <f>F47/Income_Statement!F45</f>
        <v>0.17848676688159323</v>
      </c>
      <c r="G64" s="23">
        <f>G47/Income_Statement!G45</f>
        <v>0.1265292017462579</v>
      </c>
      <c r="H64" s="23">
        <f>G64</f>
        <v>0.1265292017462579</v>
      </c>
      <c r="I64" s="23">
        <f t="shared" ref="I64:L64" si="38">H64</f>
        <v>0.1265292017462579</v>
      </c>
      <c r="J64" s="23">
        <f t="shared" si="38"/>
        <v>0.1265292017462579</v>
      </c>
      <c r="K64" s="23">
        <f t="shared" si="38"/>
        <v>0.1265292017462579</v>
      </c>
      <c r="L64" s="23">
        <f t="shared" si="38"/>
        <v>0.1265292017462579</v>
      </c>
    </row>
    <row r="65" spans="2:12" x14ac:dyDescent="0.25">
      <c r="B65" t="s">
        <v>269</v>
      </c>
      <c r="C65" s="23">
        <f>C53/Income_Statement!C51</f>
        <v>0</v>
      </c>
      <c r="D65" s="23">
        <f>D53/Income_Statement!D51</f>
        <v>0.20542168674698796</v>
      </c>
      <c r="E65" s="23">
        <f>E53/Income_Statement!E51</f>
        <v>0</v>
      </c>
      <c r="F65" s="23">
        <f>F53/Income_Statement!F51</f>
        <v>0</v>
      </c>
      <c r="G65" s="23" t="e">
        <f>G53/Income_Statement!G51</f>
        <v>#DIV/0!</v>
      </c>
      <c r="H65" s="23" t="e">
        <f>G65</f>
        <v>#DIV/0!</v>
      </c>
      <c r="I65" s="23" t="e">
        <f t="shared" ref="I65:L65" si="39">H65</f>
        <v>#DIV/0!</v>
      </c>
      <c r="J65" s="23" t="e">
        <f t="shared" si="39"/>
        <v>#DIV/0!</v>
      </c>
      <c r="K65" s="23" t="e">
        <f t="shared" si="39"/>
        <v>#DIV/0!</v>
      </c>
      <c r="L65" s="23" t="e">
        <f t="shared" si="39"/>
        <v>#DIV/0!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EC58E1B2-A068-451E-9495-6564B4A8F034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78291-1728-4409-B3E3-07C7163FBD64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</f>
        <v>Gross Sales</v>
      </c>
      <c r="C5" s="13">
        <f>Income_Statement!C5</f>
        <v>14202.8</v>
      </c>
      <c r="D5" s="13">
        <f>Income_Statement!D5</f>
        <v>15385.1</v>
      </c>
      <c r="E5" s="13">
        <f>Income_Statement!E5</f>
        <v>17460</v>
      </c>
      <c r="F5" s="13">
        <f>Income_Statement!F5</f>
        <v>18972.2</v>
      </c>
      <c r="G5" s="13">
        <f>Income_Statement!G5</f>
        <v>21439.1</v>
      </c>
    </row>
    <row r="6" spans="2:15" ht="18.75" x14ac:dyDescent="0.25">
      <c r="B6" s="12" t="str">
        <f>Income_Statement!B15</f>
        <v>Total Income</v>
      </c>
      <c r="C6" s="13">
        <f>Income_Statement!C15</f>
        <v>14359.010927422762</v>
      </c>
      <c r="D6" s="13">
        <f>Income_Statement!D15</f>
        <v>15723.621936808991</v>
      </c>
      <c r="E6" s="13">
        <f>Income_Statement!E15</f>
        <v>18081.635544100802</v>
      </c>
      <c r="F6" s="13">
        <f>Income_Statement!F15</f>
        <v>19264.615359315212</v>
      </c>
      <c r="G6" s="13">
        <f>Income_Statement!G15</f>
        <v>21924.522594232036</v>
      </c>
    </row>
  </sheetData>
  <hyperlinks>
    <hyperlink ref="F1" location="Index_Data!A1" tooltip="Hi click here To return Index page" display="Index_Data!A1" xr:uid="{484D1356-70C0-4E18-A63F-3FFA1AA563FA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C6FFB-D245-485D-B269-728F296B93F2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22544.300000000003</v>
      </c>
      <c r="D5" s="13">
        <f>Balance_Sheet!D37</f>
        <v>24074.521936808993</v>
      </c>
      <c r="E5" s="13">
        <f>Balance_Sheet!E37</f>
        <v>29027.757480909793</v>
      </c>
      <c r="F5" s="13">
        <f>Balance_Sheet!F37</f>
        <v>34250.972840225011</v>
      </c>
      <c r="G5" s="13">
        <f>Balance_Sheet!G37</f>
        <v>41877.695434457048</v>
      </c>
    </row>
    <row r="6" spans="2:15" ht="18.75" x14ac:dyDescent="0.25">
      <c r="B6" s="12" t="str">
        <f>Balance_Sheet!B21</f>
        <v>Total Debt</v>
      </c>
      <c r="C6" s="13">
        <f>Balance_Sheet!C21</f>
        <v>5260.1</v>
      </c>
      <c r="D6" s="13">
        <f>Balance_Sheet!D21</f>
        <v>3459.8</v>
      </c>
      <c r="E6" s="13">
        <f>Balance_Sheet!E21</f>
        <v>1785.6000000000001</v>
      </c>
      <c r="F6" s="13">
        <f>Balance_Sheet!F21</f>
        <v>2973.3</v>
      </c>
      <c r="G6" s="13">
        <f>Balance_Sheet!G21</f>
        <v>3284.2</v>
      </c>
    </row>
  </sheetData>
  <hyperlinks>
    <hyperlink ref="F1" location="Index_Data!A1" tooltip="Hi click here To return Index page" display="Index_Data!A1" xr:uid="{47E32DFD-D46F-480F-B82C-DD13AA721C68}"/>
  </hyperlink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AFB84-302A-414B-A83F-E1E3C3341B6D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22544.300000000003</v>
      </c>
      <c r="D5" s="13">
        <f>Balance_Sheet!D37</f>
        <v>24074.521936808993</v>
      </c>
      <c r="E5" s="13">
        <f>Balance_Sheet!E37</f>
        <v>29027.757480909793</v>
      </c>
      <c r="F5" s="13">
        <f>Balance_Sheet!F37</f>
        <v>34250.972840225011</v>
      </c>
      <c r="G5" s="13">
        <f>Balance_Sheet!G37</f>
        <v>41877.695434457048</v>
      </c>
    </row>
    <row r="6" spans="2:15" ht="18.75" x14ac:dyDescent="0.25">
      <c r="B6" s="12" t="str">
        <f>Balance_Sheet!B33</f>
        <v>Total Current Liabilities</v>
      </c>
      <c r="C6" s="13">
        <f>Balance_Sheet!C33</f>
        <v>4712.6000000000004</v>
      </c>
      <c r="D6" s="13">
        <f>Balance_Sheet!D33</f>
        <v>4982.2</v>
      </c>
      <c r="E6" s="13">
        <f>Balance_Sheet!E33</f>
        <v>5840.9</v>
      </c>
      <c r="F6" s="13">
        <f>Balance_Sheet!F33</f>
        <v>6001.8</v>
      </c>
      <c r="G6" s="13">
        <f>Balance_Sheet!G33</f>
        <v>7250.3</v>
      </c>
    </row>
  </sheetData>
  <hyperlinks>
    <hyperlink ref="F1" location="Index_Data!A1" tooltip="Hi click here To return Index page" display="Index_Data!A1" xr:uid="{7EB6082C-4EA6-4311-8F00-65819AD74904}"/>
  </hyperlink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AE990-2E60-4B11-B192-E7CA275870B0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22544.300000000003</v>
      </c>
      <c r="D5" s="13">
        <f>Balance_Sheet!D74</f>
        <v>24074.521936808989</v>
      </c>
      <c r="E5" s="13">
        <f>Balance_Sheet!E74</f>
        <v>29027.75748090979</v>
      </c>
      <c r="F5" s="13">
        <f>Balance_Sheet!F74</f>
        <v>34250.972840225004</v>
      </c>
      <c r="G5" s="13">
        <f>Balance_Sheet!G74</f>
        <v>41877.695434457033</v>
      </c>
    </row>
    <row r="6" spans="2:15" ht="18.75" x14ac:dyDescent="0.25">
      <c r="B6" s="12" t="str">
        <f>Balance_Sheet!B54</f>
        <v>Total Non Current Assets</v>
      </c>
      <c r="C6" s="13">
        <f>Balance_Sheet!C54</f>
        <v>12736.800000000001</v>
      </c>
      <c r="D6" s="13">
        <f>Balance_Sheet!D54</f>
        <v>8649.9</v>
      </c>
      <c r="E6" s="13">
        <f>Balance_Sheet!E54</f>
        <v>7175.3</v>
      </c>
      <c r="F6" s="13">
        <f>Balance_Sheet!F54</f>
        <v>7880.6999999999989</v>
      </c>
      <c r="G6" s="13">
        <f>Balance_Sheet!G54</f>
        <v>6791.6000000000013</v>
      </c>
    </row>
  </sheetData>
  <hyperlinks>
    <hyperlink ref="F1" location="Index_Data!A1" tooltip="Hi click here To return Index page" display="Index_Data!A1" xr:uid="{EC2247E9-679D-400F-81A9-52DAE30A5BF9}"/>
  </hyperlink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1AFE1-9B75-40D8-94D1-EEA76223B837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22544.300000000003</v>
      </c>
      <c r="D5" s="13">
        <f>Balance_Sheet!D74</f>
        <v>24074.521936808989</v>
      </c>
      <c r="E5" s="13">
        <f>Balance_Sheet!E74</f>
        <v>29027.75748090979</v>
      </c>
      <c r="F5" s="13">
        <f>Balance_Sheet!F74</f>
        <v>34250.972840225004</v>
      </c>
      <c r="G5" s="13">
        <f>Balance_Sheet!G74</f>
        <v>41877.695434457033</v>
      </c>
    </row>
    <row r="6" spans="2:15" ht="18.75" x14ac:dyDescent="0.25">
      <c r="B6" s="12" t="str">
        <f>Balance_Sheet!B72</f>
        <v>Total Current Assets</v>
      </c>
      <c r="C6" s="13">
        <f>Balance_Sheet!C72</f>
        <v>9807.5</v>
      </c>
      <c r="D6" s="13">
        <f>Balance_Sheet!D72</f>
        <v>15424.621936808991</v>
      </c>
      <c r="E6" s="13">
        <f>Balance_Sheet!E72</f>
        <v>21852.45748090979</v>
      </c>
      <c r="F6" s="13">
        <f>Balance_Sheet!F72</f>
        <v>26370.272840225003</v>
      </c>
      <c r="G6" s="13">
        <f>Balance_Sheet!G72</f>
        <v>35086.095434457035</v>
      </c>
    </row>
  </sheetData>
  <hyperlinks>
    <hyperlink ref="F1" location="Index_Data!A1" tooltip="Hi click here To return Index page" display="Index_Data!A1" xr:uid="{9B503D61-3F67-4996-A3ED-0C1A89F9230C}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48315-F631-4F1A-9D94-7E751250222D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Income_Statement!B25</f>
        <v>Total Expenditure</v>
      </c>
      <c r="C5" s="13">
        <f>Income_Statement!C25</f>
        <v>10521.2</v>
      </c>
      <c r="D5" s="13">
        <f>Income_Statement!D25</f>
        <v>10653</v>
      </c>
      <c r="E5" s="13">
        <f>Income_Statement!E25</f>
        <v>10800.3</v>
      </c>
      <c r="F5" s="13">
        <f>Income_Statement!F25</f>
        <v>12717.7</v>
      </c>
      <c r="G5" s="13">
        <f>Income_Statement!G25</f>
        <v>13717.300000000001</v>
      </c>
    </row>
    <row r="6" spans="2:15" ht="18.75" x14ac:dyDescent="0.25">
      <c r="B6" s="12" t="str">
        <f>Income_Statement!B15</f>
        <v>Total Income</v>
      </c>
      <c r="C6" s="13">
        <f>Income_Statement!C15</f>
        <v>14359.010927422762</v>
      </c>
      <c r="D6" s="13">
        <f>Income_Statement!D15</f>
        <v>15723.621936808991</v>
      </c>
      <c r="E6" s="13">
        <f>Income_Statement!E15</f>
        <v>18081.635544100802</v>
      </c>
      <c r="F6" s="13">
        <f>Income_Statement!F15</f>
        <v>19264.615359315212</v>
      </c>
      <c r="G6" s="13">
        <f>Income_Statement!G15</f>
        <v>21924.522594232036</v>
      </c>
    </row>
  </sheetData>
  <hyperlinks>
    <hyperlink ref="F1" location="Index_Data!A1" tooltip="Hi click here To return Index page" display="Index_Data!A1" xr:uid="{170FA3EA-230B-49AD-9982-6AF24147E63A}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E296C-C996-473A-AB2C-AA0E35F82257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2.5703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Income_Statement!B55</f>
        <v>Amount C\F to Balance Sheet</v>
      </c>
      <c r="C5" s="13">
        <f>Income_Statement!C55</f>
        <v>1844.6109274227608</v>
      </c>
      <c r="D5" s="13">
        <f>Income_Statement!D55</f>
        <v>3060.9219368089912</v>
      </c>
      <c r="E5" s="13">
        <f>Income_Statement!E55</f>
        <v>5768.6355441008018</v>
      </c>
      <c r="F5" s="13">
        <f>Income_Statement!F55</f>
        <v>3874.5153593152118</v>
      </c>
      <c r="G5" s="13">
        <f>Income_Statement!G55</f>
        <v>6067.322594232035</v>
      </c>
    </row>
    <row r="6" spans="2:15" ht="18.75" x14ac:dyDescent="0.25">
      <c r="B6" s="12" t="str">
        <f>Income_Statement!B49</f>
        <v>Reported Net Profit(PAT)</v>
      </c>
      <c r="C6" s="13">
        <f>Income_Statement!C49</f>
        <v>2243.8109274227609</v>
      </c>
      <c r="D6" s="13">
        <f>Income_Statement!D49</f>
        <v>3461.121936808991</v>
      </c>
      <c r="E6" s="13">
        <f>Income_Statement!E49</f>
        <v>6160.2355441008021</v>
      </c>
      <c r="F6" s="13">
        <f>Income_Statement!F49</f>
        <v>4289.2153593152116</v>
      </c>
      <c r="G6" s="13">
        <f>Income_Statement!G49</f>
        <v>6067.322594232035</v>
      </c>
    </row>
  </sheetData>
  <hyperlinks>
    <hyperlink ref="F1" location="Index_Data!A1" tooltip="Hi click here To return Index page" display="Index_Data!A1" xr:uid="{CDB22D9B-E1EF-4940-969E-F45D7AA3423C}"/>
  </hyperlinks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FA697-6C0A-43BE-995E-6FCC15708895}">
  <dimension ref="B1:O40"/>
  <sheetViews>
    <sheetView showGridLines="0" workbookViewId="0"/>
  </sheetViews>
  <sheetFormatPr defaultRowHeight="15" x14ac:dyDescent="0.25"/>
  <cols>
    <col min="2" max="2" width="46" bestFit="1" customWidth="1"/>
    <col min="3" max="7" width="15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128</v>
      </c>
      <c r="C3" s="32"/>
      <c r="D3" s="32"/>
      <c r="E3" s="32"/>
      <c r="F3" s="32"/>
      <c r="G3" s="32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5</v>
      </c>
      <c r="C5" s="4">
        <v>83</v>
      </c>
      <c r="D5" s="4">
        <v>83</v>
      </c>
      <c r="E5" s="4">
        <v>83.1</v>
      </c>
      <c r="F5" s="4">
        <v>83.2</v>
      </c>
      <c r="G5" s="4">
        <v>83.2</v>
      </c>
    </row>
    <row r="6" spans="2:15" ht="18.75" x14ac:dyDescent="0.25">
      <c r="B6" s="8" t="s">
        <v>121</v>
      </c>
      <c r="C6" s="4"/>
      <c r="D6" s="4"/>
      <c r="E6" s="4"/>
      <c r="F6" s="4"/>
      <c r="G6" s="4"/>
    </row>
    <row r="7" spans="2:15" ht="18.75" x14ac:dyDescent="0.25">
      <c r="B7" s="9" t="s">
        <v>6</v>
      </c>
      <c r="C7" s="6">
        <f>C5+C6</f>
        <v>83</v>
      </c>
      <c r="D7" s="6">
        <f t="shared" ref="D7:G7" si="0">D5+D6</f>
        <v>83</v>
      </c>
      <c r="E7" s="6">
        <f t="shared" si="0"/>
        <v>83.1</v>
      </c>
      <c r="F7" s="6">
        <f t="shared" si="0"/>
        <v>83.2</v>
      </c>
      <c r="G7" s="6">
        <f t="shared" si="0"/>
        <v>83.2</v>
      </c>
    </row>
    <row r="8" spans="2:15" ht="18.75" x14ac:dyDescent="0.25">
      <c r="B8" s="8" t="s">
        <v>7</v>
      </c>
      <c r="C8" s="5">
        <v>12488.6</v>
      </c>
      <c r="D8" s="5">
        <f>Income_Statement!D55+C8</f>
        <v>15549.521936808991</v>
      </c>
      <c r="E8" s="5">
        <f>Income_Statement!E55+D8</f>
        <v>21318.157480909795</v>
      </c>
      <c r="F8" s="5">
        <f>Income_Statement!F55+E8</f>
        <v>25192.672840225008</v>
      </c>
      <c r="G8" s="5">
        <f>Income_Statement!G55+F8</f>
        <v>31259.995434457043</v>
      </c>
    </row>
    <row r="9" spans="2:15" ht="18.75" x14ac:dyDescent="0.25">
      <c r="B9" s="9" t="s">
        <v>122</v>
      </c>
      <c r="C9" s="7">
        <f>C7+C8</f>
        <v>12571.6</v>
      </c>
      <c r="D9" s="7">
        <f t="shared" ref="D9:G9" si="1">D7+D8</f>
        <v>15632.521936808991</v>
      </c>
      <c r="E9" s="7">
        <f t="shared" si="1"/>
        <v>21401.257480909793</v>
      </c>
      <c r="F9" s="7">
        <f t="shared" si="1"/>
        <v>25275.872840225009</v>
      </c>
      <c r="G9" s="7">
        <f t="shared" si="1"/>
        <v>31343.195434457044</v>
      </c>
    </row>
    <row r="10" spans="2:15" ht="18.75" x14ac:dyDescent="0.25">
      <c r="B10" s="8" t="s">
        <v>12</v>
      </c>
      <c r="C10" s="4">
        <v>2508.9</v>
      </c>
      <c r="D10" s="4">
        <v>2200</v>
      </c>
      <c r="E10" s="4">
        <v>130.4</v>
      </c>
      <c r="F10" s="5">
        <v>629.9</v>
      </c>
      <c r="G10" s="5">
        <v>574.6</v>
      </c>
    </row>
    <row r="11" spans="2:15" ht="18.75" x14ac:dyDescent="0.25">
      <c r="B11" s="8" t="s">
        <v>13</v>
      </c>
      <c r="C11" s="4">
        <v>195</v>
      </c>
      <c r="D11" s="4">
        <v>47.3</v>
      </c>
      <c r="E11" s="4">
        <v>2</v>
      </c>
      <c r="F11" s="4">
        <v>28.9</v>
      </c>
      <c r="G11" s="4">
        <v>1.4</v>
      </c>
    </row>
    <row r="12" spans="2:15" ht="18.75" x14ac:dyDescent="0.25">
      <c r="B12" s="8" t="s">
        <v>18</v>
      </c>
      <c r="C12" s="5">
        <v>2556.1999999999998</v>
      </c>
      <c r="D12" s="5">
        <v>1212.5</v>
      </c>
      <c r="E12" s="5">
        <v>1653.2</v>
      </c>
      <c r="F12" s="5">
        <v>2314.5</v>
      </c>
      <c r="G12" s="5">
        <v>2708.2</v>
      </c>
    </row>
    <row r="13" spans="2:15" ht="18.75" x14ac:dyDescent="0.25">
      <c r="B13" s="9" t="s">
        <v>123</v>
      </c>
      <c r="C13" s="7">
        <f>C10+C11+C12</f>
        <v>5260.1</v>
      </c>
      <c r="D13" s="7">
        <f t="shared" ref="D13:G13" si="2">D10+D11+D12</f>
        <v>3459.8</v>
      </c>
      <c r="E13" s="7">
        <f t="shared" si="2"/>
        <v>1785.6000000000001</v>
      </c>
      <c r="F13" s="7">
        <f t="shared" si="2"/>
        <v>2973.3</v>
      </c>
      <c r="G13" s="7">
        <f t="shared" si="2"/>
        <v>3284.2</v>
      </c>
    </row>
    <row r="14" spans="2:15" ht="18.75" x14ac:dyDescent="0.25">
      <c r="B14" s="8" t="s">
        <v>15</v>
      </c>
      <c r="C14" s="4">
        <v>81.7</v>
      </c>
      <c r="D14" s="4">
        <v>79.3</v>
      </c>
      <c r="E14" s="4">
        <v>74.5</v>
      </c>
      <c r="F14" s="4">
        <v>50.8</v>
      </c>
      <c r="G14" s="4">
        <v>25.8</v>
      </c>
    </row>
    <row r="15" spans="2:15" ht="18.75" x14ac:dyDescent="0.25">
      <c r="B15" s="8" t="s">
        <v>21</v>
      </c>
      <c r="C15" s="4">
        <v>438.7</v>
      </c>
      <c r="D15" s="4">
        <v>478.9</v>
      </c>
      <c r="E15" s="4">
        <v>466.9</v>
      </c>
      <c r="F15" s="4">
        <v>501.5</v>
      </c>
      <c r="G15" s="4">
        <v>586.6</v>
      </c>
    </row>
    <row r="16" spans="2:15" ht="18.75" x14ac:dyDescent="0.25">
      <c r="B16" s="8" t="s">
        <v>14</v>
      </c>
      <c r="C16" s="4">
        <v>293.3</v>
      </c>
      <c r="D16" s="4">
        <v>218.1</v>
      </c>
      <c r="E16" s="4">
        <v>205.5</v>
      </c>
      <c r="F16" s="4">
        <v>161.69999999999999</v>
      </c>
      <c r="G16" s="4">
        <v>166.9</v>
      </c>
    </row>
    <row r="17" spans="2:7" ht="18.75" x14ac:dyDescent="0.25">
      <c r="B17" s="8" t="s">
        <v>19</v>
      </c>
      <c r="C17" s="5">
        <v>1334.5</v>
      </c>
      <c r="D17" s="5">
        <v>1367.1</v>
      </c>
      <c r="E17" s="5">
        <v>1524.8</v>
      </c>
      <c r="F17" s="5">
        <v>1810.9</v>
      </c>
      <c r="G17" s="5">
        <v>2266.1999999999998</v>
      </c>
    </row>
    <row r="18" spans="2:7" ht="18.75" x14ac:dyDescent="0.25">
      <c r="B18" s="8" t="s">
        <v>20</v>
      </c>
      <c r="C18" s="5">
        <v>2564.4</v>
      </c>
      <c r="D18" s="5">
        <v>2838.8</v>
      </c>
      <c r="E18" s="5">
        <v>3569.2</v>
      </c>
      <c r="F18" s="5">
        <v>3476.9</v>
      </c>
      <c r="G18" s="5">
        <v>4204.8</v>
      </c>
    </row>
    <row r="19" spans="2:7" ht="18.75" x14ac:dyDescent="0.25">
      <c r="B19" s="9" t="s">
        <v>22</v>
      </c>
      <c r="C19" s="7">
        <f>C14+C15+C16+C17+C18</f>
        <v>4712.6000000000004</v>
      </c>
      <c r="D19" s="7">
        <f t="shared" ref="D19:G19" si="3">D14+D15+D16+D17+D18</f>
        <v>4982.2</v>
      </c>
      <c r="E19" s="7">
        <f t="shared" si="3"/>
        <v>5840.9</v>
      </c>
      <c r="F19" s="7">
        <f t="shared" si="3"/>
        <v>6001.8</v>
      </c>
      <c r="G19" s="7">
        <f t="shared" si="3"/>
        <v>7250.3</v>
      </c>
    </row>
    <row r="20" spans="2:7" ht="18.75" x14ac:dyDescent="0.25">
      <c r="B20" s="8" t="s">
        <v>10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</row>
    <row r="21" spans="2:7" ht="18.75" x14ac:dyDescent="0.25">
      <c r="B21" s="9" t="s">
        <v>124</v>
      </c>
      <c r="C21" s="7">
        <f>C9+C13+C19+C20</f>
        <v>22544.300000000003</v>
      </c>
      <c r="D21" s="7">
        <f t="shared" ref="D21:G21" si="4">D9+D13+D19+D20</f>
        <v>24074.521936808993</v>
      </c>
      <c r="E21" s="7">
        <f t="shared" si="4"/>
        <v>29027.757480909793</v>
      </c>
      <c r="F21" s="7">
        <f t="shared" si="4"/>
        <v>34250.972840225011</v>
      </c>
      <c r="G21" s="7">
        <f t="shared" si="4"/>
        <v>41877.695434457048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4973.3</v>
      </c>
      <c r="D23" s="5">
        <v>4912.7</v>
      </c>
      <c r="E23" s="5">
        <v>4777.8999999999996</v>
      </c>
      <c r="F23" s="5">
        <v>4732.2</v>
      </c>
      <c r="G23" s="5">
        <v>8867.6</v>
      </c>
    </row>
    <row r="24" spans="2:7" ht="18.75" x14ac:dyDescent="0.25">
      <c r="B24" s="8" t="s">
        <v>27</v>
      </c>
      <c r="C24" s="4">
        <v>1461.6</v>
      </c>
      <c r="D24" s="5">
        <v>1812.4</v>
      </c>
      <c r="E24" s="5">
        <v>1581.1</v>
      </c>
      <c r="F24" s="5">
        <v>2913.6</v>
      </c>
      <c r="G24" s="5">
        <v>0</v>
      </c>
    </row>
    <row r="25" spans="2:7" ht="18.75" x14ac:dyDescent="0.25">
      <c r="B25" s="8" t="s">
        <v>125</v>
      </c>
      <c r="C25" s="4"/>
      <c r="D25" s="5">
        <f>Income_Statement!D31</f>
        <v>1134.8</v>
      </c>
      <c r="E25" s="5">
        <f>Income_Statement!E31+D25</f>
        <v>2297.8999999999996</v>
      </c>
      <c r="F25" s="5">
        <f>Income_Statement!F31+E25</f>
        <v>3526.7</v>
      </c>
      <c r="G25" s="5">
        <f>Income_Statement!G31+F25</f>
        <v>4691.8999999999996</v>
      </c>
    </row>
    <row r="26" spans="2:7" ht="18.75" x14ac:dyDescent="0.25">
      <c r="B26" s="9" t="s">
        <v>126</v>
      </c>
      <c r="C26" s="7">
        <f>C23+C24-C25</f>
        <v>6434.9</v>
      </c>
      <c r="D26" s="7">
        <f t="shared" ref="D26:G26" si="5">D23+D24-D25</f>
        <v>5590.3</v>
      </c>
      <c r="E26" s="7">
        <f t="shared" si="5"/>
        <v>4061.1000000000004</v>
      </c>
      <c r="F26" s="7">
        <f t="shared" si="5"/>
        <v>4119.0999999999995</v>
      </c>
      <c r="G26" s="7">
        <f t="shared" si="5"/>
        <v>4175.7000000000007</v>
      </c>
    </row>
    <row r="27" spans="2:7" ht="18.75" x14ac:dyDescent="0.25">
      <c r="B27" s="8" t="s">
        <v>30</v>
      </c>
      <c r="C27" s="4">
        <v>465.3</v>
      </c>
      <c r="D27" s="4">
        <v>334.2</v>
      </c>
      <c r="E27" s="4">
        <v>309.10000000000002</v>
      </c>
      <c r="F27" s="4">
        <v>833.3</v>
      </c>
      <c r="G27" s="4">
        <v>598.6</v>
      </c>
    </row>
    <row r="28" spans="2:7" ht="18.75" x14ac:dyDescent="0.25">
      <c r="B28" s="8" t="s">
        <v>36</v>
      </c>
      <c r="C28" s="5">
        <v>1833</v>
      </c>
      <c r="D28" s="5">
        <v>2252.9</v>
      </c>
      <c r="E28" s="5">
        <v>2368.6999999999998</v>
      </c>
      <c r="F28" s="5">
        <v>1974.4</v>
      </c>
      <c r="G28" s="5">
        <v>2017.3</v>
      </c>
    </row>
    <row r="29" spans="2:7" ht="18.75" x14ac:dyDescent="0.25">
      <c r="B29" s="8" t="s">
        <v>28</v>
      </c>
      <c r="C29" s="4">
        <v>4003.6000000000004</v>
      </c>
      <c r="D29" s="4">
        <v>472.5</v>
      </c>
      <c r="E29" s="4">
        <v>436.4</v>
      </c>
      <c r="F29" s="4">
        <v>953.9</v>
      </c>
      <c r="G29" s="4">
        <v>0</v>
      </c>
    </row>
    <row r="30" spans="2:7" ht="18.75" x14ac:dyDescent="0.25">
      <c r="B30" s="9" t="s">
        <v>127</v>
      </c>
      <c r="C30" s="7">
        <f>C26+C27+C28+C29</f>
        <v>12736.800000000001</v>
      </c>
      <c r="D30" s="7">
        <f t="shared" ref="D30:G30" si="6">D26+D27+D28+D29</f>
        <v>8649.9</v>
      </c>
      <c r="E30" s="7">
        <f t="shared" si="6"/>
        <v>7175.3</v>
      </c>
      <c r="F30" s="7">
        <f t="shared" si="6"/>
        <v>7880.6999999999989</v>
      </c>
      <c r="G30" s="7">
        <f t="shared" si="6"/>
        <v>6791.6000000000013</v>
      </c>
    </row>
    <row r="31" spans="2:7" ht="18.75" x14ac:dyDescent="0.25">
      <c r="B31" s="8" t="s">
        <v>31</v>
      </c>
      <c r="C31" s="5">
        <v>540.5</v>
      </c>
      <c r="D31" s="5">
        <v>431.7</v>
      </c>
      <c r="E31" s="5">
        <v>1219.9000000000001</v>
      </c>
      <c r="F31" s="4">
        <v>1068.5999999999999</v>
      </c>
      <c r="G31" s="4">
        <v>1277</v>
      </c>
    </row>
    <row r="32" spans="2:7" ht="18.75" x14ac:dyDescent="0.25">
      <c r="B32" s="8" t="s">
        <v>32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</row>
    <row r="33" spans="2:7" ht="18.75" x14ac:dyDescent="0.25">
      <c r="B33" s="8" t="s">
        <v>33</v>
      </c>
      <c r="C33" s="4">
        <v>601.6</v>
      </c>
      <c r="D33" s="4">
        <v>465.1</v>
      </c>
      <c r="E33" s="4">
        <v>711.8</v>
      </c>
      <c r="F33" s="4">
        <v>393.8</v>
      </c>
      <c r="G33" s="4">
        <v>345.6</v>
      </c>
    </row>
    <row r="34" spans="2:7" ht="18.75" x14ac:dyDescent="0.25">
      <c r="B34" s="8" t="s">
        <v>40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</row>
    <row r="35" spans="2:7" ht="18.75" x14ac:dyDescent="0.25">
      <c r="B35" s="8" t="s">
        <v>41</v>
      </c>
      <c r="C35" s="5">
        <v>1440</v>
      </c>
      <c r="D35" s="5">
        <v>1289.5999999999999</v>
      </c>
      <c r="E35" s="5">
        <v>1490.6</v>
      </c>
      <c r="F35" s="5">
        <v>1587.7</v>
      </c>
      <c r="G35" s="5">
        <v>1909.5</v>
      </c>
    </row>
    <row r="36" spans="2:7" ht="18.75" x14ac:dyDescent="0.25">
      <c r="B36" s="8" t="s">
        <v>37</v>
      </c>
      <c r="C36" s="5">
        <v>2908.9</v>
      </c>
      <c r="D36" s="5">
        <v>3357.9</v>
      </c>
      <c r="E36" s="5">
        <v>3506.7</v>
      </c>
      <c r="F36" s="5">
        <v>4541.2</v>
      </c>
      <c r="G36" s="5">
        <v>5088.3999999999996</v>
      </c>
    </row>
    <row r="37" spans="2:7" ht="18.75" x14ac:dyDescent="0.25">
      <c r="B37" s="8" t="s">
        <v>38</v>
      </c>
      <c r="C37" s="5">
        <v>4052.7</v>
      </c>
      <c r="D37" s="5">
        <v>3986.9</v>
      </c>
      <c r="E37" s="5">
        <v>5027.8</v>
      </c>
      <c r="F37" s="5">
        <v>4964.1000000000004</v>
      </c>
      <c r="G37" s="5">
        <v>6676.4</v>
      </c>
    </row>
    <row r="38" spans="2:7" ht="18.75" x14ac:dyDescent="0.25">
      <c r="B38" s="8" t="s">
        <v>39</v>
      </c>
      <c r="C38" s="5">
        <v>263.8</v>
      </c>
      <c r="D38" s="5">
        <f>CashFlow_Statement!D48+C38</f>
        <v>5893.4219368089916</v>
      </c>
      <c r="E38" s="5">
        <f>CashFlow_Statement!E48+D38</f>
        <v>9895.6574809097929</v>
      </c>
      <c r="F38" s="5">
        <f>CashFlow_Statement!F48+E38</f>
        <v>13814.872840225004</v>
      </c>
      <c r="G38" s="5">
        <f>CashFlow_Statement!G48+F38</f>
        <v>19789.195434457037</v>
      </c>
    </row>
    <row r="39" spans="2:7" ht="18.75" x14ac:dyDescent="0.25">
      <c r="B39" s="9" t="s">
        <v>42</v>
      </c>
      <c r="C39" s="7">
        <f>C31+C32+C33+C34+C35+C36+C37+C38</f>
        <v>9807.5</v>
      </c>
      <c r="D39" s="7">
        <f t="shared" ref="D39:G39" si="7">D31+D32+D33+D34+D35+D36+D37+D38</f>
        <v>15424.621936808991</v>
      </c>
      <c r="E39" s="7">
        <f t="shared" si="7"/>
        <v>21852.45748090979</v>
      </c>
      <c r="F39" s="7">
        <f t="shared" si="7"/>
        <v>26370.272840225003</v>
      </c>
      <c r="G39" s="7">
        <f t="shared" si="7"/>
        <v>35086.095434457035</v>
      </c>
    </row>
    <row r="40" spans="2:7" ht="18.75" x14ac:dyDescent="0.25">
      <c r="B40" s="9" t="s">
        <v>43</v>
      </c>
      <c r="C40" s="7">
        <f>C30+C39</f>
        <v>22544.300000000003</v>
      </c>
      <c r="D40" s="7">
        <f t="shared" ref="D40:G40" si="8">D30+D39</f>
        <v>24074.521936808989</v>
      </c>
      <c r="E40" s="7">
        <f t="shared" si="8"/>
        <v>29027.75748090979</v>
      </c>
      <c r="F40" s="7">
        <f t="shared" si="8"/>
        <v>34250.972840225004</v>
      </c>
      <c r="G40" s="7">
        <f t="shared" si="8"/>
        <v>41877.695434457033</v>
      </c>
    </row>
  </sheetData>
  <mergeCells count="1">
    <mergeCell ref="B3:G3"/>
  </mergeCells>
  <hyperlinks>
    <hyperlink ref="F1" location="Index_Data!A1" tooltip="Hi click here To return Index page" display="Index_Data!A1" xr:uid="{A02DF817-7EB5-4F79-9F6A-1CB05EE673CE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1B20A-D943-4142-8DEB-842512959BDF}">
  <dimension ref="B1:O35"/>
  <sheetViews>
    <sheetView showGridLines="0" workbookViewId="0"/>
  </sheetViews>
  <sheetFormatPr defaultRowHeight="15" x14ac:dyDescent="0.25"/>
  <cols>
    <col min="2" max="2" width="57.140625" bestFit="1" customWidth="1"/>
    <col min="3" max="4" width="18.85546875" bestFit="1" customWidth="1"/>
    <col min="5" max="5" width="17.140625" bestFit="1" customWidth="1"/>
    <col min="6" max="7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120</v>
      </c>
      <c r="C3" s="32"/>
      <c r="D3" s="32"/>
      <c r="E3" s="32"/>
      <c r="F3" s="32"/>
      <c r="G3" s="32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97</v>
      </c>
      <c r="C5" s="5">
        <v>14202.8</v>
      </c>
      <c r="D5" s="5">
        <v>15385.1</v>
      </c>
      <c r="E5" s="5">
        <v>17460</v>
      </c>
      <c r="F5" s="5">
        <v>18972.2</v>
      </c>
      <c r="G5" s="5">
        <v>21439.1</v>
      </c>
    </row>
    <row r="6" spans="2:15" ht="18.75" x14ac:dyDescent="0.25">
      <c r="B6" s="8" t="s">
        <v>98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2:15" ht="18.75" x14ac:dyDescent="0.25">
      <c r="B7" s="9" t="s">
        <v>105</v>
      </c>
      <c r="C7" s="7">
        <f>C5 - C6</f>
        <v>14202.8</v>
      </c>
      <c r="D7" s="7">
        <f t="shared" ref="D7:G7" si="0">D5 - D6</f>
        <v>15385.1</v>
      </c>
      <c r="E7" s="7">
        <f t="shared" si="0"/>
        <v>17460</v>
      </c>
      <c r="F7" s="7">
        <f t="shared" si="0"/>
        <v>18972.2</v>
      </c>
      <c r="G7" s="7">
        <f t="shared" si="0"/>
        <v>21439.1</v>
      </c>
    </row>
    <row r="8" spans="2:15" ht="18.75" x14ac:dyDescent="0.25">
      <c r="B8" s="8" t="s">
        <v>59</v>
      </c>
      <c r="C8" s="4">
        <v>155.19999999999999</v>
      </c>
      <c r="D8" s="4">
        <v>337.5</v>
      </c>
      <c r="E8" s="4">
        <v>620.6</v>
      </c>
      <c r="F8" s="4">
        <v>291.39999999999998</v>
      </c>
      <c r="G8" s="4">
        <v>484.4</v>
      </c>
    </row>
    <row r="9" spans="2:15" ht="18.75" x14ac:dyDescent="0.25">
      <c r="B9" s="8" t="s">
        <v>106</v>
      </c>
      <c r="C9" s="4"/>
      <c r="D9" s="4"/>
      <c r="E9" s="4"/>
      <c r="F9" s="4"/>
      <c r="G9" s="4"/>
    </row>
    <row r="10" spans="2:15" ht="18.75" x14ac:dyDescent="0.25">
      <c r="B10" s="9" t="s">
        <v>107</v>
      </c>
      <c r="C10" s="7">
        <f>SUM(C7:C9)</f>
        <v>14358</v>
      </c>
      <c r="D10" s="7">
        <f t="shared" ref="D10:G10" si="1">SUM(D7:D9)</f>
        <v>15722.6</v>
      </c>
      <c r="E10" s="7">
        <f t="shared" si="1"/>
        <v>18080.599999999999</v>
      </c>
      <c r="F10" s="7">
        <f t="shared" si="1"/>
        <v>19263.600000000002</v>
      </c>
      <c r="G10" s="7">
        <f t="shared" si="1"/>
        <v>21923.5</v>
      </c>
    </row>
    <row r="11" spans="2:15" ht="18.75" x14ac:dyDescent="0.25">
      <c r="B11" s="8" t="s">
        <v>62</v>
      </c>
      <c r="C11" s="5">
        <v>2630.9</v>
      </c>
      <c r="D11" s="5">
        <v>2889.4</v>
      </c>
      <c r="E11" s="5">
        <v>2984.8</v>
      </c>
      <c r="F11" s="5">
        <v>4295.8</v>
      </c>
      <c r="G11" s="5">
        <v>4312.3999999999996</v>
      </c>
    </row>
    <row r="12" spans="2:15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15" ht="18.75" x14ac:dyDescent="0.25">
      <c r="B13" s="8" t="s">
        <v>66</v>
      </c>
      <c r="C13" s="5">
        <v>3214.9</v>
      </c>
      <c r="D13" s="5">
        <v>3356.2</v>
      </c>
      <c r="E13" s="5">
        <v>3380.2</v>
      </c>
      <c r="F13" s="5">
        <v>3629.9</v>
      </c>
      <c r="G13" s="5">
        <v>3885.8</v>
      </c>
    </row>
    <row r="14" spans="2:15" ht="18.75" x14ac:dyDescent="0.25">
      <c r="B14" s="8" t="s">
        <v>69</v>
      </c>
      <c r="C14" s="5">
        <v>4675.3999999999996</v>
      </c>
      <c r="D14" s="5">
        <v>4407.3999999999996</v>
      </c>
      <c r="E14" s="5">
        <v>4435.3</v>
      </c>
      <c r="F14" s="5">
        <v>4792</v>
      </c>
      <c r="G14" s="5">
        <v>5519.1</v>
      </c>
    </row>
    <row r="15" spans="2:15" ht="18.75" x14ac:dyDescent="0.25">
      <c r="B15" s="9" t="s">
        <v>108</v>
      </c>
      <c r="C15" s="7">
        <f>C11+C12+C13+C14</f>
        <v>10521.2</v>
      </c>
      <c r="D15" s="7">
        <f t="shared" ref="D15:G15" si="2">D11+D12+D13+D14</f>
        <v>10653</v>
      </c>
      <c r="E15" s="7">
        <f t="shared" si="2"/>
        <v>10800.3</v>
      </c>
      <c r="F15" s="7">
        <f t="shared" si="2"/>
        <v>12717.7</v>
      </c>
      <c r="G15" s="7">
        <f t="shared" si="2"/>
        <v>13717.300000000001</v>
      </c>
    </row>
    <row r="16" spans="2:15" ht="18.75" x14ac:dyDescent="0.25">
      <c r="B16" s="9" t="s">
        <v>109</v>
      </c>
      <c r="C16" s="7">
        <f xml:space="preserve"> C10-C15-C8</f>
        <v>3681.5999999999995</v>
      </c>
      <c r="D16" s="7">
        <f t="shared" ref="D16:G16" si="3" xml:space="preserve"> D10-D15-D8</f>
        <v>4732.1000000000004</v>
      </c>
      <c r="E16" s="7">
        <f t="shared" si="3"/>
        <v>6659.6999999999989</v>
      </c>
      <c r="F16" s="7">
        <f t="shared" si="3"/>
        <v>6254.5000000000018</v>
      </c>
      <c r="G16" s="7">
        <f t="shared" si="3"/>
        <v>7721.7999999999993</v>
      </c>
    </row>
    <row r="17" spans="2:7" ht="18.75" x14ac:dyDescent="0.25">
      <c r="B17" s="9" t="s">
        <v>110</v>
      </c>
      <c r="C17" s="7">
        <f xml:space="preserve"> C16+C8</f>
        <v>3836.7999999999993</v>
      </c>
      <c r="D17" s="7">
        <f t="shared" ref="D17:G17" si="4" xml:space="preserve"> D16+D8</f>
        <v>5069.6000000000004</v>
      </c>
      <c r="E17" s="7">
        <f t="shared" si="4"/>
        <v>7280.2999999999993</v>
      </c>
      <c r="F17" s="7">
        <f t="shared" si="4"/>
        <v>6545.9000000000015</v>
      </c>
      <c r="G17" s="7">
        <f t="shared" si="4"/>
        <v>8206.1999999999989</v>
      </c>
    </row>
    <row r="18" spans="2:7" ht="18.75" x14ac:dyDescent="0.25">
      <c r="B18" s="8" t="s">
        <v>68</v>
      </c>
      <c r="C18" s="5">
        <v>1077.2</v>
      </c>
      <c r="D18" s="5">
        <v>1134.8</v>
      </c>
      <c r="E18" s="5">
        <v>1163.0999999999999</v>
      </c>
      <c r="F18" s="5">
        <v>1228.8</v>
      </c>
      <c r="G18" s="5">
        <v>1165.2</v>
      </c>
    </row>
    <row r="19" spans="2:7" ht="18.75" x14ac:dyDescent="0.25">
      <c r="B19" s="9" t="s">
        <v>111</v>
      </c>
      <c r="C19" s="7">
        <f xml:space="preserve"> C17-C18</f>
        <v>2759.5999999999995</v>
      </c>
      <c r="D19" s="7">
        <f t="shared" ref="D19:G19" si="5" xml:space="preserve"> D17-D18</f>
        <v>3934.8</v>
      </c>
      <c r="E19" s="7">
        <f t="shared" si="5"/>
        <v>6117.1999999999989</v>
      </c>
      <c r="F19" s="7">
        <f t="shared" si="5"/>
        <v>5317.1000000000013</v>
      </c>
      <c r="G19" s="7">
        <f t="shared" si="5"/>
        <v>7040.9999999999991</v>
      </c>
    </row>
    <row r="20" spans="2:7" ht="18.75" x14ac:dyDescent="0.25">
      <c r="B20" s="8" t="s">
        <v>67</v>
      </c>
      <c r="C20" s="4">
        <v>78.8</v>
      </c>
      <c r="D20" s="4">
        <v>88.9</v>
      </c>
      <c r="E20" s="4">
        <v>98.3</v>
      </c>
      <c r="F20" s="4">
        <v>97</v>
      </c>
      <c r="G20" s="4">
        <v>95.8</v>
      </c>
    </row>
    <row r="21" spans="2:7" ht="18.75" x14ac:dyDescent="0.25">
      <c r="B21" s="9" t="s">
        <v>112</v>
      </c>
      <c r="C21" s="7">
        <f xml:space="preserve"> C19-C20</f>
        <v>2680.7999999999993</v>
      </c>
      <c r="D21" s="7">
        <f t="shared" ref="D21:G21" si="6" xml:space="preserve"> D19-D20</f>
        <v>3845.9</v>
      </c>
      <c r="E21" s="7">
        <f t="shared" si="6"/>
        <v>6018.8999999999987</v>
      </c>
      <c r="F21" s="7">
        <f t="shared" si="6"/>
        <v>5220.1000000000013</v>
      </c>
      <c r="G21" s="7">
        <f t="shared" si="6"/>
        <v>6945.1999999999989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2680.7999999999993</v>
      </c>
      <c r="D23" s="7">
        <f t="shared" ref="D23:G23" si="7" xml:space="preserve"> D21+D22</f>
        <v>3845.9</v>
      </c>
      <c r="E23" s="7">
        <f t="shared" si="7"/>
        <v>6018.8999999999987</v>
      </c>
      <c r="F23" s="7">
        <f t="shared" si="7"/>
        <v>5220.1000000000013</v>
      </c>
      <c r="G23" s="7">
        <f t="shared" si="7"/>
        <v>6945.1999999999989</v>
      </c>
    </row>
    <row r="24" spans="2:7" ht="18.75" x14ac:dyDescent="0.25">
      <c r="B24" s="8" t="s">
        <v>72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</row>
    <row r="25" spans="2:7" ht="18.75" x14ac:dyDescent="0.25">
      <c r="B25" s="9" t="s">
        <v>115</v>
      </c>
      <c r="C25" s="7">
        <f xml:space="preserve"> C23+C24</f>
        <v>2680.7999999999993</v>
      </c>
      <c r="D25" s="7">
        <f t="shared" ref="D25:G25" si="8" xml:space="preserve"> D23+D24</f>
        <v>3845.9</v>
      </c>
      <c r="E25" s="7">
        <f t="shared" si="8"/>
        <v>6018.8999999999987</v>
      </c>
      <c r="F25" s="7">
        <f t="shared" si="8"/>
        <v>5220.1000000000013</v>
      </c>
      <c r="G25" s="7">
        <f t="shared" si="8"/>
        <v>6945.1999999999989</v>
      </c>
    </row>
    <row r="26" spans="2:7" ht="18.75" x14ac:dyDescent="0.25">
      <c r="B26" s="8" t="s">
        <v>79</v>
      </c>
      <c r="C26" s="4">
        <v>438</v>
      </c>
      <c r="D26" s="4">
        <v>385.8</v>
      </c>
      <c r="E26" s="4">
        <v>-140.30000000000001</v>
      </c>
      <c r="F26" s="4">
        <v>931.9</v>
      </c>
      <c r="G26" s="4">
        <v>878.9</v>
      </c>
    </row>
    <row r="27" spans="2:7" ht="18.75" x14ac:dyDescent="0.25">
      <c r="B27" s="9" t="s">
        <v>116</v>
      </c>
      <c r="C27" s="7">
        <f xml:space="preserve"> C25-C26</f>
        <v>2242.7999999999993</v>
      </c>
      <c r="D27" s="7">
        <f t="shared" ref="D27:G27" si="9" xml:space="preserve"> D25-D26</f>
        <v>3460.1</v>
      </c>
      <c r="E27" s="7">
        <f t="shared" si="9"/>
        <v>6159.1999999999989</v>
      </c>
      <c r="F27" s="7">
        <f t="shared" si="9"/>
        <v>4288.2000000000016</v>
      </c>
      <c r="G27" s="7">
        <f t="shared" si="9"/>
        <v>6066.2999999999993</v>
      </c>
    </row>
    <row r="28" spans="2:7" ht="18.75" x14ac:dyDescent="0.25">
      <c r="B28" s="8" t="s">
        <v>88</v>
      </c>
      <c r="C28" s="4">
        <v>399.2</v>
      </c>
      <c r="D28" s="4">
        <v>332</v>
      </c>
      <c r="E28" s="4">
        <v>391.6</v>
      </c>
      <c r="F28" s="4">
        <v>414.7</v>
      </c>
      <c r="G28" s="4">
        <v>0</v>
      </c>
    </row>
    <row r="29" spans="2:7" ht="18.75" x14ac:dyDescent="0.25">
      <c r="B29" s="8" t="s">
        <v>89</v>
      </c>
      <c r="C29" s="4">
        <v>0</v>
      </c>
      <c r="D29" s="4">
        <v>68.2</v>
      </c>
      <c r="E29" s="4">
        <v>0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1843.5999999999992</v>
      </c>
      <c r="D30" s="7">
        <f t="shared" ref="D30:G30" si="10" xml:space="preserve"> D27-D28-D29</f>
        <v>3059.9</v>
      </c>
      <c r="E30" s="7">
        <f t="shared" si="10"/>
        <v>5767.5999999999985</v>
      </c>
      <c r="F30" s="7">
        <f t="shared" si="10"/>
        <v>3873.5000000000018</v>
      </c>
      <c r="G30" s="7">
        <f t="shared" si="10"/>
        <v>6066.2999999999993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57</v>
      </c>
      <c r="D34" s="4">
        <v>118</v>
      </c>
      <c r="E34" s="4">
        <v>122</v>
      </c>
      <c r="F34" s="4">
        <v>118</v>
      </c>
      <c r="G34" s="4">
        <v>132</v>
      </c>
    </row>
    <row r="35" spans="2:7" ht="18.75" x14ac:dyDescent="0.25">
      <c r="B35" s="8" t="s">
        <v>118</v>
      </c>
      <c r="C35" s="4">
        <f>C27/C34</f>
        <v>39.347368421052622</v>
      </c>
      <c r="D35" s="4">
        <f t="shared" ref="D35:G35" si="11">D27/D34</f>
        <v>29.322881355932203</v>
      </c>
      <c r="E35" s="4">
        <f t="shared" si="11"/>
        <v>50.485245901639338</v>
      </c>
      <c r="F35" s="4">
        <f t="shared" si="11"/>
        <v>36.340677966101708</v>
      </c>
      <c r="G35" s="4">
        <f t="shared" si="11"/>
        <v>45.956818181818178</v>
      </c>
    </row>
  </sheetData>
  <mergeCells count="1">
    <mergeCell ref="B3:G3"/>
  </mergeCells>
  <hyperlinks>
    <hyperlink ref="F1" location="Index_Data!A1" tooltip="Hi click here To return Index page" display="Index_Data!A1" xr:uid="{215C0C70-4986-4425-87C1-B0CB6511BAE6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4555D-60FE-4EC1-B6E6-3EB494D8B1AA}">
  <dimension ref="B1:O80"/>
  <sheetViews>
    <sheetView showGridLines="0" topLeftCell="A57" workbookViewId="0">
      <selection activeCell="H75" sqref="H75:L75"/>
    </sheetView>
  </sheetViews>
  <sheetFormatPr defaultRowHeight="15" x14ac:dyDescent="0.25"/>
  <cols>
    <col min="2" max="2" width="47.42578125" bestFit="1" customWidth="1"/>
    <col min="3" max="7" width="15.42578125" bestFit="1" customWidth="1"/>
    <col min="8" max="12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128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5</v>
      </c>
      <c r="C5" s="4">
        <v>83</v>
      </c>
      <c r="D5" s="4">
        <v>83</v>
      </c>
      <c r="E5" s="4">
        <v>83.1</v>
      </c>
      <c r="F5" s="4">
        <v>83.2</v>
      </c>
      <c r="G5" s="4">
        <v>83.2</v>
      </c>
      <c r="H5" s="24">
        <f>G5</f>
        <v>83.2</v>
      </c>
      <c r="I5" s="24">
        <f t="shared" ref="I5:L5" si="0">H5</f>
        <v>83.2</v>
      </c>
      <c r="J5" s="24">
        <f t="shared" si="0"/>
        <v>83.2</v>
      </c>
      <c r="K5" s="24">
        <f t="shared" si="0"/>
        <v>83.2</v>
      </c>
      <c r="L5" s="24">
        <f t="shared" si="0"/>
        <v>83.2</v>
      </c>
    </row>
    <row r="6" spans="2:15" x14ac:dyDescent="0.25">
      <c r="B6" s="17" t="s">
        <v>203</v>
      </c>
      <c r="C6" s="18">
        <f>C5/Balance_Sheet!C74</f>
        <v>3.6816401485076046E-3</v>
      </c>
      <c r="D6" s="18">
        <f>D5/Balance_Sheet!D74</f>
        <v>3.4476281696417112E-3</v>
      </c>
      <c r="E6" s="18">
        <f>E5/Balance_Sheet!E74</f>
        <v>2.8627771213346745E-3</v>
      </c>
      <c r="F6" s="18">
        <f>F5/Balance_Sheet!F74</f>
        <v>2.4291280831091697E-3</v>
      </c>
      <c r="G6" s="18">
        <f>G5/Balance_Sheet!G74</f>
        <v>1.9867377881434924E-3</v>
      </c>
      <c r="H6" s="25">
        <f>G6</f>
        <v>1.9867377881434924E-3</v>
      </c>
      <c r="I6" s="25">
        <f t="shared" ref="I6:L6" si="1">H6</f>
        <v>1.9867377881434924E-3</v>
      </c>
      <c r="J6" s="25">
        <f t="shared" si="1"/>
        <v>1.9867377881434924E-3</v>
      </c>
      <c r="K6" s="25">
        <f t="shared" si="1"/>
        <v>1.9867377881434924E-3</v>
      </c>
      <c r="L6" s="25">
        <f t="shared" si="1"/>
        <v>1.9867377881434924E-3</v>
      </c>
    </row>
    <row r="7" spans="2:15" ht="18.75" x14ac:dyDescent="0.25">
      <c r="B7" s="8" t="s">
        <v>121</v>
      </c>
      <c r="C7" s="4"/>
      <c r="D7" s="4"/>
      <c r="E7" s="4"/>
      <c r="F7" s="4"/>
      <c r="G7" s="4"/>
      <c r="H7" s="24">
        <f>G7</f>
        <v>0</v>
      </c>
      <c r="I7" s="24">
        <f t="shared" ref="I7:L7" si="2">H7</f>
        <v>0</v>
      </c>
      <c r="J7" s="24">
        <f t="shared" si="2"/>
        <v>0</v>
      </c>
      <c r="K7" s="24">
        <f t="shared" si="2"/>
        <v>0</v>
      </c>
      <c r="L7" s="24">
        <f t="shared" si="2"/>
        <v>0</v>
      </c>
    </row>
    <row r="8" spans="2:15" x14ac:dyDescent="0.25">
      <c r="B8" s="17" t="s">
        <v>204</v>
      </c>
      <c r="C8" s="18">
        <f>C7/Balance_Sheet!C74</f>
        <v>0</v>
      </c>
      <c r="D8" s="18">
        <f>D7/Balance_Sheet!D74</f>
        <v>0</v>
      </c>
      <c r="E8" s="18">
        <f>E7/Balance_Sheet!E74</f>
        <v>0</v>
      </c>
      <c r="F8" s="18">
        <f>F7/Balance_Sheet!F74</f>
        <v>0</v>
      </c>
      <c r="G8" s="18">
        <f>G7/Balance_Sheet!G74</f>
        <v>0</v>
      </c>
      <c r="H8" s="25">
        <f>G8</f>
        <v>0</v>
      </c>
      <c r="I8" s="25">
        <f t="shared" ref="I8:L8" si="3">H8</f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</row>
    <row r="9" spans="2:15" ht="18.75" x14ac:dyDescent="0.25">
      <c r="B9" s="9" t="s">
        <v>6</v>
      </c>
      <c r="C9" s="6">
        <f>C5+C7</f>
        <v>83</v>
      </c>
      <c r="D9" s="6">
        <f t="shared" ref="D9:L9" si="4">D5+D7</f>
        <v>83</v>
      </c>
      <c r="E9" s="6">
        <f t="shared" si="4"/>
        <v>83.1</v>
      </c>
      <c r="F9" s="6">
        <f t="shared" si="4"/>
        <v>83.2</v>
      </c>
      <c r="G9" s="6">
        <f t="shared" si="4"/>
        <v>83.2</v>
      </c>
      <c r="H9" s="26">
        <f t="shared" si="4"/>
        <v>83.2</v>
      </c>
      <c r="I9" s="26">
        <f t="shared" si="4"/>
        <v>83.2</v>
      </c>
      <c r="J9" s="26">
        <f t="shared" si="4"/>
        <v>83.2</v>
      </c>
      <c r="K9" s="26">
        <f t="shared" si="4"/>
        <v>83.2</v>
      </c>
      <c r="L9" s="26">
        <f t="shared" si="4"/>
        <v>83.2</v>
      </c>
    </row>
    <row r="10" spans="2:15" x14ac:dyDescent="0.25">
      <c r="B10" s="19" t="s">
        <v>205</v>
      </c>
      <c r="C10" s="20">
        <f>C9/Balance_Sheet!C74</f>
        <v>3.6816401485076046E-3</v>
      </c>
      <c r="D10" s="20">
        <f>D9/Balance_Sheet!D74</f>
        <v>3.4476281696417112E-3</v>
      </c>
      <c r="E10" s="20">
        <f>E9/Balance_Sheet!E74</f>
        <v>2.8627771213346745E-3</v>
      </c>
      <c r="F10" s="20">
        <f>F9/Balance_Sheet!F74</f>
        <v>2.4291280831091697E-3</v>
      </c>
      <c r="G10" s="20">
        <f>G9/Balance_Sheet!G74</f>
        <v>1.9867377881434924E-3</v>
      </c>
      <c r="H10" s="27">
        <f>H9/Balance_Sheet!H74</f>
        <v>1.7458560142170055E-3</v>
      </c>
      <c r="I10" s="27">
        <f>I9/Balance_Sheet!I74</f>
        <v>1.4408204102175069E-3</v>
      </c>
      <c r="J10" s="27">
        <f>J9/Balance_Sheet!J74</f>
        <v>1.2191333900981342E-3</v>
      </c>
      <c r="K10" s="27">
        <f>K9/Balance_Sheet!K74</f>
        <v>1.029327013062009E-3</v>
      </c>
      <c r="L10" s="27">
        <f>L9/Balance_Sheet!L74</f>
        <v>8.7364142071066615E-4</v>
      </c>
    </row>
    <row r="11" spans="2:15" ht="18.75" x14ac:dyDescent="0.25">
      <c r="B11" s="8" t="s">
        <v>7</v>
      </c>
      <c r="C11" s="5">
        <v>12488.6</v>
      </c>
      <c r="D11" s="5">
        <f>Income_Statement!D55+C11</f>
        <v>15549.521936808991</v>
      </c>
      <c r="E11" s="5">
        <f>Income_Statement!E55+D11</f>
        <v>21318.157480909795</v>
      </c>
      <c r="F11" s="5">
        <f>Income_Statement!F55+E11</f>
        <v>25192.672840225008</v>
      </c>
      <c r="G11" s="5">
        <f>Income_Statement!G55+F11</f>
        <v>31259.995434457043</v>
      </c>
      <c r="H11" s="28">
        <f>H74-H9-H21-H33-H35</f>
        <v>34756.73142758006</v>
      </c>
      <c r="I11" s="28">
        <f t="shared" ref="I11:L11" si="5">I74-I9-I21-I33-I35</f>
        <v>42132.680473860237</v>
      </c>
      <c r="J11" s="28">
        <f t="shared" si="5"/>
        <v>49809.210653002228</v>
      </c>
      <c r="K11" s="28">
        <f t="shared" si="5"/>
        <v>59009.298259648058</v>
      </c>
      <c r="L11" s="28">
        <f t="shared" si="5"/>
        <v>69539.758454019189</v>
      </c>
    </row>
    <row r="12" spans="2:15" x14ac:dyDescent="0.25">
      <c r="B12" s="17" t="s">
        <v>206</v>
      </c>
      <c r="C12" s="18">
        <f>C11/Balance_Sheet!C74</f>
        <v>0.5539582067307478</v>
      </c>
      <c r="D12" s="18">
        <f>D11/Balance_Sheet!D74</f>
        <v>0.64589120305788461</v>
      </c>
      <c r="E12" s="18">
        <f>E11/Balance_Sheet!E74</f>
        <v>0.73440593869263782</v>
      </c>
      <c r="F12" s="18">
        <f>F11/Balance_Sheet!F74</f>
        <v>0.7355315995765892</v>
      </c>
      <c r="G12" s="18">
        <f>G11/Balance_Sheet!G74</f>
        <v>0.74645930513015457</v>
      </c>
      <c r="H12" s="25"/>
      <c r="I12" s="25"/>
      <c r="J12" s="25"/>
      <c r="K12" s="25"/>
      <c r="L12" s="25"/>
    </row>
    <row r="13" spans="2:15" ht="18.75" x14ac:dyDescent="0.25">
      <c r="B13" s="9" t="s">
        <v>122</v>
      </c>
      <c r="C13" s="7">
        <f>C9+C11</f>
        <v>12571.6</v>
      </c>
      <c r="D13" s="7">
        <f t="shared" ref="D13:L13" si="6">D9+D11</f>
        <v>15632.521936808991</v>
      </c>
      <c r="E13" s="7">
        <f t="shared" si="6"/>
        <v>21401.257480909793</v>
      </c>
      <c r="F13" s="7">
        <f t="shared" si="6"/>
        <v>25275.872840225009</v>
      </c>
      <c r="G13" s="7">
        <f t="shared" si="6"/>
        <v>31343.195434457044</v>
      </c>
      <c r="H13" s="29">
        <f t="shared" si="6"/>
        <v>34839.931427580057</v>
      </c>
      <c r="I13" s="29">
        <f t="shared" si="6"/>
        <v>42215.880473860234</v>
      </c>
      <c r="J13" s="29">
        <f t="shared" si="6"/>
        <v>49892.410653002225</v>
      </c>
      <c r="K13" s="29">
        <f t="shared" si="6"/>
        <v>59092.498259648055</v>
      </c>
      <c r="L13" s="29">
        <f t="shared" si="6"/>
        <v>69622.958454019186</v>
      </c>
    </row>
    <row r="14" spans="2:15" x14ac:dyDescent="0.25">
      <c r="B14" s="19" t="s">
        <v>207</v>
      </c>
      <c r="C14" s="20">
        <f>C13/Balance_Sheet!C74</f>
        <v>0.5576398468792555</v>
      </c>
      <c r="D14" s="20">
        <f>D13/Balance_Sheet!D74</f>
        <v>0.64933883122752623</v>
      </c>
      <c r="E14" s="20">
        <f>E13/Balance_Sheet!E74</f>
        <v>0.73726871581397246</v>
      </c>
      <c r="F14" s="20">
        <f>F13/Balance_Sheet!F74</f>
        <v>0.73796072765969833</v>
      </c>
      <c r="G14" s="20">
        <f>G13/Balance_Sheet!G74</f>
        <v>0.74844604291829808</v>
      </c>
      <c r="H14" s="27">
        <f>H13/Balance_Sheet!H74</f>
        <v>0.73107576704024879</v>
      </c>
      <c r="I14" s="27">
        <f>I13/Balance_Sheet!I74</f>
        <v>0.73107574786106411</v>
      </c>
      <c r="J14" s="27">
        <f>J13/Balance_Sheet!J74</f>
        <v>0.73107576610051528</v>
      </c>
      <c r="K14" s="27">
        <f>K13/Balance_Sheet!K74</f>
        <v>0.73107577798047463</v>
      </c>
      <c r="L14" s="27">
        <f>L13/Balance_Sheet!L74</f>
        <v>0.73107572521453124</v>
      </c>
    </row>
    <row r="15" spans="2:15" ht="18.75" x14ac:dyDescent="0.25">
      <c r="B15" s="8" t="s">
        <v>12</v>
      </c>
      <c r="C15" s="4">
        <v>2508.9</v>
      </c>
      <c r="D15" s="4">
        <v>2200</v>
      </c>
      <c r="E15" s="4">
        <v>130.4</v>
      </c>
      <c r="F15" s="5">
        <v>629.9</v>
      </c>
      <c r="G15" s="5">
        <v>574.6</v>
      </c>
      <c r="H15" s="28">
        <f>ROUND(H74*H16,2)</f>
        <v>653.88</v>
      </c>
      <c r="I15" s="28">
        <f t="shared" ref="I15:L15" si="7">ROUND(I74*I16,2)</f>
        <v>792.31</v>
      </c>
      <c r="J15" s="28">
        <f t="shared" si="7"/>
        <v>936.39</v>
      </c>
      <c r="K15" s="28">
        <f t="shared" si="7"/>
        <v>1109.05</v>
      </c>
      <c r="L15" s="28">
        <f t="shared" si="7"/>
        <v>1306.69</v>
      </c>
    </row>
    <row r="16" spans="2:15" x14ac:dyDescent="0.25">
      <c r="B16" s="17" t="s">
        <v>208</v>
      </c>
      <c r="C16" s="18">
        <f>C15/Balance_Sheet!C74</f>
        <v>0.11128755383844252</v>
      </c>
      <c r="D16" s="18">
        <f>D15/Balance_Sheet!D74</f>
        <v>9.1382915339900783E-2</v>
      </c>
      <c r="E16" s="18">
        <f>E15/Balance_Sheet!E74</f>
        <v>4.4922519449102482E-3</v>
      </c>
      <c r="F16" s="18">
        <f>F15/Balance_Sheet!F74</f>
        <v>1.8390718504212332E-2</v>
      </c>
      <c r="G16" s="18">
        <f>G15/Balance_Sheet!G74</f>
        <v>1.3720907849365995E-2</v>
      </c>
      <c r="H16" s="25">
        <f>G16</f>
        <v>1.3720907849365995E-2</v>
      </c>
      <c r="I16" s="25">
        <f t="shared" ref="I16:L16" si="8">H16</f>
        <v>1.3720907849365995E-2</v>
      </c>
      <c r="J16" s="25">
        <f t="shared" si="8"/>
        <v>1.3720907849365995E-2</v>
      </c>
      <c r="K16" s="25">
        <f t="shared" si="8"/>
        <v>1.3720907849365995E-2</v>
      </c>
      <c r="L16" s="25">
        <f t="shared" si="8"/>
        <v>1.3720907849365995E-2</v>
      </c>
    </row>
    <row r="17" spans="2:12" ht="18.75" x14ac:dyDescent="0.25">
      <c r="B17" s="8" t="s">
        <v>13</v>
      </c>
      <c r="C17" s="4">
        <v>195</v>
      </c>
      <c r="D17" s="4">
        <v>47.3</v>
      </c>
      <c r="E17" s="4">
        <v>2</v>
      </c>
      <c r="F17" s="4">
        <v>28.9</v>
      </c>
      <c r="G17" s="4">
        <v>1.4</v>
      </c>
      <c r="H17" s="24">
        <f>H74*H18</f>
        <v>40.210533417522193</v>
      </c>
      <c r="I17" s="24">
        <f t="shared" ref="I17:L17" si="9">I74*I18</f>
        <v>48.723491910596486</v>
      </c>
      <c r="J17" s="24">
        <f t="shared" si="9"/>
        <v>57.583363864887744</v>
      </c>
      <c r="K17" s="24">
        <f t="shared" si="9"/>
        <v>68.201650895200871</v>
      </c>
      <c r="L17" s="24">
        <f t="shared" si="9"/>
        <v>80.355395174314353</v>
      </c>
    </row>
    <row r="18" spans="2:12" x14ac:dyDescent="0.25">
      <c r="B18" s="17" t="s">
        <v>209</v>
      </c>
      <c r="C18" s="18">
        <f>C17/Balance_Sheet!C74</f>
        <v>8.6496364934817212E-3</v>
      </c>
      <c r="D18" s="18">
        <f>D17/Balance_Sheet!D74</f>
        <v>1.9647326798078665E-3</v>
      </c>
      <c r="E18" s="18">
        <f>E17/Balance_Sheet!E74</f>
        <v>6.8899569707212387E-5</v>
      </c>
      <c r="F18" s="18">
        <f>F17/Balance_Sheet!F74</f>
        <v>8.4377165386844951E-4</v>
      </c>
      <c r="G18" s="18">
        <f>G17/Balance_Sheet!G74</f>
        <v>3.3430683935106842E-5</v>
      </c>
      <c r="H18" s="25">
        <f>MEDIAN(C18:G18)</f>
        <v>8.4377165386844951E-4</v>
      </c>
      <c r="I18" s="25">
        <f t="shared" ref="I18:L18" si="10">H18</f>
        <v>8.4377165386844951E-4</v>
      </c>
      <c r="J18" s="25">
        <f t="shared" si="10"/>
        <v>8.4377165386844951E-4</v>
      </c>
      <c r="K18" s="25">
        <f t="shared" si="10"/>
        <v>8.4377165386844951E-4</v>
      </c>
      <c r="L18" s="25">
        <f t="shared" si="10"/>
        <v>8.4377165386844951E-4</v>
      </c>
    </row>
    <row r="19" spans="2:12" ht="18.75" x14ac:dyDescent="0.25">
      <c r="B19" s="8" t="s">
        <v>18</v>
      </c>
      <c r="C19" s="5">
        <v>2556.1999999999998</v>
      </c>
      <c r="D19" s="5">
        <v>1212.5</v>
      </c>
      <c r="E19" s="5">
        <v>1653.2</v>
      </c>
      <c r="F19" s="5">
        <v>2314.5</v>
      </c>
      <c r="G19" s="5">
        <v>2708.2</v>
      </c>
      <c r="H19" s="28">
        <f>ROUND(H74*H20,2)</f>
        <v>3081.86</v>
      </c>
      <c r="I19" s="28">
        <f t="shared" ref="I19:L19" si="11">ROUND(I74*I20,2)</f>
        <v>3734.32</v>
      </c>
      <c r="J19" s="28">
        <f t="shared" si="11"/>
        <v>4413.37</v>
      </c>
      <c r="K19" s="28">
        <f t="shared" si="11"/>
        <v>5227.1899999999996</v>
      </c>
      <c r="L19" s="28">
        <f t="shared" si="11"/>
        <v>6158.69</v>
      </c>
    </row>
    <row r="20" spans="2:12" x14ac:dyDescent="0.25">
      <c r="B20" s="17" t="s">
        <v>210</v>
      </c>
      <c r="C20" s="18">
        <f>C19/Balance_Sheet!C74</f>
        <v>0.11338564515198961</v>
      </c>
      <c r="D20" s="18">
        <f>D19/Balance_Sheet!D74</f>
        <v>5.036444765892259E-2</v>
      </c>
      <c r="E20" s="18">
        <f>E19/Balance_Sheet!E74</f>
        <v>5.6952384319981765E-2</v>
      </c>
      <c r="F20" s="18">
        <f>F19/Balance_Sheet!F74</f>
        <v>6.7574722936973239E-2</v>
      </c>
      <c r="G20" s="18">
        <f>G19/Balance_Sheet!G74</f>
        <v>6.4669270166468826E-2</v>
      </c>
      <c r="H20" s="25">
        <f>G20</f>
        <v>6.4669270166468826E-2</v>
      </c>
      <c r="I20" s="25">
        <f t="shared" ref="I20:L20" si="12">H20</f>
        <v>6.4669270166468826E-2</v>
      </c>
      <c r="J20" s="25">
        <f t="shared" si="12"/>
        <v>6.4669270166468826E-2</v>
      </c>
      <c r="K20" s="25">
        <f t="shared" si="12"/>
        <v>6.4669270166468826E-2</v>
      </c>
      <c r="L20" s="25">
        <f t="shared" si="12"/>
        <v>6.4669270166468826E-2</v>
      </c>
    </row>
    <row r="21" spans="2:12" ht="18.75" x14ac:dyDescent="0.25">
      <c r="B21" s="9" t="s">
        <v>123</v>
      </c>
      <c r="C21" s="7">
        <f>C15+C17+C19</f>
        <v>5260.1</v>
      </c>
      <c r="D21" s="7">
        <f t="shared" ref="D21:G21" si="13">D15+D17+D19</f>
        <v>3459.8</v>
      </c>
      <c r="E21" s="7">
        <f t="shared" si="13"/>
        <v>1785.6000000000001</v>
      </c>
      <c r="F21" s="7">
        <f t="shared" si="13"/>
        <v>2973.3</v>
      </c>
      <c r="G21" s="7">
        <f t="shared" si="13"/>
        <v>3284.2</v>
      </c>
      <c r="H21" s="29">
        <f>ROUND(H74*H22,2)</f>
        <v>3737.33</v>
      </c>
      <c r="I21" s="29">
        <f t="shared" ref="I21:L21" si="14">ROUND(I74*I22,2)</f>
        <v>4528.5600000000004</v>
      </c>
      <c r="J21" s="29">
        <f t="shared" si="14"/>
        <v>5352.03</v>
      </c>
      <c r="K21" s="29">
        <f t="shared" si="14"/>
        <v>6338.94</v>
      </c>
      <c r="L21" s="29">
        <f t="shared" si="14"/>
        <v>7468.56</v>
      </c>
    </row>
    <row r="22" spans="2:12" x14ac:dyDescent="0.25">
      <c r="B22" s="19" t="s">
        <v>211</v>
      </c>
      <c r="C22" s="20">
        <f>C21/Balance_Sheet!C74</f>
        <v>0.23332283548391389</v>
      </c>
      <c r="D22" s="20">
        <f>D21/Balance_Sheet!D74</f>
        <v>0.14371209567863125</v>
      </c>
      <c r="E22" s="20">
        <f>E21/Balance_Sheet!E74</f>
        <v>6.1513535834599224E-2</v>
      </c>
      <c r="F22" s="20">
        <f>F21/Balance_Sheet!F74</f>
        <v>8.680921309505403E-2</v>
      </c>
      <c r="G22" s="20">
        <f>G21/Balance_Sheet!G74</f>
        <v>7.8423608699769928E-2</v>
      </c>
      <c r="H22" s="27">
        <f>G22</f>
        <v>7.8423608699769928E-2</v>
      </c>
      <c r="I22" s="27">
        <f t="shared" ref="I22:L22" si="15">H22</f>
        <v>7.8423608699769928E-2</v>
      </c>
      <c r="J22" s="27">
        <f t="shared" si="15"/>
        <v>7.8423608699769928E-2</v>
      </c>
      <c r="K22" s="27">
        <f t="shared" si="15"/>
        <v>7.8423608699769928E-2</v>
      </c>
      <c r="L22" s="27">
        <f t="shared" si="15"/>
        <v>7.8423608699769928E-2</v>
      </c>
    </row>
    <row r="23" spans="2:12" ht="18.75" x14ac:dyDescent="0.25">
      <c r="B23" s="8" t="s">
        <v>15</v>
      </c>
      <c r="C23" s="4">
        <v>81.7</v>
      </c>
      <c r="D23" s="4">
        <v>79.3</v>
      </c>
      <c r="E23" s="4">
        <v>74.5</v>
      </c>
      <c r="F23" s="4">
        <v>50.8</v>
      </c>
      <c r="G23" s="4">
        <v>25.8</v>
      </c>
      <c r="H23" s="24">
        <f>H74*H24</f>
        <v>122.30879562674576</v>
      </c>
      <c r="I23" s="24">
        <f t="shared" ref="I23:L23" si="16">I74*I24</f>
        <v>148.20274957401358</v>
      </c>
      <c r="J23" s="24">
        <f t="shared" si="16"/>
        <v>175.15191378640219</v>
      </c>
      <c r="K23" s="24">
        <f t="shared" si="16"/>
        <v>207.44966733300814</v>
      </c>
      <c r="L23" s="24">
        <f t="shared" si="16"/>
        <v>244.41783708342626</v>
      </c>
    </row>
    <row r="24" spans="2:12" x14ac:dyDescent="0.25">
      <c r="B24" s="17" t="s">
        <v>212</v>
      </c>
      <c r="C24" s="18">
        <f>C23/Balance_Sheet!C74</f>
        <v>3.6239759052177265E-3</v>
      </c>
      <c r="D24" s="18">
        <f>D23/Balance_Sheet!D74</f>
        <v>3.2939387211155143E-3</v>
      </c>
      <c r="E24" s="18">
        <f>E23/Balance_Sheet!E74</f>
        <v>2.5665089715936618E-3</v>
      </c>
      <c r="F24" s="18">
        <f>F23/Balance_Sheet!F74</f>
        <v>1.483169550744541E-3</v>
      </c>
      <c r="G24" s="18">
        <f>G23/Balance_Sheet!G74</f>
        <v>6.1607974680411189E-4</v>
      </c>
      <c r="H24" s="25">
        <f>MEDIAN(C24:G24)</f>
        <v>2.5665089715936618E-3</v>
      </c>
      <c r="I24" s="25">
        <f t="shared" ref="I24:L24" si="17">H24</f>
        <v>2.5665089715936618E-3</v>
      </c>
      <c r="J24" s="25">
        <f t="shared" si="17"/>
        <v>2.5665089715936618E-3</v>
      </c>
      <c r="K24" s="25">
        <f t="shared" si="17"/>
        <v>2.5665089715936618E-3</v>
      </c>
      <c r="L24" s="25">
        <f t="shared" si="17"/>
        <v>2.5665089715936618E-3</v>
      </c>
    </row>
    <row r="25" spans="2:12" ht="18.75" x14ac:dyDescent="0.25">
      <c r="B25" s="8" t="s">
        <v>21</v>
      </c>
      <c r="C25" s="4">
        <v>438.7</v>
      </c>
      <c r="D25" s="4">
        <v>478.9</v>
      </c>
      <c r="E25" s="4">
        <v>466.9</v>
      </c>
      <c r="F25" s="4">
        <v>501.5</v>
      </c>
      <c r="G25" s="4">
        <v>586.6</v>
      </c>
      <c r="H25" s="24">
        <f>H74*H26</f>
        <v>766.52317688761855</v>
      </c>
      <c r="I25" s="24">
        <f t="shared" ref="I25:L25" si="18">I74*I26</f>
        <v>928.80354061888488</v>
      </c>
      <c r="J25" s="24">
        <f t="shared" si="18"/>
        <v>1097.6970274747807</v>
      </c>
      <c r="K25" s="24">
        <f t="shared" si="18"/>
        <v>1300.1107339299526</v>
      </c>
      <c r="L25" s="24">
        <f t="shared" si="18"/>
        <v>1531.7944716006939</v>
      </c>
    </row>
    <row r="26" spans="2:12" x14ac:dyDescent="0.25">
      <c r="B26" s="17" t="s">
        <v>213</v>
      </c>
      <c r="C26" s="18">
        <f>C25/Balance_Sheet!C74</f>
        <v>1.9459464254822725E-2</v>
      </c>
      <c r="D26" s="18">
        <f>D25/Balance_Sheet!D74</f>
        <v>1.9892399161944765E-2</v>
      </c>
      <c r="E26" s="18">
        <f>E25/Balance_Sheet!E74</f>
        <v>1.608460454814873E-2</v>
      </c>
      <c r="F26" s="18">
        <f>F25/Balance_Sheet!F74</f>
        <v>1.4641919875952508E-2</v>
      </c>
      <c r="G26" s="18">
        <f>G25/Balance_Sheet!G74</f>
        <v>1.4007456568809768E-2</v>
      </c>
      <c r="H26" s="25">
        <f>MEDIAN(C26:G26)</f>
        <v>1.608460454814873E-2</v>
      </c>
      <c r="I26" s="25">
        <f t="shared" ref="I26:L26" si="19">H26</f>
        <v>1.608460454814873E-2</v>
      </c>
      <c r="J26" s="25">
        <f t="shared" si="19"/>
        <v>1.608460454814873E-2</v>
      </c>
      <c r="K26" s="25">
        <f t="shared" si="19"/>
        <v>1.608460454814873E-2</v>
      </c>
      <c r="L26" s="25">
        <f t="shared" si="19"/>
        <v>1.608460454814873E-2</v>
      </c>
    </row>
    <row r="27" spans="2:12" ht="18.75" x14ac:dyDescent="0.25">
      <c r="B27" s="8" t="s">
        <v>14</v>
      </c>
      <c r="C27" s="4">
        <v>293.3</v>
      </c>
      <c r="D27" s="4">
        <v>218.1</v>
      </c>
      <c r="E27" s="4">
        <v>205.5</v>
      </c>
      <c r="F27" s="4">
        <v>161.69999999999999</v>
      </c>
      <c r="G27" s="4">
        <v>166.9</v>
      </c>
      <c r="H27" s="24">
        <f>ROUND(H74*H28,2)</f>
        <v>189.93</v>
      </c>
      <c r="I27" s="24">
        <f t="shared" ref="I27:L27" si="20">ROUND(I74*I28,2)</f>
        <v>230.14</v>
      </c>
      <c r="J27" s="24">
        <f t="shared" si="20"/>
        <v>271.99</v>
      </c>
      <c r="K27" s="24">
        <f t="shared" si="20"/>
        <v>322.14</v>
      </c>
      <c r="L27" s="24">
        <f t="shared" si="20"/>
        <v>379.55</v>
      </c>
    </row>
    <row r="28" spans="2:12" x14ac:dyDescent="0.25">
      <c r="B28" s="17" t="s">
        <v>214</v>
      </c>
      <c r="C28" s="18">
        <f>C27/Balance_Sheet!C74</f>
        <v>1.3009940428400969E-2</v>
      </c>
      <c r="D28" s="18">
        <f>D27/Balance_Sheet!D74</f>
        <v>9.0593699252874364E-3</v>
      </c>
      <c r="E28" s="18">
        <f>E27/Balance_Sheet!E74</f>
        <v>7.0794307874160736E-3</v>
      </c>
      <c r="F28" s="18">
        <f>F27/Balance_Sheet!F74</f>
        <v>4.72103378652347E-3</v>
      </c>
      <c r="G28" s="18">
        <f>G27/Balance_Sheet!G74</f>
        <v>3.9854151062638093E-3</v>
      </c>
      <c r="H28" s="25">
        <f>G28</f>
        <v>3.9854151062638093E-3</v>
      </c>
      <c r="I28" s="25">
        <f t="shared" ref="I28:L28" si="21">H28</f>
        <v>3.9854151062638093E-3</v>
      </c>
      <c r="J28" s="25">
        <f t="shared" si="21"/>
        <v>3.9854151062638093E-3</v>
      </c>
      <c r="K28" s="25">
        <f t="shared" si="21"/>
        <v>3.9854151062638093E-3</v>
      </c>
      <c r="L28" s="25">
        <f t="shared" si="21"/>
        <v>3.9854151062638093E-3</v>
      </c>
    </row>
    <row r="29" spans="2:12" ht="18.75" x14ac:dyDescent="0.25">
      <c r="B29" s="8" t="s">
        <v>19</v>
      </c>
      <c r="C29" s="5">
        <v>1334.5</v>
      </c>
      <c r="D29" s="5">
        <v>1367.1</v>
      </c>
      <c r="E29" s="5">
        <v>1524.8</v>
      </c>
      <c r="F29" s="5">
        <v>1810.9</v>
      </c>
      <c r="G29" s="5">
        <v>2266.1999999999998</v>
      </c>
      <c r="H29" s="28">
        <f>H74*H30</f>
        <v>2578.8754277711887</v>
      </c>
      <c r="I29" s="28">
        <f t="shared" ref="I29:L29" si="22">I74*I30</f>
        <v>3124.8482764143428</v>
      </c>
      <c r="J29" s="28">
        <f t="shared" si="22"/>
        <v>3693.0701858049888</v>
      </c>
      <c r="K29" s="28">
        <f t="shared" si="22"/>
        <v>4374.0668595661846</v>
      </c>
      <c r="L29" s="28">
        <f t="shared" si="22"/>
        <v>5153.5390478948866</v>
      </c>
    </row>
    <row r="30" spans="2:12" x14ac:dyDescent="0.25">
      <c r="B30" s="17" t="s">
        <v>215</v>
      </c>
      <c r="C30" s="18">
        <f>C29/Balance_Sheet!C74</f>
        <v>5.919456359257106E-2</v>
      </c>
      <c r="D30" s="18">
        <f>D29/Balance_Sheet!D74</f>
        <v>5.6786174345990155E-2</v>
      </c>
      <c r="E30" s="18">
        <f>E29/Balance_Sheet!E74</f>
        <v>5.2529031944778724E-2</v>
      </c>
      <c r="F30" s="18">
        <f>F29/Balance_Sheet!F74</f>
        <v>5.2871490933923029E-2</v>
      </c>
      <c r="G30" s="18">
        <f>G29/Balance_Sheet!G74</f>
        <v>5.411472566695652E-2</v>
      </c>
      <c r="H30" s="25">
        <f>MEDIAN(C30:G30)</f>
        <v>5.411472566695652E-2</v>
      </c>
      <c r="I30" s="25">
        <f t="shared" ref="I30:L30" si="23">H30</f>
        <v>5.411472566695652E-2</v>
      </c>
      <c r="J30" s="25">
        <f t="shared" si="23"/>
        <v>5.411472566695652E-2</v>
      </c>
      <c r="K30" s="25">
        <f t="shared" si="23"/>
        <v>5.411472566695652E-2</v>
      </c>
      <c r="L30" s="25">
        <f t="shared" si="23"/>
        <v>5.411472566695652E-2</v>
      </c>
    </row>
    <row r="31" spans="2:12" ht="18.75" x14ac:dyDescent="0.25">
      <c r="B31" s="8" t="s">
        <v>20</v>
      </c>
      <c r="C31" s="5">
        <v>2564.4</v>
      </c>
      <c r="D31" s="5">
        <v>2838.8</v>
      </c>
      <c r="E31" s="5">
        <v>3569.2</v>
      </c>
      <c r="F31" s="5">
        <v>3476.9</v>
      </c>
      <c r="G31" s="5">
        <v>4204.8</v>
      </c>
      <c r="H31" s="28">
        <f>H74*H32</f>
        <v>5420.8066383805008</v>
      </c>
      <c r="I31" s="28">
        <f t="shared" ref="I31:L31" si="24">I74*I32</f>
        <v>6568.4437868945688</v>
      </c>
      <c r="J31" s="28">
        <f t="shared" si="24"/>
        <v>7762.8485515947223</v>
      </c>
      <c r="K31" s="28">
        <f t="shared" si="24"/>
        <v>9194.3063296969322</v>
      </c>
      <c r="L31" s="28">
        <f t="shared" si="24"/>
        <v>10832.760039955054</v>
      </c>
    </row>
    <row r="32" spans="2:12" x14ac:dyDescent="0.25">
      <c r="B32" s="17" t="s">
        <v>216</v>
      </c>
      <c r="C32" s="18">
        <f>C31/Balance_Sheet!C74</f>
        <v>0.11374937345581809</v>
      </c>
      <c r="D32" s="18">
        <f>D31/Balance_Sheet!D74</f>
        <v>0.1179171909395047</v>
      </c>
      <c r="E32" s="18">
        <f>E31/Balance_Sheet!E74</f>
        <v>0.12295817209949123</v>
      </c>
      <c r="F32" s="18">
        <f>F31/Balance_Sheet!F74</f>
        <v>0.10151244509810424</v>
      </c>
      <c r="G32" s="18">
        <f>G31/Balance_Sheet!G74</f>
        <v>0.10040667129309805</v>
      </c>
      <c r="H32" s="25">
        <f>MEDIAN(C32:G32)</f>
        <v>0.11374937345581809</v>
      </c>
      <c r="I32" s="25">
        <f t="shared" ref="I32:L32" si="25">H32</f>
        <v>0.11374937345581809</v>
      </c>
      <c r="J32" s="25">
        <f t="shared" si="25"/>
        <v>0.11374937345581809</v>
      </c>
      <c r="K32" s="25">
        <f t="shared" si="25"/>
        <v>0.11374937345581809</v>
      </c>
      <c r="L32" s="25">
        <f t="shared" si="25"/>
        <v>0.11374937345581809</v>
      </c>
    </row>
    <row r="33" spans="2:12" ht="18.75" x14ac:dyDescent="0.25">
      <c r="B33" s="9" t="s">
        <v>22</v>
      </c>
      <c r="C33" s="7">
        <f>C23+C25+C27+C29+C31</f>
        <v>4712.6000000000004</v>
      </c>
      <c r="D33" s="7">
        <f t="shared" ref="D33:L33" si="26">D23+D25+D27+D29+D31</f>
        <v>4982.2</v>
      </c>
      <c r="E33" s="7">
        <f t="shared" si="26"/>
        <v>5840.9</v>
      </c>
      <c r="F33" s="7">
        <f t="shared" si="26"/>
        <v>6001.8</v>
      </c>
      <c r="G33" s="7">
        <f t="shared" si="26"/>
        <v>7250.3</v>
      </c>
      <c r="H33" s="29">
        <f t="shared" si="26"/>
        <v>9078.4440386660535</v>
      </c>
      <c r="I33" s="29">
        <f t="shared" si="26"/>
        <v>11000.43835350181</v>
      </c>
      <c r="J33" s="29">
        <f t="shared" si="26"/>
        <v>13000.757678660895</v>
      </c>
      <c r="K33" s="29">
        <f t="shared" si="26"/>
        <v>15398.073590526077</v>
      </c>
      <c r="L33" s="29">
        <f t="shared" si="26"/>
        <v>18142.06139653406</v>
      </c>
    </row>
    <row r="34" spans="2:12" x14ac:dyDescent="0.25">
      <c r="B34" s="19" t="s">
        <v>217</v>
      </c>
      <c r="C34" s="20">
        <f>C33/Balance_Sheet!C74</f>
        <v>0.20903731763683059</v>
      </c>
      <c r="D34" s="20">
        <f>D33/Balance_Sheet!D74</f>
        <v>0.20694907309384256</v>
      </c>
      <c r="E34" s="20">
        <f>E33/Balance_Sheet!E74</f>
        <v>0.20121774835142842</v>
      </c>
      <c r="F34" s="20">
        <f>F33/Balance_Sheet!F74</f>
        <v>0.17523005924524779</v>
      </c>
      <c r="G34" s="20">
        <f>G33/Balance_Sheet!G74</f>
        <v>0.17313034838193225</v>
      </c>
      <c r="H34" s="27">
        <f>H33/Balance_Sheet!H74</f>
        <v>0.19050067457497175</v>
      </c>
      <c r="I34" s="27">
        <f>I33/Balance_Sheet!I74</f>
        <v>0.19050067429164508</v>
      </c>
      <c r="J34" s="27">
        <f>J33/Balance_Sheet!J74</f>
        <v>0.19050069450276691</v>
      </c>
      <c r="K34" s="27">
        <f>K33/Balance_Sheet!K74</f>
        <v>0.19050063817121646</v>
      </c>
      <c r="L34" s="27">
        <f>L33/Balance_Sheet!L74</f>
        <v>0.19050067659961714</v>
      </c>
    </row>
    <row r="35" spans="2:12" ht="18.75" x14ac:dyDescent="0.25">
      <c r="B35" s="8" t="s">
        <v>10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24">
        <f>H74*H36</f>
        <v>0</v>
      </c>
      <c r="I35" s="24">
        <f t="shared" ref="I35:L35" si="27">I74*I36</f>
        <v>0</v>
      </c>
      <c r="J35" s="24">
        <f t="shared" si="27"/>
        <v>0</v>
      </c>
      <c r="K35" s="24">
        <f t="shared" si="27"/>
        <v>0</v>
      </c>
      <c r="L35" s="24">
        <f t="shared" si="27"/>
        <v>0</v>
      </c>
    </row>
    <row r="36" spans="2:12" x14ac:dyDescent="0.25">
      <c r="B36" s="17" t="s">
        <v>218</v>
      </c>
      <c r="C36" s="18">
        <f>C35/Balance_Sheet!C74</f>
        <v>0</v>
      </c>
      <c r="D36" s="18">
        <f>D35/Balance_Sheet!D74</f>
        <v>0</v>
      </c>
      <c r="E36" s="18">
        <f>E35/Balance_Sheet!E74</f>
        <v>0</v>
      </c>
      <c r="F36" s="18">
        <f>F35/Balance_Sheet!F74</f>
        <v>0</v>
      </c>
      <c r="G36" s="18">
        <f>G35/Balance_Sheet!G74</f>
        <v>0</v>
      </c>
      <c r="H36" s="25">
        <f>MEDIAN(C36:G36)</f>
        <v>0</v>
      </c>
      <c r="I36" s="25">
        <f t="shared" ref="I36:L36" si="28">H36</f>
        <v>0</v>
      </c>
      <c r="J36" s="25">
        <f t="shared" si="28"/>
        <v>0</v>
      </c>
      <c r="K36" s="25">
        <f t="shared" si="28"/>
        <v>0</v>
      </c>
      <c r="L36" s="25">
        <f t="shared" si="28"/>
        <v>0</v>
      </c>
    </row>
    <row r="37" spans="2:12" ht="18.75" x14ac:dyDescent="0.25">
      <c r="B37" s="9" t="s">
        <v>124</v>
      </c>
      <c r="C37" s="7">
        <f>C13+C21+C33+C35</f>
        <v>22544.300000000003</v>
      </c>
      <c r="D37" s="7">
        <f t="shared" ref="D37:L37" si="29">D13+D21+D33+D35</f>
        <v>24074.521936808993</v>
      </c>
      <c r="E37" s="7">
        <f t="shared" si="29"/>
        <v>29027.757480909793</v>
      </c>
      <c r="F37" s="7">
        <f t="shared" si="29"/>
        <v>34250.972840225011</v>
      </c>
      <c r="G37" s="7">
        <f t="shared" si="29"/>
        <v>41877.695434457048</v>
      </c>
      <c r="H37" s="29">
        <f t="shared" si="29"/>
        <v>47655.705466246116</v>
      </c>
      <c r="I37" s="29">
        <f t="shared" si="29"/>
        <v>57744.878827362045</v>
      </c>
      <c r="J37" s="29">
        <f t="shared" si="29"/>
        <v>68245.198331663123</v>
      </c>
      <c r="K37" s="29">
        <f t="shared" si="29"/>
        <v>80829.511850174138</v>
      </c>
      <c r="L37" s="29">
        <f t="shared" si="29"/>
        <v>95233.579850553244</v>
      </c>
    </row>
    <row r="38" spans="2:12" x14ac:dyDescent="0.25">
      <c r="B38" s="19" t="s">
        <v>219</v>
      </c>
      <c r="C38" s="20">
        <f>C37/Balance_Sheet!C74</f>
        <v>1</v>
      </c>
      <c r="D38" s="20">
        <f>D37/Balance_Sheet!D74</f>
        <v>1.0000000000000002</v>
      </c>
      <c r="E38" s="20">
        <f>E37/Balance_Sheet!E74</f>
        <v>1.0000000000000002</v>
      </c>
      <c r="F38" s="20">
        <f>F37/Balance_Sheet!F74</f>
        <v>1.0000000000000002</v>
      </c>
      <c r="G38" s="20">
        <f>G37/Balance_Sheet!G74</f>
        <v>1.0000000000000004</v>
      </c>
      <c r="H38" s="27">
        <f>H37/Balance_Sheet!H74</f>
        <v>1</v>
      </c>
      <c r="I38" s="27">
        <f>I37/Balance_Sheet!I74</f>
        <v>1</v>
      </c>
      <c r="J38" s="27">
        <f>J37/Balance_Sheet!J74</f>
        <v>1</v>
      </c>
      <c r="K38" s="27">
        <f>K37/Balance_Sheet!K74</f>
        <v>1</v>
      </c>
      <c r="L38" s="27">
        <f>L37/Balance_Sheet!L74</f>
        <v>1</v>
      </c>
    </row>
    <row r="39" spans="2:12" ht="18.75" x14ac:dyDescent="0.25">
      <c r="B39" s="8"/>
      <c r="C39" s="5"/>
      <c r="D39" s="4"/>
      <c r="E39" s="4"/>
      <c r="F39" s="4"/>
      <c r="G39" s="4"/>
      <c r="H39" s="24"/>
      <c r="I39" s="24"/>
      <c r="J39" s="24"/>
      <c r="K39" s="24"/>
      <c r="L39" s="24"/>
    </row>
    <row r="40" spans="2:12" ht="18.75" x14ac:dyDescent="0.25">
      <c r="B40" s="8" t="s">
        <v>26</v>
      </c>
      <c r="C40" s="5">
        <v>4973.3</v>
      </c>
      <c r="D40" s="5">
        <v>4912.7</v>
      </c>
      <c r="E40" s="5">
        <v>4777.8999999999996</v>
      </c>
      <c r="F40" s="5">
        <v>4732.2</v>
      </c>
      <c r="G40" s="5">
        <v>8867.6</v>
      </c>
      <c r="H40" s="28">
        <f>ROUND(H74*H41,2)</f>
        <v>10091.09</v>
      </c>
      <c r="I40" s="28">
        <f t="shared" ref="I40:L40" si="30">ROUND(I74*I41,2)</f>
        <v>12227.48</v>
      </c>
      <c r="J40" s="28">
        <f t="shared" si="30"/>
        <v>14450.92</v>
      </c>
      <c r="K40" s="28">
        <f t="shared" si="30"/>
        <v>17115.650000000001</v>
      </c>
      <c r="L40" s="28">
        <f t="shared" si="30"/>
        <v>20165.71</v>
      </c>
    </row>
    <row r="41" spans="2:12" x14ac:dyDescent="0.25">
      <c r="B41" s="17" t="s">
        <v>220</v>
      </c>
      <c r="C41" s="18">
        <f>C40/Balance_Sheet!C74</f>
        <v>0.2206012162719623</v>
      </c>
      <c r="D41" s="18">
        <f>D40/Balance_Sheet!D74</f>
        <v>0.20406220372287751</v>
      </c>
      <c r="E41" s="18">
        <f>E40/Balance_Sheet!E74</f>
        <v>0.16459762705204503</v>
      </c>
      <c r="F41" s="18">
        <f>F40/Balance_Sheet!F74</f>
        <v>0.13816249897703381</v>
      </c>
      <c r="G41" s="18">
        <f>G40/Balance_Sheet!G74</f>
        <v>0.21174995204496677</v>
      </c>
      <c r="H41" s="25">
        <f>G41</f>
        <v>0.21174995204496677</v>
      </c>
      <c r="I41" s="25">
        <f t="shared" ref="I41:L41" si="31">H41</f>
        <v>0.21174995204496677</v>
      </c>
      <c r="J41" s="25">
        <f t="shared" si="31"/>
        <v>0.21174995204496677</v>
      </c>
      <c r="K41" s="25">
        <f t="shared" si="31"/>
        <v>0.21174995204496677</v>
      </c>
      <c r="L41" s="25">
        <f t="shared" si="31"/>
        <v>0.21174995204496677</v>
      </c>
    </row>
    <row r="42" spans="2:12" ht="18.75" x14ac:dyDescent="0.25">
      <c r="B42" s="8" t="s">
        <v>27</v>
      </c>
      <c r="C42" s="4">
        <v>1461.6</v>
      </c>
      <c r="D42" s="5">
        <v>1812.4</v>
      </c>
      <c r="E42" s="5">
        <v>1581.1</v>
      </c>
      <c r="F42" s="5">
        <v>2913.6</v>
      </c>
      <c r="G42" s="5">
        <v>0</v>
      </c>
      <c r="H42" s="28">
        <f>ROUND(H74*H43,2)</f>
        <v>0</v>
      </c>
      <c r="I42" s="28">
        <f t="shared" ref="I42:L42" si="32">ROUND(I74*I43,2)</f>
        <v>0</v>
      </c>
      <c r="J42" s="28">
        <f t="shared" si="32"/>
        <v>0</v>
      </c>
      <c r="K42" s="28">
        <f t="shared" si="32"/>
        <v>0</v>
      </c>
      <c r="L42" s="28">
        <f t="shared" si="32"/>
        <v>0</v>
      </c>
    </row>
    <row r="43" spans="2:12" x14ac:dyDescent="0.25">
      <c r="B43" s="17" t="s">
        <v>221</v>
      </c>
      <c r="C43" s="18">
        <f>C42/Balance_Sheet!C74</f>
        <v>6.4832352301912227E-2</v>
      </c>
      <c r="D43" s="18">
        <f>D42/Balance_Sheet!D74</f>
        <v>7.5282907164561902E-2</v>
      </c>
      <c r="E43" s="18">
        <f>E42/Balance_Sheet!E74</f>
        <v>5.4468554832036754E-2</v>
      </c>
      <c r="F43" s="18">
        <f>F42/Balance_Sheet!F74</f>
        <v>8.5066196910419195E-2</v>
      </c>
      <c r="G43" s="18">
        <f>G42/Balance_Sheet!G74</f>
        <v>0</v>
      </c>
      <c r="H43" s="25">
        <f>G43</f>
        <v>0</v>
      </c>
      <c r="I43" s="25">
        <f t="shared" ref="I43:L43" si="33">H43</f>
        <v>0</v>
      </c>
      <c r="J43" s="25">
        <f t="shared" si="33"/>
        <v>0</v>
      </c>
      <c r="K43" s="25">
        <f t="shared" si="33"/>
        <v>0</v>
      </c>
      <c r="L43" s="25">
        <f t="shared" si="33"/>
        <v>0</v>
      </c>
    </row>
    <row r="44" spans="2:12" ht="18.75" x14ac:dyDescent="0.25">
      <c r="B44" s="8" t="s">
        <v>125</v>
      </c>
      <c r="C44" s="4"/>
      <c r="D44" s="5">
        <f>Income_Statement!D31</f>
        <v>1134.8</v>
      </c>
      <c r="E44" s="5">
        <f>Income_Statement!E31+D44</f>
        <v>2297.8999999999996</v>
      </c>
      <c r="F44" s="5">
        <f>Income_Statement!F31+E44</f>
        <v>3526.7</v>
      </c>
      <c r="G44" s="5">
        <f>Income_Statement!G31+F44</f>
        <v>4691.8999999999996</v>
      </c>
      <c r="H44" s="28">
        <f>Income_Statement!H31+G44</f>
        <v>7022.87256742728</v>
      </c>
      <c r="I44" s="28">
        <f>Income_Statement!I31+H44</f>
        <v>9847.3365697070858</v>
      </c>
      <c r="J44" s="28">
        <f>Income_Statement!J31+I44</f>
        <v>13185.399959696297</v>
      </c>
      <c r="K44" s="28">
        <f>Income_Statement!K31+J44</f>
        <v>17138.997700246298</v>
      </c>
      <c r="L44" s="28">
        <f>Income_Statement!L31+K44</f>
        <v>21797.138378081298</v>
      </c>
    </row>
    <row r="45" spans="2:12" x14ac:dyDescent="0.25">
      <c r="B45" s="17" t="s">
        <v>222</v>
      </c>
      <c r="C45" s="18">
        <f>C44/Balance_Sheet!C74</f>
        <v>0</v>
      </c>
      <c r="D45" s="18">
        <f>D44/Balance_Sheet!D74</f>
        <v>4.7136969239872456E-2</v>
      </c>
      <c r="E45" s="18">
        <f>E44/Balance_Sheet!E74</f>
        <v>7.9162160615101659E-2</v>
      </c>
      <c r="F45" s="18">
        <f>F44/Balance_Sheet!F74</f>
        <v>0.10296641839784987</v>
      </c>
      <c r="G45" s="18">
        <f>G44/Balance_Sheet!G74</f>
        <v>0.11203816139651986</v>
      </c>
      <c r="H45" s="25">
        <f>H44/Balance_Sheet!H74</f>
        <v>0.14736687871301127</v>
      </c>
      <c r="I45" s="25">
        <f>I44/Balance_Sheet!I74</f>
        <v>0.17053177302782715</v>
      </c>
      <c r="J45" s="25">
        <f>J44/Balance_Sheet!J74</f>
        <v>0.19320626625798495</v>
      </c>
      <c r="K45" s="25">
        <f>K44/Balance_Sheet!K74</f>
        <v>0.21203886189508608</v>
      </c>
      <c r="L45" s="25">
        <f>L44/Balance_Sheet!L74</f>
        <v>0.22888080456795587</v>
      </c>
    </row>
    <row r="46" spans="2:12" ht="18.75" x14ac:dyDescent="0.25">
      <c r="B46" s="9" t="s">
        <v>126</v>
      </c>
      <c r="C46" s="7">
        <f>C40+C42-C44</f>
        <v>6434.9</v>
      </c>
      <c r="D46" s="7">
        <f t="shared" ref="D46:L46" si="34">D40+D42-D44</f>
        <v>5590.3</v>
      </c>
      <c r="E46" s="7">
        <f t="shared" si="34"/>
        <v>4061.1000000000004</v>
      </c>
      <c r="F46" s="7">
        <f t="shared" si="34"/>
        <v>4119.0999999999995</v>
      </c>
      <c r="G46" s="7">
        <f t="shared" si="34"/>
        <v>4175.7000000000007</v>
      </c>
      <c r="H46" s="29">
        <f t="shared" si="34"/>
        <v>3068.2174325727201</v>
      </c>
      <c r="I46" s="29">
        <f t="shared" si="34"/>
        <v>2380.1434302929138</v>
      </c>
      <c r="J46" s="29">
        <f t="shared" si="34"/>
        <v>1265.5200403037034</v>
      </c>
      <c r="K46" s="29">
        <f t="shared" si="34"/>
        <v>-23.347700246296881</v>
      </c>
      <c r="L46" s="29">
        <f t="shared" si="34"/>
        <v>-1631.4283780812984</v>
      </c>
    </row>
    <row r="47" spans="2:12" x14ac:dyDescent="0.25">
      <c r="B47" s="19" t="s">
        <v>223</v>
      </c>
      <c r="C47" s="20">
        <f>C46/Balance_Sheet!C74</f>
        <v>0.28543356857387447</v>
      </c>
      <c r="D47" s="20">
        <f>D46/Balance_Sheet!D74</f>
        <v>0.23220814164756698</v>
      </c>
      <c r="E47" s="20">
        <f>E46/Balance_Sheet!E74</f>
        <v>0.13990402126898013</v>
      </c>
      <c r="F47" s="20">
        <f>F46/Balance_Sheet!F74</f>
        <v>0.12026227748960312</v>
      </c>
      <c r="G47" s="20">
        <f>G46/Balance_Sheet!G74</f>
        <v>9.9711790648446916E-2</v>
      </c>
      <c r="H47" s="27">
        <f>H46/Balance_Sheet!H74</f>
        <v>6.4383003095944025E-2</v>
      </c>
      <c r="I47" s="27">
        <f>I46/Balance_Sheet!I74</f>
        <v>4.1218260019364662E-2</v>
      </c>
      <c r="J47" s="27">
        <f>J46/Balance_Sheet!J74</f>
        <v>1.8543722800151218E-2</v>
      </c>
      <c r="K47" s="27">
        <f>K46/Balance_Sheet!K74</f>
        <v>-2.8885118457196992E-4</v>
      </c>
      <c r="L47" s="27">
        <f>L46/Balance_Sheet!L74</f>
        <v>-1.7130810168445233E-2</v>
      </c>
    </row>
    <row r="48" spans="2:12" ht="18.75" x14ac:dyDescent="0.25">
      <c r="B48" s="8" t="s">
        <v>30</v>
      </c>
      <c r="C48" s="4">
        <v>465.3</v>
      </c>
      <c r="D48" s="4">
        <v>334.2</v>
      </c>
      <c r="E48" s="4">
        <v>309.10000000000002</v>
      </c>
      <c r="F48" s="4">
        <v>833.3</v>
      </c>
      <c r="G48" s="4">
        <v>598.6</v>
      </c>
      <c r="H48" s="24">
        <f>H74*H49</f>
        <v>681.19090594997522</v>
      </c>
      <c r="I48" s="24">
        <f t="shared" ref="I48:L48" si="35">I74*I49</f>
        <v>825.405603327873</v>
      </c>
      <c r="J48" s="24">
        <f t="shared" si="35"/>
        <v>975.49722585070447</v>
      </c>
      <c r="K48" s="24">
        <f t="shared" si="35"/>
        <v>1155.3774698333414</v>
      </c>
      <c r="L48" s="24">
        <f t="shared" si="35"/>
        <v>1361.2692940031238</v>
      </c>
    </row>
    <row r="49" spans="2:12" x14ac:dyDescent="0.25">
      <c r="B49" s="17" t="s">
        <v>224</v>
      </c>
      <c r="C49" s="18">
        <f>C48/Balance_Sheet!C74</f>
        <v>2.0639363386754078E-2</v>
      </c>
      <c r="D49" s="18">
        <f>D48/Balance_Sheet!D74</f>
        <v>1.3881895593906745E-2</v>
      </c>
      <c r="E49" s="18">
        <f>E48/Balance_Sheet!E74</f>
        <v>1.0648428498249676E-2</v>
      </c>
      <c r="F49" s="18">
        <f>F48/Balance_Sheet!F74</f>
        <v>2.4329235957390276E-2</v>
      </c>
      <c r="G49" s="18">
        <f>G48/Balance_Sheet!G74</f>
        <v>1.4294005288253541E-2</v>
      </c>
      <c r="H49" s="25">
        <f>MEDIAN(C49:G49)</f>
        <v>1.4294005288253541E-2</v>
      </c>
      <c r="I49" s="25">
        <f t="shared" ref="I49:L49" si="36">H49</f>
        <v>1.4294005288253541E-2</v>
      </c>
      <c r="J49" s="25">
        <f t="shared" si="36"/>
        <v>1.4294005288253541E-2</v>
      </c>
      <c r="K49" s="25">
        <f t="shared" si="36"/>
        <v>1.4294005288253541E-2</v>
      </c>
      <c r="L49" s="25">
        <f t="shared" si="36"/>
        <v>1.4294005288253541E-2</v>
      </c>
    </row>
    <row r="50" spans="2:12" ht="18.75" x14ac:dyDescent="0.25">
      <c r="B50" s="8" t="s">
        <v>36</v>
      </c>
      <c r="C50" s="5">
        <v>1833</v>
      </c>
      <c r="D50" s="5">
        <v>2252.9</v>
      </c>
      <c r="E50" s="5">
        <v>2368.6999999999998</v>
      </c>
      <c r="F50" s="5">
        <v>1974.4</v>
      </c>
      <c r="G50" s="5">
        <v>2017.3</v>
      </c>
      <c r="H50" s="28">
        <f>H74*H51</f>
        <v>3874.7225737605127</v>
      </c>
      <c r="I50" s="28">
        <f t="shared" ref="I50:L50" si="37">I74*I51</f>
        <v>4695.0387854382097</v>
      </c>
      <c r="J50" s="28">
        <f t="shared" si="37"/>
        <v>5548.7838851478418</v>
      </c>
      <c r="K50" s="28">
        <f t="shared" si="37"/>
        <v>6571.9714172260474</v>
      </c>
      <c r="L50" s="28">
        <f t="shared" si="37"/>
        <v>7743.1169681943593</v>
      </c>
    </row>
    <row r="51" spans="2:12" x14ac:dyDescent="0.25">
      <c r="B51" s="17" t="s">
        <v>225</v>
      </c>
      <c r="C51" s="18">
        <f>C50/Balance_Sheet!C74</f>
        <v>8.1306583038728189E-2</v>
      </c>
      <c r="D51" s="18">
        <f>D50/Balance_Sheet!D74</f>
        <v>9.3580259076937483E-2</v>
      </c>
      <c r="E51" s="18">
        <f>E50/Balance_Sheet!E74</f>
        <v>8.1601205382736991E-2</v>
      </c>
      <c r="F51" s="18">
        <f>F50/Balance_Sheet!F74</f>
        <v>5.7645077972244531E-2</v>
      </c>
      <c r="G51" s="18">
        <f>G50/Balance_Sheet!G74</f>
        <v>4.8171227644493594E-2</v>
      </c>
      <c r="H51" s="25">
        <f>MEDIAN(C51:G51)</f>
        <v>8.1306583038728189E-2</v>
      </c>
      <c r="I51" s="25">
        <f t="shared" ref="I51:L51" si="38">H51</f>
        <v>8.1306583038728189E-2</v>
      </c>
      <c r="J51" s="25">
        <f t="shared" si="38"/>
        <v>8.1306583038728189E-2</v>
      </c>
      <c r="K51" s="25">
        <f t="shared" si="38"/>
        <v>8.1306583038728189E-2</v>
      </c>
      <c r="L51" s="25">
        <f t="shared" si="38"/>
        <v>8.1306583038728189E-2</v>
      </c>
    </row>
    <row r="52" spans="2:12" ht="18.75" x14ac:dyDescent="0.25">
      <c r="B52" s="8" t="s">
        <v>28</v>
      </c>
      <c r="C52" s="4">
        <v>4003.6000000000004</v>
      </c>
      <c r="D52" s="4">
        <v>472.5</v>
      </c>
      <c r="E52" s="4">
        <v>436.4</v>
      </c>
      <c r="F52" s="4">
        <v>953.9</v>
      </c>
      <c r="G52" s="4">
        <v>0</v>
      </c>
      <c r="H52" s="24">
        <f>H74*H53</f>
        <v>935.3174651569384</v>
      </c>
      <c r="I52" s="24">
        <f t="shared" ref="I52:L52" si="39">I74*I53</f>
        <v>1133.3332108336372</v>
      </c>
      <c r="J52" s="24">
        <f t="shared" si="39"/>
        <v>1339.4183401169928</v>
      </c>
      <c r="K52" s="24">
        <f t="shared" si="39"/>
        <v>1586.4050986953687</v>
      </c>
      <c r="L52" s="24">
        <f t="shared" si="39"/>
        <v>1869.1073740736033</v>
      </c>
    </row>
    <row r="53" spans="2:12" x14ac:dyDescent="0.25">
      <c r="B53" s="17" t="s">
        <v>226</v>
      </c>
      <c r="C53" s="18">
        <f>C52/Balance_Sheet!C74</f>
        <v>0.17758812648873551</v>
      </c>
      <c r="D53" s="18">
        <f>D52/Balance_Sheet!D74</f>
        <v>1.9626557953683236E-2</v>
      </c>
      <c r="E53" s="18">
        <f>E52/Balance_Sheet!E74</f>
        <v>1.5033886110113743E-2</v>
      </c>
      <c r="F53" s="18">
        <f>F52/Balance_Sheet!F74</f>
        <v>2.7850303827858618E-2</v>
      </c>
      <c r="G53" s="18">
        <f>G52/Balance_Sheet!G74</f>
        <v>0</v>
      </c>
      <c r="H53" s="25">
        <f>MEDIAN(C53:G53)</f>
        <v>1.9626557953683236E-2</v>
      </c>
      <c r="I53" s="25">
        <f t="shared" ref="I53:L53" si="40">H53</f>
        <v>1.9626557953683236E-2</v>
      </c>
      <c r="J53" s="25">
        <f t="shared" si="40"/>
        <v>1.9626557953683236E-2</v>
      </c>
      <c r="K53" s="25">
        <f t="shared" si="40"/>
        <v>1.9626557953683236E-2</v>
      </c>
      <c r="L53" s="25">
        <f t="shared" si="40"/>
        <v>1.9626557953683236E-2</v>
      </c>
    </row>
    <row r="54" spans="2:12" ht="18.75" x14ac:dyDescent="0.25">
      <c r="B54" s="9" t="s">
        <v>127</v>
      </c>
      <c r="C54" s="7">
        <f>C46+C48+C50+C52</f>
        <v>12736.800000000001</v>
      </c>
      <c r="D54" s="7">
        <f t="shared" ref="D54:L54" si="41">D46+D48+D50+D52</f>
        <v>8649.9</v>
      </c>
      <c r="E54" s="7">
        <f t="shared" si="41"/>
        <v>7175.3</v>
      </c>
      <c r="F54" s="7">
        <f t="shared" si="41"/>
        <v>7880.6999999999989</v>
      </c>
      <c r="G54" s="7">
        <f t="shared" si="41"/>
        <v>6791.6000000000013</v>
      </c>
      <c r="H54" s="29">
        <f t="shared" si="41"/>
        <v>8559.4483774401469</v>
      </c>
      <c r="I54" s="29">
        <f t="shared" si="41"/>
        <v>9033.9210298926337</v>
      </c>
      <c r="J54" s="29">
        <f t="shared" si="41"/>
        <v>9129.2194914192423</v>
      </c>
      <c r="K54" s="29">
        <f t="shared" si="41"/>
        <v>9290.4062855084594</v>
      </c>
      <c r="L54" s="29">
        <f t="shared" si="41"/>
        <v>9342.0652581897884</v>
      </c>
    </row>
    <row r="55" spans="2:12" x14ac:dyDescent="0.25">
      <c r="B55" s="19" t="s">
        <v>227</v>
      </c>
      <c r="C55" s="20">
        <f>C54/Balance_Sheet!C74</f>
        <v>0.56496764148809231</v>
      </c>
      <c r="D55" s="20">
        <f>D54/Balance_Sheet!D74</f>
        <v>0.3592968542720944</v>
      </c>
      <c r="E55" s="20">
        <f>E54/Balance_Sheet!E74</f>
        <v>0.24718754126008055</v>
      </c>
      <c r="F55" s="20">
        <f>F54/Balance_Sheet!F74</f>
        <v>0.23008689524709652</v>
      </c>
      <c r="G55" s="20">
        <f>G54/Balance_Sheet!G74</f>
        <v>0.16217702358119407</v>
      </c>
      <c r="H55" s="27">
        <f>H54/Balance_Sheet!H74</f>
        <v>0.17961014937660899</v>
      </c>
      <c r="I55" s="27">
        <f>I54/Balance_Sheet!I74</f>
        <v>0.15644540630002962</v>
      </c>
      <c r="J55" s="27">
        <f>J54/Balance_Sheet!J74</f>
        <v>0.13377086908081617</v>
      </c>
      <c r="K55" s="27">
        <f>K54/Balance_Sheet!K74</f>
        <v>0.11493829509609298</v>
      </c>
      <c r="L55" s="27">
        <f>L54/Balance_Sheet!L74</f>
        <v>9.809633611221974E-2</v>
      </c>
    </row>
    <row r="56" spans="2:12" ht="18.75" x14ac:dyDescent="0.25">
      <c r="B56" s="8" t="s">
        <v>31</v>
      </c>
      <c r="C56" s="5">
        <v>540.5</v>
      </c>
      <c r="D56" s="5">
        <v>431.7</v>
      </c>
      <c r="E56" s="5">
        <v>1219.9000000000001</v>
      </c>
      <c r="F56" s="4">
        <v>1068.5999999999999</v>
      </c>
      <c r="G56" s="4">
        <v>1277</v>
      </c>
      <c r="H56" s="24">
        <f>H74*H57</f>
        <v>1453.1920930473075</v>
      </c>
      <c r="I56" s="24">
        <f t="shared" ref="I56:L56" si="42">I74*I57</f>
        <v>1760.8469018538151</v>
      </c>
      <c r="J56" s="24">
        <f t="shared" si="42"/>
        <v>2081.0390200657357</v>
      </c>
      <c r="K56" s="24">
        <f t="shared" si="42"/>
        <v>2464.7795338743349</v>
      </c>
      <c r="L56" s="24">
        <f t="shared" si="42"/>
        <v>2904.0108393618261</v>
      </c>
    </row>
    <row r="57" spans="2:12" x14ac:dyDescent="0.25">
      <c r="B57" s="17" t="s">
        <v>228</v>
      </c>
      <c r="C57" s="18">
        <f>C56/Balance_Sheet!C74</f>
        <v>2.3975018075522412E-2</v>
      </c>
      <c r="D57" s="18">
        <f>D56/Balance_Sheet!D74</f>
        <v>1.7931820251015983E-2</v>
      </c>
      <c r="E57" s="18">
        <f>E56/Balance_Sheet!E74</f>
        <v>4.2025292542914199E-2</v>
      </c>
      <c r="F57" s="18">
        <f>F56/Balance_Sheet!F74</f>
        <v>3.1199113817433396E-2</v>
      </c>
      <c r="G57" s="18">
        <f>G56/Balance_Sheet!G74</f>
        <v>3.0493559560808171E-2</v>
      </c>
      <c r="H57" s="25">
        <f>MEDIAN(C57:G57)</f>
        <v>3.0493559560808171E-2</v>
      </c>
      <c r="I57" s="25">
        <f t="shared" ref="I57:L57" si="43">H57</f>
        <v>3.0493559560808171E-2</v>
      </c>
      <c r="J57" s="25">
        <f t="shared" si="43"/>
        <v>3.0493559560808171E-2</v>
      </c>
      <c r="K57" s="25">
        <f t="shared" si="43"/>
        <v>3.0493559560808171E-2</v>
      </c>
      <c r="L57" s="25">
        <f t="shared" si="43"/>
        <v>3.0493559560808171E-2</v>
      </c>
    </row>
    <row r="58" spans="2:12" ht="18.75" x14ac:dyDescent="0.25">
      <c r="B58" s="8" t="s">
        <v>32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24">
        <f>ROUND(H74*H59,2)</f>
        <v>0</v>
      </c>
      <c r="I58" s="24">
        <f t="shared" ref="I58:L58" si="44">ROUND(I74*I59,2)</f>
        <v>0</v>
      </c>
      <c r="J58" s="24">
        <f t="shared" si="44"/>
        <v>0</v>
      </c>
      <c r="K58" s="24">
        <f t="shared" si="44"/>
        <v>0</v>
      </c>
      <c r="L58" s="24">
        <f t="shared" si="44"/>
        <v>0</v>
      </c>
    </row>
    <row r="59" spans="2:12" x14ac:dyDescent="0.25">
      <c r="B59" s="17" t="s">
        <v>229</v>
      </c>
      <c r="C59" s="18">
        <f>C58/Balance_Sheet!C74</f>
        <v>0</v>
      </c>
      <c r="D59" s="18">
        <f>D58/Balance_Sheet!D74</f>
        <v>0</v>
      </c>
      <c r="E59" s="18">
        <f>E58/Balance_Sheet!E74</f>
        <v>0</v>
      </c>
      <c r="F59" s="18">
        <f>F58/Balance_Sheet!F74</f>
        <v>0</v>
      </c>
      <c r="G59" s="18">
        <f>G58/Balance_Sheet!G74</f>
        <v>0</v>
      </c>
      <c r="H59" s="25">
        <f>G59</f>
        <v>0</v>
      </c>
      <c r="I59" s="25">
        <f t="shared" ref="I59:L59" si="45">H59</f>
        <v>0</v>
      </c>
      <c r="J59" s="25">
        <f t="shared" si="45"/>
        <v>0</v>
      </c>
      <c r="K59" s="25">
        <f t="shared" si="45"/>
        <v>0</v>
      </c>
      <c r="L59" s="25">
        <f t="shared" si="45"/>
        <v>0</v>
      </c>
    </row>
    <row r="60" spans="2:12" ht="18.75" x14ac:dyDescent="0.25">
      <c r="B60" s="8" t="s">
        <v>33</v>
      </c>
      <c r="C60" s="4">
        <v>601.6</v>
      </c>
      <c r="D60" s="4">
        <v>465.1</v>
      </c>
      <c r="E60" s="4">
        <v>711.8</v>
      </c>
      <c r="F60" s="4">
        <v>393.8</v>
      </c>
      <c r="G60" s="4">
        <v>345.6</v>
      </c>
      <c r="H60" s="24"/>
      <c r="I60" s="24"/>
      <c r="J60" s="24"/>
      <c r="K60" s="24"/>
      <c r="L60" s="24"/>
    </row>
    <row r="61" spans="2:12" x14ac:dyDescent="0.25">
      <c r="B61" s="17" t="s">
        <v>230</v>
      </c>
      <c r="C61" s="18">
        <f>C60/Balance_Sheet!C74</f>
        <v>2.6685237510146686E-2</v>
      </c>
      <c r="D61" s="18">
        <f>D60/Balance_Sheet!D74</f>
        <v>1.9319179056630841E-2</v>
      </c>
      <c r="E61" s="18">
        <f>E60/Balance_Sheet!E74</f>
        <v>2.4521356858796889E-2</v>
      </c>
      <c r="F61" s="18">
        <f>F60/Balance_Sheet!F74</f>
        <v>1.1497483643370086E-2</v>
      </c>
      <c r="G61" s="18">
        <f>G60/Balance_Sheet!G74</f>
        <v>8.2526031199806615E-3</v>
      </c>
      <c r="H61" s="25"/>
      <c r="I61" s="25"/>
      <c r="J61" s="25"/>
      <c r="K61" s="25"/>
      <c r="L61" s="25"/>
    </row>
    <row r="62" spans="2:12" ht="18.75" x14ac:dyDescent="0.25">
      <c r="B62" s="8" t="s">
        <v>40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24">
        <f>ROUND(H74*H63,2)</f>
        <v>0</v>
      </c>
      <c r="I62" s="24">
        <f t="shared" ref="I62:L62" si="46">ROUND(I74*I63,2)</f>
        <v>0</v>
      </c>
      <c r="J62" s="24">
        <f t="shared" si="46"/>
        <v>0</v>
      </c>
      <c r="K62" s="24">
        <f t="shared" si="46"/>
        <v>0</v>
      </c>
      <c r="L62" s="24">
        <f t="shared" si="46"/>
        <v>0</v>
      </c>
    </row>
    <row r="63" spans="2:12" x14ac:dyDescent="0.25">
      <c r="B63" s="17" t="s">
        <v>231</v>
      </c>
      <c r="C63" s="18">
        <f>C62/Balance_Sheet!C74</f>
        <v>0</v>
      </c>
      <c r="D63" s="18">
        <f>D62/Balance_Sheet!D74</f>
        <v>0</v>
      </c>
      <c r="E63" s="18">
        <f>E62/Balance_Sheet!E74</f>
        <v>0</v>
      </c>
      <c r="F63" s="18">
        <f>F62/Balance_Sheet!F74</f>
        <v>0</v>
      </c>
      <c r="G63" s="18">
        <f>G62/Balance_Sheet!G74</f>
        <v>0</v>
      </c>
      <c r="H63" s="25">
        <f>G63</f>
        <v>0</v>
      </c>
      <c r="I63" s="25">
        <f t="shared" ref="I63:L63" si="47">H63</f>
        <v>0</v>
      </c>
      <c r="J63" s="25">
        <f t="shared" si="47"/>
        <v>0</v>
      </c>
      <c r="K63" s="25">
        <f t="shared" si="47"/>
        <v>0</v>
      </c>
      <c r="L63" s="25">
        <f t="shared" si="47"/>
        <v>0</v>
      </c>
    </row>
    <row r="64" spans="2:12" ht="18.75" x14ac:dyDescent="0.25">
      <c r="B64" s="8" t="s">
        <v>41</v>
      </c>
      <c r="C64" s="5">
        <v>1440</v>
      </c>
      <c r="D64" s="5">
        <v>1289.5999999999999</v>
      </c>
      <c r="E64" s="5">
        <v>1490.6</v>
      </c>
      <c r="F64" s="5">
        <v>1587.7</v>
      </c>
      <c r="G64" s="5">
        <v>1909.5</v>
      </c>
      <c r="H64" s="28">
        <f>H74*H65</f>
        <v>2447.1609498151302</v>
      </c>
      <c r="I64" s="28">
        <f t="shared" ref="I64:L64" si="48">I74*I65</f>
        <v>2965.248570671471</v>
      </c>
      <c r="J64" s="28">
        <f t="shared" si="48"/>
        <v>3504.4488951679341</v>
      </c>
      <c r="K64" s="28">
        <f t="shared" si="48"/>
        <v>4150.6640822359977</v>
      </c>
      <c r="L64" s="28">
        <f t="shared" si="48"/>
        <v>4890.3252074705388</v>
      </c>
    </row>
    <row r="65" spans="2:12" x14ac:dyDescent="0.25">
      <c r="B65" s="17" t="s">
        <v>232</v>
      </c>
      <c r="C65" s="18">
        <f>C64/Balance_Sheet!C74</f>
        <v>6.3874238721095794E-2</v>
      </c>
      <c r="D65" s="18">
        <f>D64/Balance_Sheet!D74</f>
        <v>5.3567003464698199E-2</v>
      </c>
      <c r="E65" s="18">
        <f>E64/Balance_Sheet!E74</f>
        <v>5.1350849302785391E-2</v>
      </c>
      <c r="F65" s="18">
        <f>F64/Balance_Sheet!F74</f>
        <v>4.6354887710966693E-2</v>
      </c>
      <c r="G65" s="18">
        <f>G64/Balance_Sheet!G74</f>
        <v>4.5597064981490375E-2</v>
      </c>
      <c r="H65" s="25">
        <f>MEDIAN(C65:G65)</f>
        <v>5.1350849302785391E-2</v>
      </c>
      <c r="I65" s="25">
        <f t="shared" ref="I65:L65" si="49">H65</f>
        <v>5.1350849302785391E-2</v>
      </c>
      <c r="J65" s="25">
        <f t="shared" si="49"/>
        <v>5.1350849302785391E-2</v>
      </c>
      <c r="K65" s="25">
        <f t="shared" si="49"/>
        <v>5.1350849302785391E-2</v>
      </c>
      <c r="L65" s="25">
        <f t="shared" si="49"/>
        <v>5.1350849302785391E-2</v>
      </c>
    </row>
    <row r="66" spans="2:12" ht="18.75" x14ac:dyDescent="0.25">
      <c r="B66" s="8" t="s">
        <v>37</v>
      </c>
      <c r="C66" s="5">
        <v>2908.9</v>
      </c>
      <c r="D66" s="5">
        <v>3357.9</v>
      </c>
      <c r="E66" s="5">
        <v>3506.7</v>
      </c>
      <c r="F66" s="5">
        <v>4541.2</v>
      </c>
      <c r="G66" s="5">
        <v>5088.3999999999996</v>
      </c>
      <c r="H66" s="28">
        <f>H74*H67</f>
        <v>6149.0346398319443</v>
      </c>
      <c r="I66" s="28">
        <f t="shared" ref="I66:L66" si="50">I74*I67</f>
        <v>7450.8446933776358</v>
      </c>
      <c r="J66" s="28">
        <f t="shared" si="50"/>
        <v>8805.7050973849182</v>
      </c>
      <c r="K66" s="28">
        <f t="shared" si="50"/>
        <v>10429.464078324521</v>
      </c>
      <c r="L66" s="28">
        <f t="shared" si="50"/>
        <v>12288.026704190162</v>
      </c>
    </row>
    <row r="67" spans="2:12" x14ac:dyDescent="0.25">
      <c r="B67" s="17" t="s">
        <v>233</v>
      </c>
      <c r="C67" s="18">
        <f>C66/Balance_Sheet!C74</f>
        <v>0.12903039792763579</v>
      </c>
      <c r="D67" s="18">
        <f>D66/Balance_Sheet!D74</f>
        <v>0.1394794051908422</v>
      </c>
      <c r="E67" s="18">
        <f>E66/Balance_Sheet!E74</f>
        <v>0.12080506054614083</v>
      </c>
      <c r="F67" s="18">
        <f>F66/Balance_Sheet!F74</f>
        <v>0.13258601503624232</v>
      </c>
      <c r="G67" s="18">
        <f>G66/Balance_Sheet!G74</f>
        <v>0.12150620866814119</v>
      </c>
      <c r="H67" s="25">
        <f>MEDIAN(C67:G67)</f>
        <v>0.12903039792763579</v>
      </c>
      <c r="I67" s="25">
        <f t="shared" ref="I67:L67" si="51">H67</f>
        <v>0.12903039792763579</v>
      </c>
      <c r="J67" s="25">
        <f t="shared" si="51"/>
        <v>0.12903039792763579</v>
      </c>
      <c r="K67" s="25">
        <f t="shared" si="51"/>
        <v>0.12903039792763579</v>
      </c>
      <c r="L67" s="25">
        <f t="shared" si="51"/>
        <v>0.12903039792763579</v>
      </c>
    </row>
    <row r="68" spans="2:12" ht="18.75" x14ac:dyDescent="0.25">
      <c r="B68" s="8" t="s">
        <v>38</v>
      </c>
      <c r="C68" s="5">
        <v>4052.7</v>
      </c>
      <c r="D68" s="5">
        <v>3986.9</v>
      </c>
      <c r="E68" s="5">
        <v>5027.8</v>
      </c>
      <c r="F68" s="5">
        <v>4964.1000000000004</v>
      </c>
      <c r="G68" s="5">
        <v>6676.4</v>
      </c>
      <c r="H68" s="28">
        <f>H69*H74</f>
        <v>6993.078791163337</v>
      </c>
      <c r="I68" s="28">
        <f t="shared" ref="I68:L68" si="52">I69*I74</f>
        <v>8473.5811478425949</v>
      </c>
      <c r="J68" s="28">
        <f t="shared" si="52"/>
        <v>10014.4157846937</v>
      </c>
      <c r="K68" s="28">
        <f t="shared" si="52"/>
        <v>11861.059226578762</v>
      </c>
      <c r="L68" s="28">
        <f t="shared" si="52"/>
        <v>13974.73651777468</v>
      </c>
    </row>
    <row r="69" spans="2:12" x14ac:dyDescent="0.25">
      <c r="B69" s="17" t="s">
        <v>234</v>
      </c>
      <c r="C69" s="18">
        <f>C68/Balance_Sheet!C74</f>
        <v>0.17976606060068395</v>
      </c>
      <c r="D69" s="18">
        <f>D68/Balance_Sheet!D74</f>
        <v>0.16560661144029565</v>
      </c>
      <c r="E69" s="18">
        <f>E68/Balance_Sheet!E74</f>
        <v>0.17320662828696123</v>
      </c>
      <c r="F69" s="18">
        <f>F68/Balance_Sheet!F74</f>
        <v>0.14493310958368066</v>
      </c>
      <c r="G69" s="18">
        <f>G68/Balance_Sheet!G74</f>
        <v>0.15942615587453379</v>
      </c>
      <c r="H69" s="25">
        <f>GROWTH(C69:G69,C4:G4,H4)</f>
        <v>0.14674169069045551</v>
      </c>
      <c r="I69" s="25">
        <f t="shared" ref="I69:L69" si="53">H69</f>
        <v>0.14674169069045551</v>
      </c>
      <c r="J69" s="25">
        <f t="shared" si="53"/>
        <v>0.14674169069045551</v>
      </c>
      <c r="K69" s="25">
        <f t="shared" si="53"/>
        <v>0.14674169069045551</v>
      </c>
      <c r="L69" s="25">
        <f t="shared" si="53"/>
        <v>0.14674169069045551</v>
      </c>
    </row>
    <row r="70" spans="2:12" ht="18.75" x14ac:dyDescent="0.25">
      <c r="B70" s="8" t="s">
        <v>39</v>
      </c>
      <c r="C70" s="5">
        <v>263.8</v>
      </c>
      <c r="D70" s="5">
        <f>CashFlow_Statement!D48+C70</f>
        <v>5893.4219368089916</v>
      </c>
      <c r="E70" s="5">
        <f>CashFlow_Statement!E48+D70</f>
        <v>9895.6574809097929</v>
      </c>
      <c r="F70" s="5">
        <f>CashFlow_Statement!F48+E70</f>
        <v>13814.872840225004</v>
      </c>
      <c r="G70" s="5">
        <f>CashFlow_Statement!G48+F70</f>
        <v>19789.195434457037</v>
      </c>
      <c r="H70" s="28">
        <f>CashFlow_Statement!H48+G70</f>
        <v>23958.180046996607</v>
      </c>
      <c r="I70" s="28">
        <f>CashFlow_Statement!I48+H70</f>
        <v>28376.813124915439</v>
      </c>
      <c r="J70" s="28">
        <f>CashFlow_Statement!J48+I70</f>
        <v>33558.682077777863</v>
      </c>
      <c r="K70" s="28">
        <f>CashFlow_Statement!K48+J70</f>
        <v>38998.486814360789</v>
      </c>
      <c r="L70" s="28">
        <f>CashFlow_Statement!L48+K70</f>
        <v>44847.114322606358</v>
      </c>
    </row>
    <row r="71" spans="2:12" x14ac:dyDescent="0.25">
      <c r="B71" s="17" t="s">
        <v>235</v>
      </c>
      <c r="C71" s="18">
        <f>C70/Balance_Sheet!C74</f>
        <v>1.1701405676822966E-2</v>
      </c>
      <c r="D71" s="18">
        <f>D70/Balance_Sheet!D74</f>
        <v>0.2447991263244228</v>
      </c>
      <c r="E71" s="18">
        <f>E70/Balance_Sheet!E74</f>
        <v>0.340903271202321</v>
      </c>
      <c r="F71" s="18">
        <f>F70/Balance_Sheet!F74</f>
        <v>0.40334249496121027</v>
      </c>
      <c r="G71" s="18">
        <f>G70/Balance_Sheet!G74</f>
        <v>0.47254738421385184</v>
      </c>
      <c r="H71" s="25">
        <f>H70/Balance_Sheet!H74</f>
        <v>0.50273476832623654</v>
      </c>
      <c r="I71" s="25">
        <f>I70/Balance_Sheet!I74</f>
        <v>0.49141696547243019</v>
      </c>
      <c r="J71" s="25">
        <f>J70/Balance_Sheet!J74</f>
        <v>0.491736897220034</v>
      </c>
      <c r="K71" s="25">
        <f>K70/Balance_Sheet!K74</f>
        <v>0.48247831666543428</v>
      </c>
      <c r="L71" s="25">
        <f>L70/Balance_Sheet!L74</f>
        <v>0.47091702730258989</v>
      </c>
    </row>
    <row r="72" spans="2:12" ht="18.75" x14ac:dyDescent="0.25">
      <c r="B72" s="9" t="s">
        <v>42</v>
      </c>
      <c r="C72" s="7">
        <f>C56+C58+C60+C62+C64+C66+C68+C70</f>
        <v>9807.5</v>
      </c>
      <c r="D72" s="7">
        <f t="shared" ref="D72:L72" si="54">D56+D58+D60+D62+D64+D66+D68+D70</f>
        <v>15424.621936808991</v>
      </c>
      <c r="E72" s="7">
        <f t="shared" si="54"/>
        <v>21852.45748090979</v>
      </c>
      <c r="F72" s="7">
        <f t="shared" si="54"/>
        <v>26370.272840225003</v>
      </c>
      <c r="G72" s="7">
        <f t="shared" si="54"/>
        <v>35086.095434457035</v>
      </c>
      <c r="H72" s="29">
        <f t="shared" si="54"/>
        <v>41000.646520854323</v>
      </c>
      <c r="I72" s="29">
        <f t="shared" si="54"/>
        <v>49027.334438660953</v>
      </c>
      <c r="J72" s="29">
        <f t="shared" si="54"/>
        <v>57964.290875090148</v>
      </c>
      <c r="K72" s="29">
        <f t="shared" si="54"/>
        <v>67904.453735374409</v>
      </c>
      <c r="L72" s="29">
        <f t="shared" si="54"/>
        <v>78904.213591403561</v>
      </c>
    </row>
    <row r="73" spans="2:12" x14ac:dyDescent="0.25">
      <c r="B73" s="19" t="s">
        <v>236</v>
      </c>
      <c r="C73" s="20">
        <f>C72/Balance_Sheet!C74</f>
        <v>0.43503235851190764</v>
      </c>
      <c r="D73" s="20">
        <f>D72/Balance_Sheet!D74</f>
        <v>0.64070314572790565</v>
      </c>
      <c r="E73" s="20">
        <f>E72/Balance_Sheet!E74</f>
        <v>0.75281245873991953</v>
      </c>
      <c r="F73" s="20">
        <f>F72/Balance_Sheet!F74</f>
        <v>0.76991310475290342</v>
      </c>
      <c r="G73" s="20">
        <f>G72/Balance_Sheet!G74</f>
        <v>0.83782297641880599</v>
      </c>
      <c r="H73" s="27">
        <f>H72/Balance_Sheet!H74</f>
        <v>0.86035126580792132</v>
      </c>
      <c r="I73" s="27">
        <f>I72/Balance_Sheet!I74</f>
        <v>0.84903346295411497</v>
      </c>
      <c r="J73" s="27">
        <f>J72/Balance_Sheet!J74</f>
        <v>0.84935339470171878</v>
      </c>
      <c r="K73" s="27">
        <f>K72/Balance_Sheet!K74</f>
        <v>0.84009481414711917</v>
      </c>
      <c r="L73" s="27">
        <f>L72/Balance_Sheet!L74</f>
        <v>0.82853352478427467</v>
      </c>
    </row>
    <row r="74" spans="2:12" ht="18.75" x14ac:dyDescent="0.25">
      <c r="B74" s="9" t="s">
        <v>43</v>
      </c>
      <c r="C74" s="7">
        <f>C54+C72</f>
        <v>22544.300000000003</v>
      </c>
      <c r="D74" s="7">
        <f t="shared" ref="D74:G74" si="55">D54+D72</f>
        <v>24074.521936808989</v>
      </c>
      <c r="E74" s="7">
        <f t="shared" si="55"/>
        <v>29027.75748090979</v>
      </c>
      <c r="F74" s="7">
        <f t="shared" si="55"/>
        <v>34250.972840225004</v>
      </c>
      <c r="G74" s="7">
        <f t="shared" si="55"/>
        <v>41877.695434457033</v>
      </c>
      <c r="H74" s="29">
        <f>Income_Statement!H5/H80</f>
        <v>47655.705466246116</v>
      </c>
      <c r="I74" s="29">
        <f>Income_Statement!I5/I80</f>
        <v>57744.878827362045</v>
      </c>
      <c r="J74" s="29">
        <f>Income_Statement!J5/J80</f>
        <v>68245.198331663123</v>
      </c>
      <c r="K74" s="29">
        <f>Income_Statement!K5/K80</f>
        <v>80829.511850174138</v>
      </c>
      <c r="L74" s="29">
        <f>Income_Statement!L5/L80</f>
        <v>95233.579850553244</v>
      </c>
    </row>
    <row r="75" spans="2:12" x14ac:dyDescent="0.25">
      <c r="B75" s="19" t="s">
        <v>237</v>
      </c>
      <c r="C75" s="20">
        <f>C74/Balance_Sheet!C74</f>
        <v>1</v>
      </c>
      <c r="D75" s="20">
        <f>D74/Balance_Sheet!D74</f>
        <v>1</v>
      </c>
      <c r="E75" s="20">
        <f>E74/Balance_Sheet!E74</f>
        <v>1</v>
      </c>
      <c r="F75" s="20">
        <f>F74/Balance_Sheet!F74</f>
        <v>1</v>
      </c>
      <c r="G75" s="20">
        <f>G74/Balance_Sheet!G74</f>
        <v>1</v>
      </c>
      <c r="H75" s="27">
        <f>H74/Balance_Sheet!H74</f>
        <v>1</v>
      </c>
      <c r="I75" s="27">
        <f>I74/Balance_Sheet!I74</f>
        <v>1</v>
      </c>
      <c r="J75" s="27">
        <f>J74/Balance_Sheet!J74</f>
        <v>1</v>
      </c>
      <c r="K75" s="27">
        <f>K74/Balance_Sheet!K74</f>
        <v>1</v>
      </c>
      <c r="L75" s="27">
        <f>L74/Balance_Sheet!L74</f>
        <v>1</v>
      </c>
    </row>
    <row r="80" spans="2:12" x14ac:dyDescent="0.25">
      <c r="B80" t="s">
        <v>265</v>
      </c>
      <c r="C80">
        <f>Income_Statement!C5/C74</f>
        <v>0.62999516507498554</v>
      </c>
      <c r="D80">
        <f>Income_Statement!D5/D74</f>
        <v>0.63906149581632155</v>
      </c>
      <c r="E80">
        <f>Income_Statement!E5/E74</f>
        <v>0.60149324354396416</v>
      </c>
      <c r="F80">
        <f>Income_Statement!F5/F74</f>
        <v>0.55391711320148784</v>
      </c>
      <c r="G80">
        <f>Income_Statement!G5/G74</f>
        <v>0.51194555425224941</v>
      </c>
      <c r="H80">
        <f>GROWTH(C80:G80,C4:G4,H4)</f>
        <v>0.49506065384234504</v>
      </c>
      <c r="I80">
        <f t="shared" ref="I80:L80" si="56">GROWTH(D80:H80,D4:H4,I4)</f>
        <v>0.45591873337887001</v>
      </c>
      <c r="J80">
        <f t="shared" si="56"/>
        <v>0.42682232879466159</v>
      </c>
      <c r="K80">
        <f t="shared" si="56"/>
        <v>0.40204328702603576</v>
      </c>
      <c r="L80">
        <f t="shared" si="56"/>
        <v>0.37771475775858643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8AEA3CD6-D395-496F-9FA5-A21C15F955EA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2E6EB-2DCA-4F94-B18A-3720440D28C8}">
  <dimension ref="B1:O48"/>
  <sheetViews>
    <sheetView showGridLines="0" topLeftCell="A37" workbookViewId="0">
      <selection activeCell="H48" sqref="H48:L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6" width="14.85546875" bestFit="1" customWidth="1"/>
    <col min="7" max="7" width="13.7109375" bestFit="1" customWidth="1"/>
    <col min="8" max="12" width="19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143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129</v>
      </c>
      <c r="C5" s="4"/>
      <c r="D5" s="5">
        <f>Income_Statement!D45</f>
        <v>3846.9219368089912</v>
      </c>
      <c r="E5" s="5">
        <f>Income_Statement!E45</f>
        <v>6019.935544100802</v>
      </c>
      <c r="F5" s="5">
        <f>Income_Statement!F45</f>
        <v>5221.1153593152112</v>
      </c>
      <c r="G5" s="5">
        <f>Income_Statement!G45</f>
        <v>6946.2225942320347</v>
      </c>
      <c r="H5" s="28">
        <f>Income_Statement!H45</f>
        <v>6139.306434141442</v>
      </c>
      <c r="I5" s="28">
        <f>Income_Statement!I45</f>
        <v>6617.0080424958551</v>
      </c>
      <c r="J5" s="28">
        <f>Income_Statement!J45</f>
        <v>7098.0572140905706</v>
      </c>
      <c r="K5" s="28">
        <f>Income_Statement!K45</f>
        <v>7678.4884725243164</v>
      </c>
      <c r="L5" s="28">
        <f>Income_Statement!L45</f>
        <v>8204.2093367632369</v>
      </c>
    </row>
    <row r="6" spans="2:15" ht="18.75" x14ac:dyDescent="0.25">
      <c r="B6" s="8" t="s">
        <v>130</v>
      </c>
      <c r="C6" s="4"/>
      <c r="D6" s="4"/>
      <c r="E6" s="4"/>
      <c r="F6" s="4"/>
      <c r="G6" s="4"/>
      <c r="H6" s="24"/>
      <c r="I6" s="24"/>
      <c r="J6" s="24"/>
      <c r="K6" s="24"/>
      <c r="L6" s="24"/>
    </row>
    <row r="7" spans="2:15" ht="18.75" x14ac:dyDescent="0.25">
      <c r="B7" s="8" t="s">
        <v>125</v>
      </c>
      <c r="C7" s="4"/>
      <c r="D7" s="5">
        <f>Income_Statement!D31</f>
        <v>1134.8</v>
      </c>
      <c r="E7" s="5">
        <f>Income_Statement!E31</f>
        <v>1163.0999999999999</v>
      </c>
      <c r="F7" s="5">
        <f>Income_Statement!F31</f>
        <v>1228.8</v>
      </c>
      <c r="G7" s="5">
        <f>Income_Statement!G31</f>
        <v>1165.2</v>
      </c>
      <c r="H7" s="28">
        <f>Income_Statement!H31</f>
        <v>2330.9725674272804</v>
      </c>
      <c r="I7" s="28">
        <f>Income_Statement!I31</f>
        <v>2824.4640022798053</v>
      </c>
      <c r="J7" s="28">
        <f>Income_Statement!J31</f>
        <v>3338.0633899892118</v>
      </c>
      <c r="K7" s="28">
        <f>Income_Statement!K31</f>
        <v>3953.5977405500034</v>
      </c>
      <c r="L7" s="28">
        <f>Income_Statement!L31</f>
        <v>4658.1406778349992</v>
      </c>
    </row>
    <row r="8" spans="2:15" ht="18.75" x14ac:dyDescent="0.25">
      <c r="B8" s="8" t="s">
        <v>131</v>
      </c>
      <c r="C8" s="4"/>
      <c r="D8" s="4">
        <f>Income_Statement!D35</f>
        <v>88.9</v>
      </c>
      <c r="E8" s="4">
        <f>Income_Statement!E35</f>
        <v>98.3</v>
      </c>
      <c r="F8" s="4">
        <f>Income_Statement!F35</f>
        <v>97</v>
      </c>
      <c r="G8" s="4">
        <f>Income_Statement!G35</f>
        <v>95.8</v>
      </c>
      <c r="H8" s="24">
        <f>Income_Statement!H35</f>
        <v>109.01778637111016</v>
      </c>
      <c r="I8" s="24">
        <f>Income_Statement!I35</f>
        <v>132.09793800621156</v>
      </c>
      <c r="J8" s="24">
        <f>Income_Statement!J35</f>
        <v>156.11852932220935</v>
      </c>
      <c r="K8" s="24">
        <f>Income_Statement!K35</f>
        <v>184.90665976493514</v>
      </c>
      <c r="L8" s="24">
        <f>Income_Statement!L35</f>
        <v>217.85763595396142</v>
      </c>
    </row>
    <row r="9" spans="2:15" ht="18.75" x14ac:dyDescent="0.25">
      <c r="B9" s="8" t="s">
        <v>59</v>
      </c>
      <c r="C9" s="4"/>
      <c r="D9" s="4">
        <f>Income_Statement!D11</f>
        <v>337.5</v>
      </c>
      <c r="E9" s="4">
        <f>Income_Statement!E11</f>
        <v>620.6</v>
      </c>
      <c r="F9" s="4">
        <f>Income_Statement!F11</f>
        <v>291.39999999999998</v>
      </c>
      <c r="G9" s="4">
        <f>Income_Statement!G11</f>
        <v>484.4</v>
      </c>
      <c r="H9" s="24">
        <f>Income_Statement!H11</f>
        <v>517.54339190257667</v>
      </c>
      <c r="I9" s="24">
        <f>Income_Statement!I11</f>
        <v>577.52975637171289</v>
      </c>
      <c r="J9" s="24">
        <f>Income_Statement!J11</f>
        <v>638.98797455516888</v>
      </c>
      <c r="K9" s="24">
        <f>Income_Statement!K11</f>
        <v>712.87966205107205</v>
      </c>
      <c r="L9" s="24">
        <f>Income_Statement!L11</f>
        <v>789.09177603723526</v>
      </c>
    </row>
    <row r="10" spans="2:15" ht="18.75" x14ac:dyDescent="0.25">
      <c r="B10" s="9" t="s">
        <v>132</v>
      </c>
      <c r="C10" s="6"/>
      <c r="D10" s="7">
        <f>D7+D8-D9</f>
        <v>886.2</v>
      </c>
      <c r="E10" s="7">
        <f t="shared" ref="E10:L10" si="0">E7+E8-E9</f>
        <v>640.79999999999984</v>
      </c>
      <c r="F10" s="7">
        <f t="shared" si="0"/>
        <v>1034.4000000000001</v>
      </c>
      <c r="G10" s="7">
        <f t="shared" si="0"/>
        <v>776.6</v>
      </c>
      <c r="H10" s="29">
        <f t="shared" si="0"/>
        <v>1922.4469618958137</v>
      </c>
      <c r="I10" s="29">
        <f t="shared" si="0"/>
        <v>2379.0321839143044</v>
      </c>
      <c r="J10" s="29">
        <f t="shared" si="0"/>
        <v>2855.1939447562522</v>
      </c>
      <c r="K10" s="29">
        <f t="shared" si="0"/>
        <v>3425.6247382638667</v>
      </c>
      <c r="L10" s="29">
        <f t="shared" si="0"/>
        <v>4086.906537751725</v>
      </c>
    </row>
    <row r="11" spans="2:15" ht="18.75" x14ac:dyDescent="0.25">
      <c r="B11" s="8" t="s">
        <v>133</v>
      </c>
      <c r="C11" s="4"/>
      <c r="D11" s="4"/>
      <c r="E11" s="4"/>
      <c r="F11" s="4"/>
      <c r="G11" s="4"/>
      <c r="H11" s="24"/>
      <c r="I11" s="24"/>
      <c r="J11" s="24"/>
      <c r="K11" s="24"/>
      <c r="L11" s="24"/>
    </row>
    <row r="12" spans="2:15" ht="18.75" x14ac:dyDescent="0.25">
      <c r="B12" s="8" t="str">
        <f>Balance_Sheet!B56</f>
        <v>Deferred Tax Assets [Net]</v>
      </c>
      <c r="C12" s="4"/>
      <c r="D12" s="5">
        <f>Balance_Sheet!C56-Balance_Sheet!D56</f>
        <v>108.80000000000001</v>
      </c>
      <c r="E12" s="5">
        <f>Balance_Sheet!D56-Balance_Sheet!E56</f>
        <v>-788.2</v>
      </c>
      <c r="F12" s="5">
        <f>Balance_Sheet!E56-Balance_Sheet!F56</f>
        <v>151.30000000000018</v>
      </c>
      <c r="G12" s="5">
        <f>Balance_Sheet!F56-Balance_Sheet!G56</f>
        <v>-208.40000000000009</v>
      </c>
      <c r="H12" s="28">
        <f>Balance_Sheet!G56-Balance_Sheet!H56</f>
        <v>-176.19209304730748</v>
      </c>
      <c r="I12" s="28">
        <f>Balance_Sheet!H56-Balance_Sheet!I56</f>
        <v>-307.65480880650762</v>
      </c>
      <c r="J12" s="28">
        <f>Balance_Sheet!I56-Balance_Sheet!J56</f>
        <v>-320.19211821192062</v>
      </c>
      <c r="K12" s="28">
        <f>Balance_Sheet!J56-Balance_Sheet!K56</f>
        <v>-383.74051380859919</v>
      </c>
      <c r="L12" s="28">
        <f>Balance_Sheet!K56-Balance_Sheet!L56</f>
        <v>-439.23130548749123</v>
      </c>
    </row>
    <row r="13" spans="2:15" ht="18.75" x14ac:dyDescent="0.25">
      <c r="B13" s="8" t="str">
        <f>Balance_Sheet!B58</f>
        <v>Long Term Loans And Advances</v>
      </c>
      <c r="C13" s="4"/>
      <c r="D13" s="4">
        <f>Balance_Sheet!C58-Balance_Sheet!D58</f>
        <v>0</v>
      </c>
      <c r="E13" s="4">
        <f>Balance_Sheet!D58-Balance_Sheet!E58</f>
        <v>0</v>
      </c>
      <c r="F13" s="4">
        <f>Balance_Sheet!E58-Balance_Sheet!F58</f>
        <v>0</v>
      </c>
      <c r="G13" s="4">
        <f>Balance_Sheet!F58-Balance_Sheet!G58</f>
        <v>0</v>
      </c>
      <c r="H13" s="24">
        <f>Balance_Sheet!G58-Balance_Sheet!H58</f>
        <v>0</v>
      </c>
      <c r="I13" s="24">
        <f>Balance_Sheet!H58-Balance_Sheet!I58</f>
        <v>0</v>
      </c>
      <c r="J13" s="24">
        <f>Balance_Sheet!I58-Balance_Sheet!J58</f>
        <v>0</v>
      </c>
      <c r="K13" s="24">
        <f>Balance_Sheet!J58-Balance_Sheet!K58</f>
        <v>0</v>
      </c>
      <c r="L13" s="24">
        <f>Balance_Sheet!K58-Balance_Sheet!L58</f>
        <v>0</v>
      </c>
    </row>
    <row r="14" spans="2:15" ht="18.75" x14ac:dyDescent="0.25">
      <c r="B14" s="8" t="str">
        <f>Balance_Sheet!B60</f>
        <v>Other Non-Current Assets</v>
      </c>
      <c r="C14" s="4"/>
      <c r="D14" s="4">
        <f>Balance_Sheet!C60-Balance_Sheet!D60</f>
        <v>136.5</v>
      </c>
      <c r="E14" s="4">
        <f>Balance_Sheet!D60-Balance_Sheet!E60</f>
        <v>-246.69999999999993</v>
      </c>
      <c r="F14" s="4">
        <f>Balance_Sheet!E60-Balance_Sheet!F60</f>
        <v>317.99999999999994</v>
      </c>
      <c r="G14" s="4">
        <f>Balance_Sheet!F60-Balance_Sheet!G60</f>
        <v>48.199999999999989</v>
      </c>
      <c r="H14" s="24">
        <f>Balance_Sheet!G60-Balance_Sheet!H60</f>
        <v>345.6</v>
      </c>
      <c r="I14" s="24">
        <f>Balance_Sheet!H60-Balance_Sheet!I60</f>
        <v>0</v>
      </c>
      <c r="J14" s="24">
        <f>Balance_Sheet!I60-Balance_Sheet!J60</f>
        <v>0</v>
      </c>
      <c r="K14" s="24">
        <f>Balance_Sheet!J60-Balance_Sheet!K60</f>
        <v>0</v>
      </c>
      <c r="L14" s="24">
        <f>Balance_Sheet!K60-Balance_Sheet!L60</f>
        <v>0</v>
      </c>
    </row>
    <row r="15" spans="2:15" ht="18.75" x14ac:dyDescent="0.25">
      <c r="B15" s="8" t="str">
        <f>Balance_Sheet!B62</f>
        <v>Short Term Loans And Advances</v>
      </c>
      <c r="C15" s="4"/>
      <c r="D15" s="4">
        <f>Balance_Sheet!C62-Balance_Sheet!D62</f>
        <v>0</v>
      </c>
      <c r="E15" s="4">
        <f>Balance_Sheet!D62-Balance_Sheet!E62</f>
        <v>0</v>
      </c>
      <c r="F15" s="4">
        <f>Balance_Sheet!E62-Balance_Sheet!F62</f>
        <v>0</v>
      </c>
      <c r="G15" s="4">
        <f>Balance_Sheet!F62-Balance_Sheet!G62</f>
        <v>0</v>
      </c>
      <c r="H15" s="24">
        <f>Balance_Sheet!G62-Balance_Sheet!H62</f>
        <v>0</v>
      </c>
      <c r="I15" s="24">
        <f>Balance_Sheet!H62-Balance_Sheet!I62</f>
        <v>0</v>
      </c>
      <c r="J15" s="24">
        <f>Balance_Sheet!I62-Balance_Sheet!J62</f>
        <v>0</v>
      </c>
      <c r="K15" s="24">
        <f>Balance_Sheet!J62-Balance_Sheet!K62</f>
        <v>0</v>
      </c>
      <c r="L15" s="24">
        <f>Balance_Sheet!K62-Balance_Sheet!L62</f>
        <v>0</v>
      </c>
    </row>
    <row r="16" spans="2:15" ht="18.75" x14ac:dyDescent="0.25">
      <c r="B16" s="8" t="str">
        <f>Balance_Sheet!B64</f>
        <v>OtherCurrentAssets</v>
      </c>
      <c r="C16" s="4"/>
      <c r="D16" s="5">
        <f>Balance_Sheet!C64-Balance_Sheet!D64</f>
        <v>150.40000000000009</v>
      </c>
      <c r="E16" s="5">
        <f>Balance_Sheet!D64-Balance_Sheet!E64</f>
        <v>-201</v>
      </c>
      <c r="F16" s="5">
        <f>Balance_Sheet!E64-Balance_Sheet!F64</f>
        <v>-97.100000000000136</v>
      </c>
      <c r="G16" s="5">
        <f>Balance_Sheet!F64-Balance_Sheet!G64</f>
        <v>-321.79999999999995</v>
      </c>
      <c r="H16" s="28">
        <f>Balance_Sheet!G64-Balance_Sheet!H64</f>
        <v>-537.66094981513015</v>
      </c>
      <c r="I16" s="28">
        <f>Balance_Sheet!H64-Balance_Sheet!I64</f>
        <v>-518.08762085634089</v>
      </c>
      <c r="J16" s="28">
        <f>Balance_Sheet!I64-Balance_Sheet!J64</f>
        <v>-539.20032449646305</v>
      </c>
      <c r="K16" s="28">
        <f>Balance_Sheet!J64-Balance_Sheet!K64</f>
        <v>-646.21518706806364</v>
      </c>
      <c r="L16" s="28">
        <f>Balance_Sheet!K64-Balance_Sheet!L64</f>
        <v>-739.66112523454103</v>
      </c>
    </row>
    <row r="17" spans="2:12" ht="18.75" x14ac:dyDescent="0.25">
      <c r="B17" s="8" t="str">
        <f>Balance_Sheet!B66</f>
        <v>Inventories</v>
      </c>
      <c r="C17" s="4"/>
      <c r="D17" s="5">
        <f>Balance_Sheet!C66-Balance_Sheet!D66</f>
        <v>-449</v>
      </c>
      <c r="E17" s="5">
        <f>Balance_Sheet!D66-Balance_Sheet!E66</f>
        <v>-148.79999999999973</v>
      </c>
      <c r="F17" s="5">
        <f>Balance_Sheet!E66-Balance_Sheet!F66</f>
        <v>-1034.5</v>
      </c>
      <c r="G17" s="5">
        <f>Balance_Sheet!F66-Balance_Sheet!G66</f>
        <v>-547.19999999999982</v>
      </c>
      <c r="H17" s="28">
        <f>Balance_Sheet!G66-Balance_Sheet!H66</f>
        <v>-1060.6346398319447</v>
      </c>
      <c r="I17" s="28">
        <f>Balance_Sheet!H66-Balance_Sheet!I66</f>
        <v>-1301.8100535456915</v>
      </c>
      <c r="J17" s="28">
        <f>Balance_Sheet!I66-Balance_Sheet!J66</f>
        <v>-1354.8604040072823</v>
      </c>
      <c r="K17" s="28">
        <f>Balance_Sheet!J66-Balance_Sheet!K66</f>
        <v>-1623.7589809396031</v>
      </c>
      <c r="L17" s="28">
        <f>Balance_Sheet!K66-Balance_Sheet!L66</f>
        <v>-1858.5626258656412</v>
      </c>
    </row>
    <row r="18" spans="2:12" ht="18.75" x14ac:dyDescent="0.25">
      <c r="B18" s="8" t="str">
        <f>Balance_Sheet!B68</f>
        <v>Trade Receivables</v>
      </c>
      <c r="C18" s="4"/>
      <c r="D18" s="5">
        <f>Balance_Sheet!C68-Balance_Sheet!D68</f>
        <v>65.799999999999727</v>
      </c>
      <c r="E18" s="5">
        <f>Balance_Sheet!D68-Balance_Sheet!E68</f>
        <v>-1040.9000000000001</v>
      </c>
      <c r="F18" s="5">
        <f>Balance_Sheet!E68-Balance_Sheet!F68</f>
        <v>63.699999999999818</v>
      </c>
      <c r="G18" s="5">
        <f>Balance_Sheet!F68-Balance_Sheet!G68</f>
        <v>-1712.2999999999993</v>
      </c>
      <c r="H18" s="28">
        <f>Balance_Sheet!G68-Balance_Sheet!H68</f>
        <v>-316.67879116333734</v>
      </c>
      <c r="I18" s="28">
        <f>Balance_Sheet!H68-Balance_Sheet!I68</f>
        <v>-1480.5023566792579</v>
      </c>
      <c r="J18" s="28">
        <f>Balance_Sheet!I68-Balance_Sheet!J68</f>
        <v>-1540.8346368511047</v>
      </c>
      <c r="K18" s="28">
        <f>Balance_Sheet!J68-Balance_Sheet!K68</f>
        <v>-1846.6434418850622</v>
      </c>
      <c r="L18" s="28">
        <f>Balance_Sheet!K68-Balance_Sheet!L68</f>
        <v>-2113.6772911959179</v>
      </c>
    </row>
    <row r="19" spans="2:12" ht="18.75" x14ac:dyDescent="0.25">
      <c r="B19" s="8" t="s">
        <v>134</v>
      </c>
      <c r="C19" s="4"/>
      <c r="D19" s="4"/>
      <c r="E19" s="4"/>
      <c r="F19" s="4"/>
      <c r="G19" s="4"/>
      <c r="H19" s="24"/>
      <c r="I19" s="24"/>
      <c r="J19" s="24"/>
      <c r="K19" s="24"/>
      <c r="L19" s="24"/>
    </row>
    <row r="20" spans="2:12" ht="18.75" x14ac:dyDescent="0.25">
      <c r="B20" s="8" t="str">
        <f>Balance_Sheet!B23</f>
        <v>Long Term Provisions</v>
      </c>
      <c r="C20" s="4"/>
      <c r="D20" s="4">
        <f>Balance_Sheet!D23-Balance_Sheet!C23</f>
        <v>-2.4000000000000057</v>
      </c>
      <c r="E20" s="4">
        <f>Balance_Sheet!E23-Balance_Sheet!D23</f>
        <v>-4.7999999999999972</v>
      </c>
      <c r="F20" s="4">
        <f>Balance_Sheet!F23-Balance_Sheet!E23</f>
        <v>-23.700000000000003</v>
      </c>
      <c r="G20" s="4">
        <f>Balance_Sheet!G23-Balance_Sheet!F23</f>
        <v>-24.999999999999996</v>
      </c>
      <c r="H20" s="24">
        <f>Balance_Sheet!H23-Balance_Sheet!G23</f>
        <v>96.508795626745766</v>
      </c>
      <c r="I20" s="24">
        <f>Balance_Sheet!I23-Balance_Sheet!H23</f>
        <v>25.893953947267818</v>
      </c>
      <c r="J20" s="24">
        <f>Balance_Sheet!J23-Balance_Sheet!I23</f>
        <v>26.949164212388609</v>
      </c>
      <c r="K20" s="24">
        <f>Balance_Sheet!K23-Balance_Sheet!J23</f>
        <v>32.297753546605946</v>
      </c>
      <c r="L20" s="24">
        <f>Balance_Sheet!L23-Balance_Sheet!K23</f>
        <v>36.968169750418127</v>
      </c>
    </row>
    <row r="21" spans="2:12" ht="18.75" x14ac:dyDescent="0.25">
      <c r="B21" s="8" t="str">
        <f>Balance_Sheet!B25</f>
        <v>Short Term Provisions</v>
      </c>
      <c r="C21" s="4"/>
      <c r="D21" s="4">
        <f>Balance_Sheet!D25-Balance_Sheet!C25</f>
        <v>40.199999999999989</v>
      </c>
      <c r="E21" s="4">
        <f>Balance_Sheet!E25-Balance_Sheet!D25</f>
        <v>-12</v>
      </c>
      <c r="F21" s="4">
        <f>Balance_Sheet!F25-Balance_Sheet!E25</f>
        <v>34.600000000000023</v>
      </c>
      <c r="G21" s="4">
        <f>Balance_Sheet!G25-Balance_Sheet!F25</f>
        <v>85.100000000000023</v>
      </c>
      <c r="H21" s="24">
        <f>Balance_Sheet!H25-Balance_Sheet!G25</f>
        <v>179.92317688761852</v>
      </c>
      <c r="I21" s="24">
        <f>Balance_Sheet!I25-Balance_Sheet!H25</f>
        <v>162.28036373126633</v>
      </c>
      <c r="J21" s="24">
        <f>Balance_Sheet!J25-Balance_Sheet!I25</f>
        <v>168.89348685589584</v>
      </c>
      <c r="K21" s="24">
        <f>Balance_Sheet!K25-Balance_Sheet!J25</f>
        <v>202.4137064551719</v>
      </c>
      <c r="L21" s="24">
        <f>Balance_Sheet!L25-Balance_Sheet!K25</f>
        <v>231.68373767074127</v>
      </c>
    </row>
    <row r="22" spans="2:12" ht="18.75" x14ac:dyDescent="0.25">
      <c r="B22" s="8" t="str">
        <f>Balance_Sheet!B27</f>
        <v>Other Long Term Liabilities</v>
      </c>
      <c r="C22" s="4"/>
      <c r="D22" s="4">
        <f>Balance_Sheet!D27-Balance_Sheet!C27</f>
        <v>-75.200000000000017</v>
      </c>
      <c r="E22" s="4">
        <f>Balance_Sheet!E27-Balance_Sheet!D27</f>
        <v>-12.599999999999994</v>
      </c>
      <c r="F22" s="4">
        <f>Balance_Sheet!F27-Balance_Sheet!E27</f>
        <v>-43.800000000000011</v>
      </c>
      <c r="G22" s="4">
        <f>Balance_Sheet!G27-Balance_Sheet!F27</f>
        <v>5.2000000000000171</v>
      </c>
      <c r="H22" s="24">
        <f>Balance_Sheet!H27-Balance_Sheet!G27</f>
        <v>23.03</v>
      </c>
      <c r="I22" s="24">
        <f>Balance_Sheet!I27-Balance_Sheet!H27</f>
        <v>40.20999999999998</v>
      </c>
      <c r="J22" s="24">
        <f>Balance_Sheet!J27-Balance_Sheet!I27</f>
        <v>41.850000000000023</v>
      </c>
      <c r="K22" s="24">
        <f>Balance_Sheet!K27-Balance_Sheet!J27</f>
        <v>50.149999999999977</v>
      </c>
      <c r="L22" s="24">
        <f>Balance_Sheet!L27-Balance_Sheet!K27</f>
        <v>57.410000000000025</v>
      </c>
    </row>
    <row r="23" spans="2:12" ht="18.75" x14ac:dyDescent="0.25">
      <c r="B23" s="8" t="str">
        <f>Balance_Sheet!B29</f>
        <v>Trade Payables</v>
      </c>
      <c r="C23" s="4"/>
      <c r="D23" s="5">
        <f>Balance_Sheet!D29-Balance_Sheet!C29</f>
        <v>32.599999999999909</v>
      </c>
      <c r="E23" s="5">
        <f>Balance_Sheet!E29-Balance_Sheet!D29</f>
        <v>157.70000000000005</v>
      </c>
      <c r="F23" s="5">
        <f>Balance_Sheet!F29-Balance_Sheet!E29</f>
        <v>286.10000000000014</v>
      </c>
      <c r="G23" s="5">
        <f>Balance_Sheet!G29-Balance_Sheet!F29</f>
        <v>455.29999999999973</v>
      </c>
      <c r="H23" s="28">
        <f>Balance_Sheet!H29-Balance_Sheet!G29</f>
        <v>312.67542777118888</v>
      </c>
      <c r="I23" s="28">
        <f>Balance_Sheet!I29-Balance_Sheet!H29</f>
        <v>545.97284864315407</v>
      </c>
      <c r="J23" s="28">
        <f>Balance_Sheet!J29-Balance_Sheet!I29</f>
        <v>568.22190939064603</v>
      </c>
      <c r="K23" s="28">
        <f>Balance_Sheet!K29-Balance_Sheet!J29</f>
        <v>680.99667376119578</v>
      </c>
      <c r="L23" s="28">
        <f>Balance_Sheet!L29-Balance_Sheet!K29</f>
        <v>779.47218832870203</v>
      </c>
    </row>
    <row r="24" spans="2:12" ht="18.75" x14ac:dyDescent="0.25">
      <c r="B24" s="8" t="str">
        <f>Balance_Sheet!B31</f>
        <v>Other Current Liabilities</v>
      </c>
      <c r="C24" s="4"/>
      <c r="D24" s="5">
        <f>Balance_Sheet!D31-Balance_Sheet!C31</f>
        <v>274.40000000000009</v>
      </c>
      <c r="E24" s="5">
        <f>Balance_Sheet!E31-Balance_Sheet!D31</f>
        <v>730.39999999999964</v>
      </c>
      <c r="F24" s="5">
        <f>Balance_Sheet!F31-Balance_Sheet!E31</f>
        <v>-92.299999999999727</v>
      </c>
      <c r="G24" s="5">
        <f>Balance_Sheet!G31-Balance_Sheet!F31</f>
        <v>727.90000000000009</v>
      </c>
      <c r="H24" s="28">
        <f>Balance_Sheet!H31-Balance_Sheet!G31</f>
        <v>1216.0066383805006</v>
      </c>
      <c r="I24" s="28">
        <f>Balance_Sheet!I31-Balance_Sheet!H31</f>
        <v>1147.637148514068</v>
      </c>
      <c r="J24" s="28">
        <f>Balance_Sheet!J31-Balance_Sheet!I31</f>
        <v>1194.4047647001535</v>
      </c>
      <c r="K24" s="28">
        <f>Balance_Sheet!K31-Balance_Sheet!J31</f>
        <v>1431.4577781022099</v>
      </c>
      <c r="L24" s="28">
        <f>Balance_Sheet!L31-Balance_Sheet!K31</f>
        <v>1638.4537102581216</v>
      </c>
    </row>
    <row r="25" spans="2:12" ht="18.75" x14ac:dyDescent="0.25">
      <c r="B25" s="8" t="s">
        <v>103</v>
      </c>
      <c r="C25" s="4"/>
      <c r="D25" s="4"/>
      <c r="E25" s="4"/>
      <c r="F25" s="4"/>
      <c r="G25" s="4"/>
      <c r="H25" s="24"/>
      <c r="I25" s="24"/>
      <c r="J25" s="24"/>
      <c r="K25" s="24"/>
      <c r="L25" s="24"/>
    </row>
    <row r="26" spans="2:12" ht="18.75" x14ac:dyDescent="0.25">
      <c r="B26" s="8" t="str">
        <f>Income_Statement!B47</f>
        <v>Total Tax Expenses</v>
      </c>
      <c r="C26" s="4"/>
      <c r="D26" s="4">
        <f>Income_Statement!D47</f>
        <v>385.8</v>
      </c>
      <c r="E26" s="4">
        <f>Income_Statement!E47</f>
        <v>-140.30000000000001</v>
      </c>
      <c r="F26" s="4">
        <f>Income_Statement!F47</f>
        <v>931.9</v>
      </c>
      <c r="G26" s="4">
        <f>Income_Statement!G47</f>
        <v>878.9</v>
      </c>
      <c r="H26" s="24">
        <f>Income_Statement!H47</f>
        <v>776.80154238758166</v>
      </c>
      <c r="I26" s="24">
        <f>Income_Statement!I47</f>
        <v>837.24474556556913</v>
      </c>
      <c r="J26" s="24">
        <f>Income_Statement!J47</f>
        <v>898.11151324814705</v>
      </c>
      <c r="K26" s="24">
        <f>Income_Statement!K47</f>
        <v>971.55301704634485</v>
      </c>
      <c r="L26" s="24">
        <f>Income_Statement!L47</f>
        <v>1038.0720583398484</v>
      </c>
    </row>
    <row r="27" spans="2:12" ht="18.75" x14ac:dyDescent="0.25">
      <c r="B27" s="9" t="s">
        <v>135</v>
      </c>
      <c r="C27" s="6"/>
      <c r="D27" s="7">
        <f>D12+D13+D14+D15+D16+D17+D18+D20+D21+D22+D23+D24-D26+D10+D5</f>
        <v>4629.4219368089907</v>
      </c>
      <c r="E27" s="7">
        <f t="shared" ref="E27:L27" si="1">E12+E13+E14+E15+E16+E17+E18+E20+E21+E22+E23+E24-E26+E10+E5</f>
        <v>5234.1355441008009</v>
      </c>
      <c r="F27" s="7">
        <f t="shared" si="1"/>
        <v>4885.9153593152114</v>
      </c>
      <c r="G27" s="7">
        <f t="shared" si="1"/>
        <v>5350.9225942320354</v>
      </c>
      <c r="H27" s="29">
        <f t="shared" si="1"/>
        <v>7367.529418458008</v>
      </c>
      <c r="I27" s="29">
        <f t="shared" si="1"/>
        <v>6472.7349557925481</v>
      </c>
      <c r="J27" s="29">
        <f t="shared" si="1"/>
        <v>7300.3714871909888</v>
      </c>
      <c r="K27" s="29">
        <f t="shared" si="1"/>
        <v>8029.5179819056939</v>
      </c>
      <c r="L27" s="29">
        <f t="shared" si="1"/>
        <v>8845.8992743995059</v>
      </c>
    </row>
    <row r="28" spans="2:12" ht="18.75" x14ac:dyDescent="0.25">
      <c r="B28" s="8" t="s">
        <v>136</v>
      </c>
      <c r="C28" s="4"/>
      <c r="D28" s="4"/>
      <c r="E28" s="4"/>
      <c r="F28" s="4"/>
      <c r="G28" s="4"/>
      <c r="H28" s="24"/>
      <c r="I28" s="24"/>
      <c r="J28" s="24"/>
      <c r="K28" s="24"/>
      <c r="L28" s="24"/>
    </row>
    <row r="29" spans="2:12" ht="18.75" x14ac:dyDescent="0.25">
      <c r="B29" s="8" t="str">
        <f>Balance_Sheet!B40</f>
        <v>Tangible Assets</v>
      </c>
      <c r="C29" s="4"/>
      <c r="D29" s="5">
        <f>Balance_Sheet!C40-Balance_Sheet!D40</f>
        <v>60.600000000000364</v>
      </c>
      <c r="E29" s="5">
        <f>Balance_Sheet!D40-Balance_Sheet!E40</f>
        <v>134.80000000000018</v>
      </c>
      <c r="F29" s="5">
        <f>Balance_Sheet!E40-Balance_Sheet!F40</f>
        <v>45.699999999999818</v>
      </c>
      <c r="G29" s="5">
        <f>Balance_Sheet!F40-Balance_Sheet!G40</f>
        <v>-4135.4000000000005</v>
      </c>
      <c r="H29" s="28">
        <f>Balance_Sheet!G40-Balance_Sheet!H40</f>
        <v>-1223.4899999999998</v>
      </c>
      <c r="I29" s="28">
        <f>Balance_Sheet!H40-Balance_Sheet!I40</f>
        <v>-2136.3899999999994</v>
      </c>
      <c r="J29" s="28">
        <f>Balance_Sheet!I40-Balance_Sheet!J40</f>
        <v>-2223.4400000000005</v>
      </c>
      <c r="K29" s="28">
        <f>Balance_Sheet!J40-Balance_Sheet!K40</f>
        <v>-2664.7300000000014</v>
      </c>
      <c r="L29" s="28">
        <f>Balance_Sheet!K40-Balance_Sheet!L40</f>
        <v>-3050.0599999999977</v>
      </c>
    </row>
    <row r="30" spans="2:12" ht="18.75" x14ac:dyDescent="0.25">
      <c r="B30" s="8" t="str">
        <f>Balance_Sheet!B42</f>
        <v>Intangible Assets</v>
      </c>
      <c r="C30" s="4"/>
      <c r="D30" s="5">
        <f>Balance_Sheet!C42-Balance_Sheet!D42</f>
        <v>-350.80000000000018</v>
      </c>
      <c r="E30" s="5">
        <f>Balance_Sheet!D42-Balance_Sheet!E42</f>
        <v>231.30000000000018</v>
      </c>
      <c r="F30" s="5">
        <f>Balance_Sheet!E42-Balance_Sheet!F42</f>
        <v>-1332.5</v>
      </c>
      <c r="G30" s="5">
        <f>Balance_Sheet!F42-Balance_Sheet!G42</f>
        <v>2913.6</v>
      </c>
      <c r="H30" s="28">
        <f>Balance_Sheet!G42-Balance_Sheet!H42</f>
        <v>0</v>
      </c>
      <c r="I30" s="28">
        <f>Balance_Sheet!H42-Balance_Sheet!I42</f>
        <v>0</v>
      </c>
      <c r="J30" s="28">
        <f>Balance_Sheet!I42-Balance_Sheet!J42</f>
        <v>0</v>
      </c>
      <c r="K30" s="28">
        <f>Balance_Sheet!J42-Balance_Sheet!K42</f>
        <v>0</v>
      </c>
      <c r="L30" s="28">
        <f>Balance_Sheet!K42-Balance_Sheet!L42</f>
        <v>0</v>
      </c>
    </row>
    <row r="31" spans="2:12" ht="18.75" x14ac:dyDescent="0.25">
      <c r="B31" s="8" t="str">
        <f>Balance_Sheet!B48</f>
        <v>Non-Current Investments</v>
      </c>
      <c r="C31" s="4"/>
      <c r="D31" s="4">
        <f>Balance_Sheet!C48-Balance_Sheet!D48</f>
        <v>131.10000000000002</v>
      </c>
      <c r="E31" s="4">
        <f>Balance_Sheet!D48-Balance_Sheet!E48</f>
        <v>25.099999999999966</v>
      </c>
      <c r="F31" s="4">
        <f>Balance_Sheet!E48-Balance_Sheet!F48</f>
        <v>-524.19999999999993</v>
      </c>
      <c r="G31" s="4">
        <f>Balance_Sheet!F48-Balance_Sheet!G48</f>
        <v>234.69999999999993</v>
      </c>
      <c r="H31" s="24">
        <f>Balance_Sheet!G48-Balance_Sheet!H48</f>
        <v>-82.590905949975195</v>
      </c>
      <c r="I31" s="24">
        <f>Balance_Sheet!H48-Balance_Sheet!I48</f>
        <v>-144.21469737789778</v>
      </c>
      <c r="J31" s="24">
        <f>Balance_Sheet!I48-Balance_Sheet!J48</f>
        <v>-150.09162252283147</v>
      </c>
      <c r="K31" s="24">
        <f>Balance_Sheet!J48-Balance_Sheet!K48</f>
        <v>-179.8802439826369</v>
      </c>
      <c r="L31" s="24">
        <f>Balance_Sheet!K48-Balance_Sheet!L48</f>
        <v>-205.89182416978247</v>
      </c>
    </row>
    <row r="32" spans="2:12" ht="18.75" x14ac:dyDescent="0.25">
      <c r="B32" s="8" t="str">
        <f>Balance_Sheet!B50</f>
        <v>Current Investments</v>
      </c>
      <c r="C32" s="4"/>
      <c r="D32" s="5">
        <f>Balance_Sheet!C50-Balance_Sheet!D50</f>
        <v>-419.90000000000009</v>
      </c>
      <c r="E32" s="5">
        <f>Balance_Sheet!D50-Balance_Sheet!E50</f>
        <v>-115.79999999999973</v>
      </c>
      <c r="F32" s="5">
        <f>Balance_Sheet!E50-Balance_Sheet!F50</f>
        <v>394.29999999999973</v>
      </c>
      <c r="G32" s="5">
        <f>Balance_Sheet!F50-Balance_Sheet!G50</f>
        <v>-42.899999999999864</v>
      </c>
      <c r="H32" s="28">
        <f>Balance_Sheet!G50-Balance_Sheet!H50</f>
        <v>-1857.4225737605127</v>
      </c>
      <c r="I32" s="28">
        <f>Balance_Sheet!H50-Balance_Sheet!I50</f>
        <v>-820.31621167769708</v>
      </c>
      <c r="J32" s="28">
        <f>Balance_Sheet!I50-Balance_Sheet!J50</f>
        <v>-853.74509970963209</v>
      </c>
      <c r="K32" s="28">
        <f>Balance_Sheet!J50-Balance_Sheet!K50</f>
        <v>-1023.1875320782055</v>
      </c>
      <c r="L32" s="28">
        <f>Balance_Sheet!K50-Balance_Sheet!L50</f>
        <v>-1171.1455509683119</v>
      </c>
    </row>
    <row r="33" spans="2:12" ht="18.75" x14ac:dyDescent="0.25">
      <c r="B33" s="8" t="str">
        <f>Balance_Sheet!B52</f>
        <v>Capital Work-In-Progress</v>
      </c>
      <c r="C33" s="4"/>
      <c r="D33" s="4">
        <f>Balance_Sheet!C52-Balance_Sheet!D52</f>
        <v>3531.1000000000004</v>
      </c>
      <c r="E33" s="4">
        <f>Balance_Sheet!D52-Balance_Sheet!E52</f>
        <v>36.100000000000023</v>
      </c>
      <c r="F33" s="4">
        <f>Balance_Sheet!E52-Balance_Sheet!F52</f>
        <v>-517.5</v>
      </c>
      <c r="G33" s="4">
        <f>Balance_Sheet!F52-Balance_Sheet!G52</f>
        <v>953.9</v>
      </c>
      <c r="H33" s="24">
        <f>Balance_Sheet!G52-Balance_Sheet!H52</f>
        <v>-935.3174651569384</v>
      </c>
      <c r="I33" s="24">
        <f>Balance_Sheet!H52-Balance_Sheet!I52</f>
        <v>-198.01574567669877</v>
      </c>
      <c r="J33" s="24">
        <f>Balance_Sheet!I52-Balance_Sheet!J52</f>
        <v>-206.08512928335563</v>
      </c>
      <c r="K33" s="24">
        <f>Balance_Sheet!J52-Balance_Sheet!K52</f>
        <v>-246.98675857837588</v>
      </c>
      <c r="L33" s="24">
        <f>Balance_Sheet!K52-Balance_Sheet!L52</f>
        <v>-282.70227537823462</v>
      </c>
    </row>
    <row r="34" spans="2:12" ht="18.75" x14ac:dyDescent="0.25">
      <c r="B34" s="8" t="s">
        <v>59</v>
      </c>
      <c r="C34" s="4"/>
      <c r="D34" s="4">
        <f>Income_Statement!D11</f>
        <v>337.5</v>
      </c>
      <c r="E34" s="4">
        <f>Income_Statement!E11</f>
        <v>620.6</v>
      </c>
      <c r="F34" s="4">
        <f>Income_Statement!F11</f>
        <v>291.39999999999998</v>
      </c>
      <c r="G34" s="4">
        <f>Income_Statement!G11</f>
        <v>484.4</v>
      </c>
      <c r="H34" s="24">
        <f>Income_Statement!H11</f>
        <v>517.54339190257667</v>
      </c>
      <c r="I34" s="24">
        <f>Income_Statement!I11</f>
        <v>577.52975637171289</v>
      </c>
      <c r="J34" s="24">
        <f>Income_Statement!J11</f>
        <v>638.98797455516888</v>
      </c>
      <c r="K34" s="24">
        <f>Income_Statement!K11</f>
        <v>712.87966205107205</v>
      </c>
      <c r="L34" s="24">
        <f>Income_Statement!L11</f>
        <v>789.09177603723526</v>
      </c>
    </row>
    <row r="35" spans="2:12" ht="18.75" x14ac:dyDescent="0.25">
      <c r="B35" s="9" t="s">
        <v>137</v>
      </c>
      <c r="C35" s="6"/>
      <c r="D35" s="7">
        <f>D29+D30+D31+D32+D33+D34</f>
        <v>3289.6000000000004</v>
      </c>
      <c r="E35" s="7">
        <f t="shared" ref="E35:L35" si="2">E29+E30+E31+E32+E33+E34</f>
        <v>932.10000000000059</v>
      </c>
      <c r="F35" s="7">
        <f t="shared" si="2"/>
        <v>-1642.8000000000002</v>
      </c>
      <c r="G35" s="7">
        <f t="shared" si="2"/>
        <v>408.2999999999995</v>
      </c>
      <c r="H35" s="29">
        <f t="shared" si="2"/>
        <v>-3581.2775529648493</v>
      </c>
      <c r="I35" s="29">
        <f t="shared" si="2"/>
        <v>-2721.4068983605803</v>
      </c>
      <c r="J35" s="29">
        <f t="shared" si="2"/>
        <v>-2794.3738769606507</v>
      </c>
      <c r="K35" s="29">
        <f t="shared" si="2"/>
        <v>-3401.9048725881476</v>
      </c>
      <c r="L35" s="29">
        <f t="shared" si="2"/>
        <v>-3920.7078744790911</v>
      </c>
    </row>
    <row r="36" spans="2:12" ht="18.75" x14ac:dyDescent="0.25">
      <c r="B36" s="8" t="s">
        <v>138</v>
      </c>
      <c r="C36" s="4"/>
      <c r="D36" s="4"/>
      <c r="E36" s="4"/>
      <c r="F36" s="4"/>
      <c r="G36" s="4"/>
      <c r="H36" s="24"/>
      <c r="I36" s="24"/>
      <c r="J36" s="24"/>
      <c r="K36" s="24"/>
      <c r="L36" s="24"/>
    </row>
    <row r="37" spans="2:12" ht="18.75" x14ac:dyDescent="0.25">
      <c r="B37" s="8" t="str">
        <f>Balance_Sheet!B5</f>
        <v>Equity Share Capital</v>
      </c>
      <c r="C37" s="4"/>
      <c r="D37" s="4">
        <f>Balance_Sheet!D5-Balance_Sheet!C5</f>
        <v>0</v>
      </c>
      <c r="E37" s="4">
        <f>Balance_Sheet!E5-Balance_Sheet!D5</f>
        <v>9.9999999999994316E-2</v>
      </c>
      <c r="F37" s="4">
        <f>Balance_Sheet!F5-Balance_Sheet!E5</f>
        <v>0.10000000000000853</v>
      </c>
      <c r="G37" s="4">
        <f>Balance_Sheet!G5-Balance_Sheet!F5</f>
        <v>0</v>
      </c>
      <c r="H37" s="24">
        <f>Balance_Sheet!H5-Balance_Sheet!G5</f>
        <v>0</v>
      </c>
      <c r="I37" s="24">
        <f>Balance_Sheet!I5-Balance_Sheet!H5</f>
        <v>0</v>
      </c>
      <c r="J37" s="24">
        <f>Balance_Sheet!J5-Balance_Sheet!I5</f>
        <v>0</v>
      </c>
      <c r="K37" s="24">
        <f>Balance_Sheet!K5-Balance_Sheet!J5</f>
        <v>0</v>
      </c>
      <c r="L37" s="24">
        <f>Balance_Sheet!L5-Balance_Sheet!K5</f>
        <v>0</v>
      </c>
    </row>
    <row r="38" spans="2:12" ht="18.75" x14ac:dyDescent="0.25">
      <c r="B38" s="8" t="str">
        <f>Balance_Sheet!B7</f>
        <v>Preference Share Capital</v>
      </c>
      <c r="C38" s="4"/>
      <c r="D38" s="4">
        <f>Balance_Sheet!D7-Balance_Sheet!C7</f>
        <v>0</v>
      </c>
      <c r="E38" s="4">
        <f>Balance_Sheet!E7-Balance_Sheet!D7</f>
        <v>0</v>
      </c>
      <c r="F38" s="4">
        <f>Balance_Sheet!F7-Balance_Sheet!E7</f>
        <v>0</v>
      </c>
      <c r="G38" s="4">
        <f>Balance_Sheet!G7-Balance_Sheet!F7</f>
        <v>0</v>
      </c>
      <c r="H38" s="24">
        <f>Balance_Sheet!H7-Balance_Sheet!G7</f>
        <v>0</v>
      </c>
      <c r="I38" s="24">
        <f>Balance_Sheet!I7-Balance_Sheet!H7</f>
        <v>0</v>
      </c>
      <c r="J38" s="24">
        <f>Balance_Sheet!J7-Balance_Sheet!I7</f>
        <v>0</v>
      </c>
      <c r="K38" s="24">
        <f>Balance_Sheet!K7-Balance_Sheet!J7</f>
        <v>0</v>
      </c>
      <c r="L38" s="24">
        <f>Balance_Sheet!L7-Balance_Sheet!K7</f>
        <v>0</v>
      </c>
    </row>
    <row r="39" spans="2:12" ht="18.75" x14ac:dyDescent="0.25">
      <c r="B39" s="8" t="str">
        <f>Balance_Sheet!B15</f>
        <v>Long Term Borrowings</v>
      </c>
      <c r="C39" s="4"/>
      <c r="D39" s="4">
        <f>Balance_Sheet!D15-Balance_Sheet!C15</f>
        <v>-308.90000000000009</v>
      </c>
      <c r="E39" s="4">
        <f>Balance_Sheet!E15-Balance_Sheet!D15</f>
        <v>-2069.6</v>
      </c>
      <c r="F39" s="4">
        <f>Balance_Sheet!F15-Balance_Sheet!E15</f>
        <v>499.5</v>
      </c>
      <c r="G39" s="4">
        <f>Balance_Sheet!G15-Balance_Sheet!F15</f>
        <v>-55.299999999999955</v>
      </c>
      <c r="H39" s="24">
        <f>Balance_Sheet!H15-Balance_Sheet!G15</f>
        <v>79.279999999999973</v>
      </c>
      <c r="I39" s="24">
        <f>Balance_Sheet!I15-Balance_Sheet!H15</f>
        <v>138.42999999999995</v>
      </c>
      <c r="J39" s="24">
        <f>Balance_Sheet!J15-Balance_Sheet!I15</f>
        <v>144.08000000000004</v>
      </c>
      <c r="K39" s="24">
        <f>Balance_Sheet!K15-Balance_Sheet!J15</f>
        <v>172.65999999999997</v>
      </c>
      <c r="L39" s="24">
        <f>Balance_Sheet!L15-Balance_Sheet!K15</f>
        <v>197.6400000000001</v>
      </c>
    </row>
    <row r="40" spans="2:12" ht="18.75" x14ac:dyDescent="0.25">
      <c r="B40" s="8" t="str">
        <f>Balance_Sheet!B17</f>
        <v>Deferred Tax Liabilities [Net]</v>
      </c>
      <c r="C40" s="4"/>
      <c r="D40" s="4">
        <f>Balance_Sheet!D17-Balance_Sheet!C17</f>
        <v>-147.69999999999999</v>
      </c>
      <c r="E40" s="4">
        <f>Balance_Sheet!E17-Balance_Sheet!D17</f>
        <v>-45.3</v>
      </c>
      <c r="F40" s="4">
        <f>Balance_Sheet!F17-Balance_Sheet!E17</f>
        <v>26.9</v>
      </c>
      <c r="G40" s="4">
        <f>Balance_Sheet!G17-Balance_Sheet!F17</f>
        <v>-27.5</v>
      </c>
      <c r="H40" s="24">
        <f>Balance_Sheet!H17-Balance_Sheet!G17</f>
        <v>38.810533417522194</v>
      </c>
      <c r="I40" s="24">
        <f>Balance_Sheet!I17-Balance_Sheet!H17</f>
        <v>8.5129584930742936</v>
      </c>
      <c r="J40" s="24">
        <f>Balance_Sheet!J17-Balance_Sheet!I17</f>
        <v>8.8598719542912576</v>
      </c>
      <c r="K40" s="24">
        <f>Balance_Sheet!K17-Balance_Sheet!J17</f>
        <v>10.618287030313127</v>
      </c>
      <c r="L40" s="24">
        <f>Balance_Sheet!L17-Balance_Sheet!K17</f>
        <v>12.153744279113482</v>
      </c>
    </row>
    <row r="41" spans="2:12" ht="18.75" x14ac:dyDescent="0.25">
      <c r="B41" s="8" t="str">
        <f>Balance_Sheet!B19</f>
        <v>Short Term Borrowings</v>
      </c>
      <c r="C41" s="4"/>
      <c r="D41" s="5">
        <f>Balance_Sheet!D19-Balance_Sheet!C19</f>
        <v>-1343.6999999999998</v>
      </c>
      <c r="E41" s="5">
        <f>Balance_Sheet!E19-Balance_Sheet!D19</f>
        <v>440.70000000000005</v>
      </c>
      <c r="F41" s="5">
        <f>Balance_Sheet!F19-Balance_Sheet!E19</f>
        <v>661.3</v>
      </c>
      <c r="G41" s="5">
        <f>Balance_Sheet!G19-Balance_Sheet!F19</f>
        <v>393.69999999999982</v>
      </c>
      <c r="H41" s="28">
        <f>Balance_Sheet!H19-Balance_Sheet!G19</f>
        <v>373.66000000000031</v>
      </c>
      <c r="I41" s="28">
        <f>Balance_Sheet!I19-Balance_Sheet!H19</f>
        <v>652.46</v>
      </c>
      <c r="J41" s="28">
        <f>Balance_Sheet!J19-Balance_Sheet!I19</f>
        <v>679.04999999999973</v>
      </c>
      <c r="K41" s="28">
        <f>Balance_Sheet!K19-Balance_Sheet!J19</f>
        <v>813.81999999999971</v>
      </c>
      <c r="L41" s="28">
        <f>Balance_Sheet!L19-Balance_Sheet!K19</f>
        <v>931.5</v>
      </c>
    </row>
    <row r="42" spans="2:12" ht="18.75" x14ac:dyDescent="0.25">
      <c r="B42" s="8" t="str">
        <f>Balance_Sheet!B35:G35</f>
        <v>Minority Interest</v>
      </c>
      <c r="C42" s="4"/>
      <c r="D42" s="4">
        <f>Balance_Sheet!D35-Balance_Sheet!C35</f>
        <v>0</v>
      </c>
      <c r="E42" s="4">
        <f>Balance_Sheet!E35-Balance_Sheet!D35</f>
        <v>0</v>
      </c>
      <c r="F42" s="4">
        <f>Balance_Sheet!F35-Balance_Sheet!E35</f>
        <v>0</v>
      </c>
      <c r="G42" s="4">
        <f>Balance_Sheet!G35-Balance_Sheet!F35</f>
        <v>0</v>
      </c>
      <c r="H42" s="24">
        <f>Balance_Sheet!H35-Balance_Sheet!G35</f>
        <v>0</v>
      </c>
      <c r="I42" s="24">
        <f>Balance_Sheet!I35-Balance_Sheet!H35</f>
        <v>0</v>
      </c>
      <c r="J42" s="24">
        <f>Balance_Sheet!J35-Balance_Sheet!I35</f>
        <v>0</v>
      </c>
      <c r="K42" s="24">
        <f>Balance_Sheet!K35-Balance_Sheet!J35</f>
        <v>0</v>
      </c>
      <c r="L42" s="24">
        <f>Balance_Sheet!L35-Balance_Sheet!K35</f>
        <v>0</v>
      </c>
    </row>
    <row r="43" spans="2:12" ht="18.75" x14ac:dyDescent="0.25">
      <c r="B43" s="8" t="s">
        <v>139</v>
      </c>
      <c r="C43" s="4"/>
      <c r="D43" s="4"/>
      <c r="E43" s="4"/>
      <c r="F43" s="4"/>
      <c r="G43" s="4"/>
      <c r="H43" s="24"/>
      <c r="I43" s="24"/>
      <c r="J43" s="24"/>
      <c r="K43" s="24"/>
      <c r="L43" s="24"/>
    </row>
    <row r="44" spans="2:12" ht="18.75" x14ac:dyDescent="0.25">
      <c r="B44" s="8" t="str">
        <f>Income_Statement!B51</f>
        <v>Equity Share Dividend</v>
      </c>
      <c r="C44" s="4"/>
      <c r="D44" s="4">
        <f>Income_Statement!D51</f>
        <v>332</v>
      </c>
      <c r="E44" s="4">
        <f>Income_Statement!E51</f>
        <v>391.6</v>
      </c>
      <c r="F44" s="4">
        <f>Income_Statement!F51</f>
        <v>414.7</v>
      </c>
      <c r="G44" s="4">
        <f>Income_Statement!G51</f>
        <v>0</v>
      </c>
      <c r="H44" s="24">
        <f>Income_Statement!H51</f>
        <v>0</v>
      </c>
      <c r="I44" s="24">
        <f>Income_Statement!I51</f>
        <v>0</v>
      </c>
      <c r="J44" s="24">
        <f>Income_Statement!J51</f>
        <v>0</v>
      </c>
      <c r="K44" s="24">
        <f>Income_Statement!K51</f>
        <v>0</v>
      </c>
      <c r="L44" s="24">
        <f>Income_Statement!L51</f>
        <v>0</v>
      </c>
    </row>
    <row r="45" spans="2:12" ht="18.75" x14ac:dyDescent="0.25">
      <c r="B45" s="8" t="str">
        <f>Income_Statement!B53</f>
        <v>Tax On Dividend</v>
      </c>
      <c r="C45" s="4"/>
      <c r="D45" s="4">
        <f>Income_Statement!D53</f>
        <v>68.2</v>
      </c>
      <c r="E45" s="4">
        <f>Income_Statement!E53</f>
        <v>0</v>
      </c>
      <c r="F45" s="4">
        <f>Income_Statement!F53</f>
        <v>0</v>
      </c>
      <c r="G45" s="4">
        <f>Income_Statement!G53</f>
        <v>0</v>
      </c>
      <c r="H45" s="24">
        <f>Income_Statement!H53</f>
        <v>0</v>
      </c>
      <c r="I45" s="24">
        <f>Income_Statement!I53</f>
        <v>0</v>
      </c>
      <c r="J45" s="24">
        <f>Income_Statement!J53</f>
        <v>0</v>
      </c>
      <c r="K45" s="24">
        <f>Income_Statement!K53</f>
        <v>0</v>
      </c>
      <c r="L45" s="24">
        <f>Income_Statement!L53</f>
        <v>0</v>
      </c>
    </row>
    <row r="46" spans="2:12" ht="18.75" x14ac:dyDescent="0.25">
      <c r="B46" s="8" t="s">
        <v>140</v>
      </c>
      <c r="C46" s="4"/>
      <c r="D46" s="4">
        <f>Income_Statement!D35</f>
        <v>88.9</v>
      </c>
      <c r="E46" s="4">
        <f>Income_Statement!E35</f>
        <v>98.3</v>
      </c>
      <c r="F46" s="4">
        <f>Income_Statement!F35</f>
        <v>97</v>
      </c>
      <c r="G46" s="4">
        <f>Income_Statement!G35</f>
        <v>95.8</v>
      </c>
      <c r="H46" s="24">
        <f>Income_Statement!H35</f>
        <v>109.01778637111016</v>
      </c>
      <c r="I46" s="24">
        <f>Income_Statement!I35</f>
        <v>132.09793800621156</v>
      </c>
      <c r="J46" s="24">
        <f>Income_Statement!J35</f>
        <v>156.11852932220935</v>
      </c>
      <c r="K46" s="24">
        <f>Income_Statement!K35</f>
        <v>184.90665976493514</v>
      </c>
      <c r="L46" s="24">
        <f>Income_Statement!L35</f>
        <v>217.85763595396142</v>
      </c>
    </row>
    <row r="47" spans="2:12" ht="18.75" x14ac:dyDescent="0.25">
      <c r="B47" s="9" t="s">
        <v>141</v>
      </c>
      <c r="C47" s="6"/>
      <c r="D47" s="7">
        <f>D37+D38+D39+D40+D41+D42-D44-D45-D46</f>
        <v>-2289.4</v>
      </c>
      <c r="E47" s="7">
        <f t="shared" ref="E47:L47" si="3">E37+E38+E39+E40+E41+E42-E44-E45-E46</f>
        <v>-2164.0000000000005</v>
      </c>
      <c r="F47" s="7">
        <f t="shared" si="3"/>
        <v>676.09999999999991</v>
      </c>
      <c r="G47" s="7">
        <f t="shared" si="3"/>
        <v>215.09999999999985</v>
      </c>
      <c r="H47" s="29">
        <f t="shared" si="3"/>
        <v>382.73274704641233</v>
      </c>
      <c r="I47" s="29">
        <f t="shared" si="3"/>
        <v>667.30502048686276</v>
      </c>
      <c r="J47" s="29">
        <f t="shared" si="3"/>
        <v>675.87134263208168</v>
      </c>
      <c r="K47" s="29">
        <f t="shared" si="3"/>
        <v>812.19162726537763</v>
      </c>
      <c r="L47" s="29">
        <f t="shared" si="3"/>
        <v>923.43610832515208</v>
      </c>
    </row>
    <row r="48" spans="2:12" ht="18.75" x14ac:dyDescent="0.25">
      <c r="B48" s="9" t="s">
        <v>142</v>
      </c>
      <c r="C48" s="6"/>
      <c r="D48" s="7">
        <f>D27+D35+D47</f>
        <v>5629.6219368089914</v>
      </c>
      <c r="E48" s="7">
        <f t="shared" ref="E48:L48" si="4">E27+E35+E47</f>
        <v>4002.2355441008008</v>
      </c>
      <c r="F48" s="7">
        <f t="shared" si="4"/>
        <v>3919.2153593152111</v>
      </c>
      <c r="G48" s="7">
        <f t="shared" si="4"/>
        <v>5974.3225942320341</v>
      </c>
      <c r="H48" s="29">
        <f t="shared" si="4"/>
        <v>4168.9846125395707</v>
      </c>
      <c r="I48" s="29">
        <f t="shared" si="4"/>
        <v>4418.6330779188302</v>
      </c>
      <c r="J48" s="29">
        <f t="shared" si="4"/>
        <v>5181.86895286242</v>
      </c>
      <c r="K48" s="29">
        <f t="shared" si="4"/>
        <v>5439.8047365829243</v>
      </c>
      <c r="L48" s="29">
        <f t="shared" si="4"/>
        <v>5848.6275082455677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C56371E4-E11A-49FA-AAA1-C32D9FCB4F34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A4CB2-5BAF-4BE4-A00A-4D231161DDCC}">
  <dimension ref="B1:O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3" width="13.5703125" bestFit="1" customWidth="1"/>
    <col min="4" max="4" width="15.140625" bestFit="1" customWidth="1"/>
    <col min="5" max="5" width="13.5703125" bestFit="1" customWidth="1"/>
    <col min="6" max="6" width="15.140625" bestFit="1" customWidth="1"/>
    <col min="7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9.5" thickBot="1" x14ac:dyDescent="0.3">
      <c r="B5" s="44" t="s">
        <v>145</v>
      </c>
      <c r="C5" s="44"/>
      <c r="D5" s="44"/>
      <c r="E5" s="44"/>
      <c r="F5" s="44"/>
      <c r="G5" s="44"/>
    </row>
    <row r="6" spans="2:15" ht="19.5" thickTop="1" x14ac:dyDescent="0.25">
      <c r="B6" s="12" t="str">
        <f>Income_Statement!B49</f>
        <v>Reported Net Profit(PAT)</v>
      </c>
      <c r="C6" s="13">
        <f>Income_Statement!C49</f>
        <v>2243.8109274227609</v>
      </c>
      <c r="D6" s="13">
        <f>Income_Statement!D49</f>
        <v>3461.121936808991</v>
      </c>
      <c r="E6" s="13">
        <f>Income_Statement!E49</f>
        <v>6160.2355441008021</v>
      </c>
      <c r="F6" s="13">
        <f>Income_Statement!F49</f>
        <v>4289.2153593152116</v>
      </c>
      <c r="G6" s="13">
        <f>Income_Statement!G49</f>
        <v>6067.322594232035</v>
      </c>
      <c r="I6" s="35"/>
      <c r="J6" s="36"/>
      <c r="K6" s="36"/>
      <c r="L6" s="37"/>
    </row>
    <row r="7" spans="2:15" ht="18.75" x14ac:dyDescent="0.25">
      <c r="B7" s="12" t="str">
        <f>Income_Statement!B61</f>
        <v>Total Shares Outstanding(cr)</v>
      </c>
      <c r="C7" s="13">
        <f>Income_Statement!C61</f>
        <v>39.365103989872999</v>
      </c>
      <c r="D7" s="13">
        <f>Income_Statement!D61</f>
        <v>29.33154183736433</v>
      </c>
      <c r="E7" s="13">
        <f>Income_Statement!E61</f>
        <v>50.493733968039365</v>
      </c>
      <c r="F7" s="13">
        <f>Income_Statement!F61</f>
        <v>36.349282706061118</v>
      </c>
      <c r="G7" s="13">
        <f>Income_Statement!G61</f>
        <v>45.964565107818444</v>
      </c>
      <c r="I7" s="38"/>
      <c r="J7" s="39"/>
      <c r="K7" s="39"/>
      <c r="L7" s="40"/>
    </row>
    <row r="8" spans="2:15" ht="19.5" thickBot="1" x14ac:dyDescent="0.3">
      <c r="B8" s="14" t="s">
        <v>146</v>
      </c>
      <c r="C8" s="14">
        <f>ROUND(C6/C7, 2)</f>
        <v>57</v>
      </c>
      <c r="D8" s="14">
        <f t="shared" ref="D8:G8" si="0">ROUND(D6/D7, 2)</f>
        <v>118</v>
      </c>
      <c r="E8" s="14">
        <f t="shared" si="0"/>
        <v>122</v>
      </c>
      <c r="F8" s="14">
        <f t="shared" si="0"/>
        <v>118</v>
      </c>
      <c r="G8" s="14">
        <f t="shared" si="0"/>
        <v>132</v>
      </c>
      <c r="I8" s="41"/>
      <c r="J8" s="42"/>
      <c r="K8" s="42"/>
      <c r="L8" s="43"/>
    </row>
    <row r="9" spans="2:15" ht="15.75" thickTop="1" x14ac:dyDescent="0.25"/>
    <row r="10" spans="2:15" ht="19.5" thickBot="1" x14ac:dyDescent="0.3">
      <c r="B10" s="44" t="s">
        <v>147</v>
      </c>
      <c r="C10" s="44"/>
      <c r="D10" s="44"/>
      <c r="E10" s="44"/>
      <c r="F10" s="44"/>
      <c r="G10" s="44"/>
    </row>
    <row r="11" spans="2:15" ht="19.5" thickTop="1" x14ac:dyDescent="0.25">
      <c r="B11" s="12" t="str">
        <f>Income_Statement!B51</f>
        <v>Equity Share Dividend</v>
      </c>
      <c r="C11" s="13">
        <f>Income_Statement!C51</f>
        <v>399.2</v>
      </c>
      <c r="D11" s="13">
        <f>Income_Statement!D51</f>
        <v>332</v>
      </c>
      <c r="E11" s="13">
        <f>Income_Statement!E51</f>
        <v>391.6</v>
      </c>
      <c r="F11" s="13">
        <f>Income_Statement!F51</f>
        <v>414.7</v>
      </c>
      <c r="G11" s="13">
        <f>Income_Statement!G51</f>
        <v>0</v>
      </c>
      <c r="I11" s="35"/>
      <c r="J11" s="36"/>
      <c r="K11" s="36"/>
      <c r="L11" s="37"/>
    </row>
    <row r="12" spans="2:15" ht="18.75" x14ac:dyDescent="0.25">
      <c r="B12" s="12" t="str">
        <f>Income_Statement!B61</f>
        <v>Total Shares Outstanding(cr)</v>
      </c>
      <c r="C12" s="13">
        <f>Income_Statement!C61</f>
        <v>39.365103989872999</v>
      </c>
      <c r="D12" s="13">
        <f>Income_Statement!D61</f>
        <v>29.33154183736433</v>
      </c>
      <c r="E12" s="13">
        <f>Income_Statement!E61</f>
        <v>50.493733968039365</v>
      </c>
      <c r="F12" s="13">
        <f>Income_Statement!F61</f>
        <v>36.349282706061118</v>
      </c>
      <c r="G12" s="13">
        <f>Income_Statement!G61</f>
        <v>45.964565107818444</v>
      </c>
      <c r="I12" s="38"/>
      <c r="J12" s="39"/>
      <c r="K12" s="39"/>
      <c r="L12" s="40"/>
    </row>
    <row r="13" spans="2:15" ht="19.5" thickBot="1" x14ac:dyDescent="0.3">
      <c r="B13" s="14" t="s">
        <v>148</v>
      </c>
      <c r="C13" s="14">
        <f>ROUND(C11/C12, 2)</f>
        <v>10.14</v>
      </c>
      <c r="D13" s="14">
        <f t="shared" ref="D13:G13" si="1">ROUND(D11/D12, 2)</f>
        <v>11.32</v>
      </c>
      <c r="E13" s="14">
        <f t="shared" si="1"/>
        <v>7.76</v>
      </c>
      <c r="F13" s="14">
        <f t="shared" si="1"/>
        <v>11.41</v>
      </c>
      <c r="G13" s="14">
        <f t="shared" si="1"/>
        <v>0</v>
      </c>
      <c r="I13" s="41"/>
      <c r="J13" s="42"/>
      <c r="K13" s="42"/>
      <c r="L13" s="43"/>
    </row>
    <row r="14" spans="2:15" ht="15.75" thickTop="1" x14ac:dyDescent="0.25"/>
    <row r="15" spans="2:15" ht="19.5" thickBot="1" x14ac:dyDescent="0.3">
      <c r="B15" s="44" t="s">
        <v>149</v>
      </c>
      <c r="C15" s="44"/>
      <c r="D15" s="44"/>
      <c r="E15" s="44"/>
      <c r="F15" s="44"/>
      <c r="G15" s="44"/>
    </row>
    <row r="16" spans="2:15" ht="19.5" thickTop="1" x14ac:dyDescent="0.25">
      <c r="B16" s="12" t="str">
        <f>Balance_Sheet!B13</f>
        <v>Net Worth</v>
      </c>
      <c r="C16" s="13">
        <f>Balance_Sheet!C13</f>
        <v>12571.6</v>
      </c>
      <c r="D16" s="13">
        <f>Balance_Sheet!D13</f>
        <v>15632.521936808991</v>
      </c>
      <c r="E16" s="13">
        <f>Balance_Sheet!E13</f>
        <v>21401.257480909793</v>
      </c>
      <c r="F16" s="13">
        <f>Balance_Sheet!F13</f>
        <v>25275.872840225009</v>
      </c>
      <c r="G16" s="13">
        <f>Balance_Sheet!G13</f>
        <v>31343.195434457044</v>
      </c>
      <c r="I16" s="35"/>
      <c r="J16" s="36"/>
      <c r="K16" s="36"/>
      <c r="L16" s="37"/>
    </row>
    <row r="17" spans="2:12" ht="18.75" x14ac:dyDescent="0.25">
      <c r="B17" s="12" t="str">
        <f>Income_Statement!B61</f>
        <v>Total Shares Outstanding(cr)</v>
      </c>
      <c r="C17" s="13">
        <f>Income_Statement!C61</f>
        <v>39.365103989872999</v>
      </c>
      <c r="D17" s="13">
        <f>Income_Statement!D61</f>
        <v>29.33154183736433</v>
      </c>
      <c r="E17" s="13">
        <f>Income_Statement!E61</f>
        <v>50.493733968039365</v>
      </c>
      <c r="F17" s="13">
        <f>Income_Statement!F61</f>
        <v>36.349282706061118</v>
      </c>
      <c r="G17" s="13">
        <f>Income_Statement!G61</f>
        <v>45.964565107818444</v>
      </c>
      <c r="I17" s="38"/>
      <c r="J17" s="39"/>
      <c r="K17" s="39"/>
      <c r="L17" s="40"/>
    </row>
    <row r="18" spans="2:12" ht="19.5" thickBot="1" x14ac:dyDescent="0.3">
      <c r="B18" s="14" t="s">
        <v>150</v>
      </c>
      <c r="C18" s="14">
        <f>ROUND(C16/C17, 2)</f>
        <v>319.36</v>
      </c>
      <c r="D18" s="14">
        <f t="shared" ref="D18:G18" si="2">ROUND(D16/D17, 2)</f>
        <v>532.96</v>
      </c>
      <c r="E18" s="14">
        <f t="shared" si="2"/>
        <v>423.84</v>
      </c>
      <c r="F18" s="14">
        <f t="shared" si="2"/>
        <v>695.36</v>
      </c>
      <c r="G18" s="14">
        <f t="shared" si="2"/>
        <v>681.9</v>
      </c>
      <c r="I18" s="41"/>
      <c r="J18" s="42"/>
      <c r="K18" s="42"/>
      <c r="L18" s="43"/>
    </row>
    <row r="19" spans="2:12" ht="15.75" thickTop="1" x14ac:dyDescent="0.25"/>
    <row r="20" spans="2:12" ht="18.75" x14ac:dyDescent="0.25">
      <c r="B20" s="44" t="s">
        <v>151</v>
      </c>
      <c r="C20" s="44"/>
      <c r="D20" s="44"/>
      <c r="E20" s="44"/>
      <c r="F20" s="44"/>
      <c r="G20" s="44"/>
    </row>
    <row r="21" spans="2:12" ht="18.75" x14ac:dyDescent="0.25">
      <c r="B21" s="12" t="str">
        <f>Income_Statement!B51</f>
        <v>Equity Share Dividend</v>
      </c>
      <c r="C21" s="13">
        <f>Income_Statement!C51</f>
        <v>399.2</v>
      </c>
      <c r="D21" s="13">
        <f>Income_Statement!D51</f>
        <v>332</v>
      </c>
      <c r="E21" s="13">
        <f>Income_Statement!E51</f>
        <v>391.6</v>
      </c>
      <c r="F21" s="13">
        <f>Income_Statement!F51</f>
        <v>414.7</v>
      </c>
      <c r="G21" s="13">
        <f>Income_Statement!G51</f>
        <v>0</v>
      </c>
    </row>
    <row r="22" spans="2:12" ht="18.75" x14ac:dyDescent="0.25">
      <c r="B22" s="12" t="str">
        <f>Income_Statement!B61</f>
        <v>Total Shares Outstanding(cr)</v>
      </c>
      <c r="C22" s="13">
        <f>Income_Statement!C61</f>
        <v>39.365103989872999</v>
      </c>
      <c r="D22" s="13">
        <f>Income_Statement!D61</f>
        <v>29.33154183736433</v>
      </c>
      <c r="E22" s="13">
        <f>Income_Statement!E61</f>
        <v>50.493733968039365</v>
      </c>
      <c r="F22" s="13">
        <f>Income_Statement!F61</f>
        <v>36.349282706061118</v>
      </c>
      <c r="G22" s="13">
        <f>Income_Statement!G61</f>
        <v>45.964565107818444</v>
      </c>
    </row>
    <row r="23" spans="2:12" ht="18.75" x14ac:dyDescent="0.25">
      <c r="B23" s="12" t="s">
        <v>148</v>
      </c>
      <c r="C23" s="13">
        <f>ROUND(C21/C22, 2)</f>
        <v>10.14</v>
      </c>
      <c r="D23" s="13">
        <f t="shared" ref="D23:G23" si="3">ROUND(D21/D22, 2)</f>
        <v>11.32</v>
      </c>
      <c r="E23" s="13">
        <f t="shared" si="3"/>
        <v>7.76</v>
      </c>
      <c r="F23" s="13">
        <f t="shared" si="3"/>
        <v>11.41</v>
      </c>
      <c r="G23" s="13">
        <f t="shared" si="3"/>
        <v>0</v>
      </c>
    </row>
    <row r="24" spans="2:12" ht="19.5" thickBot="1" x14ac:dyDescent="0.3">
      <c r="B24" s="12" t="str">
        <f>Income_Statement!B49</f>
        <v>Reported Net Profit(PAT)</v>
      </c>
      <c r="C24" s="13">
        <f>Income_Statement!C49</f>
        <v>2243.8109274227609</v>
      </c>
      <c r="D24" s="13">
        <f>Income_Statement!D49</f>
        <v>3461.121936808991</v>
      </c>
      <c r="E24" s="13">
        <f>Income_Statement!E49</f>
        <v>6160.2355441008021</v>
      </c>
      <c r="F24" s="13">
        <f>Income_Statement!F49</f>
        <v>4289.2153593152116</v>
      </c>
      <c r="G24" s="13">
        <f>Income_Statement!G49</f>
        <v>6067.322594232035</v>
      </c>
    </row>
    <row r="25" spans="2:12" ht="19.5" thickTop="1" x14ac:dyDescent="0.25">
      <c r="B25" s="12" t="str">
        <f>Income_Statement!B61</f>
        <v>Total Shares Outstanding(cr)</v>
      </c>
      <c r="C25" s="13">
        <f>Income_Statement!C61</f>
        <v>39.365103989872999</v>
      </c>
      <c r="D25" s="13">
        <f>Income_Statement!D61</f>
        <v>29.33154183736433</v>
      </c>
      <c r="E25" s="13">
        <f>Income_Statement!E61</f>
        <v>50.493733968039365</v>
      </c>
      <c r="F25" s="13">
        <f>Income_Statement!F61</f>
        <v>36.349282706061118</v>
      </c>
      <c r="G25" s="13">
        <f>Income_Statement!G61</f>
        <v>45.964565107818444</v>
      </c>
      <c r="I25" s="35"/>
      <c r="J25" s="36"/>
      <c r="K25" s="36"/>
      <c r="L25" s="37"/>
    </row>
    <row r="26" spans="2:12" ht="18.75" x14ac:dyDescent="0.25">
      <c r="B26" s="12" t="s">
        <v>146</v>
      </c>
      <c r="C26" s="13">
        <f>C24/C25</f>
        <v>57</v>
      </c>
      <c r="D26" s="13">
        <f t="shared" ref="D26:G26" si="4">D24/D25</f>
        <v>118</v>
      </c>
      <c r="E26" s="13">
        <f t="shared" si="4"/>
        <v>121.99999999999999</v>
      </c>
      <c r="F26" s="13">
        <f t="shared" si="4"/>
        <v>117.99999999999999</v>
      </c>
      <c r="G26" s="13">
        <f t="shared" si="4"/>
        <v>132</v>
      </c>
      <c r="I26" s="38"/>
      <c r="J26" s="39"/>
      <c r="K26" s="39"/>
      <c r="L26" s="40"/>
    </row>
    <row r="27" spans="2:12" ht="19.5" thickBot="1" x14ac:dyDescent="0.3">
      <c r="B27" s="14" t="s">
        <v>152</v>
      </c>
      <c r="C27" s="14">
        <f>ROUND(C23/C26, 2)</f>
        <v>0.18</v>
      </c>
      <c r="D27" s="14">
        <f t="shared" ref="D27:G27" si="5">ROUND(D23/D26, 2)</f>
        <v>0.1</v>
      </c>
      <c r="E27" s="14">
        <f t="shared" si="5"/>
        <v>0.06</v>
      </c>
      <c r="F27" s="14">
        <f t="shared" si="5"/>
        <v>0.1</v>
      </c>
      <c r="G27" s="14">
        <f t="shared" si="5"/>
        <v>0</v>
      </c>
      <c r="I27" s="41"/>
      <c r="J27" s="42"/>
      <c r="K27" s="42"/>
      <c r="L27" s="43"/>
    </row>
    <row r="28" spans="2:12" ht="15.75" thickTop="1" x14ac:dyDescent="0.25"/>
    <row r="29" spans="2:12" ht="18.75" x14ac:dyDescent="0.25">
      <c r="B29" s="44" t="s">
        <v>153</v>
      </c>
      <c r="C29" s="44"/>
      <c r="D29" s="44"/>
      <c r="E29" s="44"/>
      <c r="F29" s="44"/>
      <c r="G29" s="44"/>
    </row>
    <row r="30" spans="2:12" ht="19.5" thickBot="1" x14ac:dyDescent="0.3">
      <c r="B30" s="12" t="str">
        <f>Income_Statement!B51</f>
        <v>Equity Share Dividend</v>
      </c>
      <c r="C30" s="13">
        <f>Income_Statement!C51</f>
        <v>399.2</v>
      </c>
      <c r="D30" s="13">
        <f>Income_Statement!D51</f>
        <v>332</v>
      </c>
      <c r="E30" s="13">
        <f>Income_Statement!E51</f>
        <v>391.6</v>
      </c>
      <c r="F30" s="13">
        <f>Income_Statement!F51</f>
        <v>414.7</v>
      </c>
      <c r="G30" s="13">
        <f>Income_Statement!G51</f>
        <v>0</v>
      </c>
    </row>
    <row r="31" spans="2:12" ht="19.5" thickTop="1" x14ac:dyDescent="0.25">
      <c r="B31" s="12" t="str">
        <f>Income_Statement!B61</f>
        <v>Total Shares Outstanding(cr)</v>
      </c>
      <c r="C31" s="13">
        <f>Income_Statement!C61</f>
        <v>39.365103989872999</v>
      </c>
      <c r="D31" s="13">
        <f>Income_Statement!D61</f>
        <v>29.33154183736433</v>
      </c>
      <c r="E31" s="13">
        <f>Income_Statement!E61</f>
        <v>50.493733968039365</v>
      </c>
      <c r="F31" s="13">
        <f>Income_Statement!F61</f>
        <v>36.349282706061118</v>
      </c>
      <c r="G31" s="13">
        <f>Income_Statement!G61</f>
        <v>45.964565107818444</v>
      </c>
      <c r="I31" s="35"/>
      <c r="J31" s="36"/>
      <c r="K31" s="36"/>
      <c r="L31" s="37"/>
    </row>
    <row r="32" spans="2:12" ht="18.75" x14ac:dyDescent="0.25">
      <c r="B32" s="12" t="s">
        <v>154</v>
      </c>
      <c r="C32" s="13">
        <f>ROUND(C30/C31, 2)</f>
        <v>10.14</v>
      </c>
      <c r="D32" s="13">
        <f t="shared" ref="D32:G32" si="6">ROUND(D30/D31, 2)</f>
        <v>11.32</v>
      </c>
      <c r="E32" s="13">
        <f t="shared" si="6"/>
        <v>7.76</v>
      </c>
      <c r="F32" s="13">
        <f t="shared" si="6"/>
        <v>11.41</v>
      </c>
      <c r="G32" s="13">
        <f t="shared" si="6"/>
        <v>0</v>
      </c>
      <c r="I32" s="38"/>
      <c r="J32" s="39"/>
      <c r="K32" s="39"/>
      <c r="L32" s="40"/>
    </row>
    <row r="33" spans="2:12" ht="19.5" thickBot="1" x14ac:dyDescent="0.3">
      <c r="B33" s="14" t="s">
        <v>155</v>
      </c>
      <c r="C33" s="15">
        <f>1-C32</f>
        <v>-9.14</v>
      </c>
      <c r="D33" s="15">
        <f t="shared" ref="D33:G33" si="7">1-D32</f>
        <v>-10.32</v>
      </c>
      <c r="E33" s="15">
        <f t="shared" si="7"/>
        <v>-6.76</v>
      </c>
      <c r="F33" s="15">
        <f t="shared" si="7"/>
        <v>-10.41</v>
      </c>
      <c r="G33" s="15">
        <f t="shared" si="7"/>
        <v>1</v>
      </c>
      <c r="I33" s="41"/>
      <c r="J33" s="42"/>
      <c r="K33" s="42"/>
      <c r="L33" s="43"/>
    </row>
    <row r="34" spans="2:12" ht="15.75" thickTop="1" x14ac:dyDescent="0.25"/>
    <row r="35" spans="2:12" ht="19.5" thickBot="1" x14ac:dyDescent="0.3">
      <c r="B35" s="44" t="s">
        <v>156</v>
      </c>
      <c r="C35" s="44"/>
      <c r="D35" s="44"/>
      <c r="E35" s="44"/>
      <c r="F35" s="44"/>
      <c r="G35" s="44"/>
    </row>
    <row r="36" spans="2:12" ht="19.5" thickTop="1" x14ac:dyDescent="0.25">
      <c r="B36" s="12" t="str">
        <f>Income_Statement!B5</f>
        <v>Gross Sales</v>
      </c>
      <c r="C36" s="13">
        <f>Income_Statement!C5</f>
        <v>14202.8</v>
      </c>
      <c r="D36" s="13">
        <f>Income_Statement!D5</f>
        <v>15385.1</v>
      </c>
      <c r="E36" s="13">
        <f>Income_Statement!E5</f>
        <v>17460</v>
      </c>
      <c r="F36" s="13">
        <f>Income_Statement!F5</f>
        <v>18972.2</v>
      </c>
      <c r="G36" s="13">
        <f>Income_Statement!G5</f>
        <v>21439.1</v>
      </c>
      <c r="I36" s="35"/>
      <c r="J36" s="36"/>
      <c r="K36" s="36"/>
      <c r="L36" s="37"/>
    </row>
    <row r="37" spans="2:12" ht="18.75" x14ac:dyDescent="0.25">
      <c r="B37" s="12" t="str">
        <f>Income_Statement!B17</f>
        <v>Cost Of Materials Consumed</v>
      </c>
      <c r="C37" s="13">
        <f>Income_Statement!C17</f>
        <v>2630.9</v>
      </c>
      <c r="D37" s="13">
        <f>Income_Statement!D17</f>
        <v>2889.4</v>
      </c>
      <c r="E37" s="13">
        <f>Income_Statement!E17</f>
        <v>2984.8</v>
      </c>
      <c r="F37" s="13">
        <f>Income_Statement!F17</f>
        <v>4295.8</v>
      </c>
      <c r="G37" s="13">
        <f>Income_Statement!G17</f>
        <v>4312.3999999999996</v>
      </c>
      <c r="I37" s="38"/>
      <c r="J37" s="39"/>
      <c r="K37" s="39"/>
      <c r="L37" s="40"/>
    </row>
    <row r="38" spans="2:12" ht="19.5" thickBot="1" x14ac:dyDescent="0.3">
      <c r="B38" s="14" t="s">
        <v>157</v>
      </c>
      <c r="C38" s="16">
        <f>ROUND(C36- C37, 2)</f>
        <v>11571.9</v>
      </c>
      <c r="D38" s="16">
        <f t="shared" ref="D38:G38" si="8">ROUND(D36- D37, 2)</f>
        <v>12495.7</v>
      </c>
      <c r="E38" s="16">
        <f t="shared" si="8"/>
        <v>14475.2</v>
      </c>
      <c r="F38" s="16">
        <f t="shared" si="8"/>
        <v>14676.4</v>
      </c>
      <c r="G38" s="16">
        <f t="shared" si="8"/>
        <v>17126.7</v>
      </c>
      <c r="I38" s="41"/>
      <c r="J38" s="42"/>
      <c r="K38" s="42"/>
      <c r="L38" s="43"/>
    </row>
    <row r="39" spans="2:12" ht="15.75" thickTop="1" x14ac:dyDescent="0.25"/>
    <row r="40" spans="2:12" ht="19.5" thickBot="1" x14ac:dyDescent="0.3">
      <c r="B40" s="44" t="s">
        <v>158</v>
      </c>
      <c r="C40" s="44"/>
      <c r="D40" s="44"/>
      <c r="E40" s="44"/>
      <c r="F40" s="44"/>
      <c r="G40" s="44"/>
    </row>
    <row r="41" spans="2:12" ht="19.5" thickTop="1" x14ac:dyDescent="0.25">
      <c r="B41" s="12" t="str">
        <f>Income_Statement!B5</f>
        <v>Gross Sales</v>
      </c>
      <c r="C41" s="13">
        <f>Income_Statement!C5</f>
        <v>14202.8</v>
      </c>
      <c r="D41" s="13">
        <f>Income_Statement!D5</f>
        <v>15385.1</v>
      </c>
      <c r="E41" s="13">
        <f>Income_Statement!E5</f>
        <v>17460</v>
      </c>
      <c r="F41" s="13">
        <f>Income_Statement!F5</f>
        <v>18972.2</v>
      </c>
      <c r="G41" s="13">
        <f>Income_Statement!G5</f>
        <v>21439.1</v>
      </c>
      <c r="I41" s="35"/>
      <c r="J41" s="36"/>
      <c r="K41" s="36"/>
      <c r="L41" s="37"/>
    </row>
    <row r="42" spans="2:12" ht="18.75" x14ac:dyDescent="0.25">
      <c r="B42" s="12" t="str">
        <f>Income_Statement!B25</f>
        <v>Total Expenditure</v>
      </c>
      <c r="C42" s="13">
        <f>Income_Statement!C25</f>
        <v>10521.2</v>
      </c>
      <c r="D42" s="13">
        <f>Income_Statement!D25</f>
        <v>10653</v>
      </c>
      <c r="E42" s="13">
        <f>Income_Statement!E25</f>
        <v>10800.3</v>
      </c>
      <c r="F42" s="13">
        <f>Income_Statement!F25</f>
        <v>12717.7</v>
      </c>
      <c r="G42" s="13">
        <f>Income_Statement!G25</f>
        <v>13717.300000000001</v>
      </c>
      <c r="I42" s="38"/>
      <c r="J42" s="39"/>
      <c r="K42" s="39"/>
      <c r="L42" s="40"/>
    </row>
    <row r="43" spans="2:12" ht="19.5" thickBot="1" x14ac:dyDescent="0.3">
      <c r="B43" s="14" t="s">
        <v>159</v>
      </c>
      <c r="C43" s="16">
        <f>ROUND(C41- C42, 2)</f>
        <v>3681.6</v>
      </c>
      <c r="D43" s="16">
        <f t="shared" ref="D43:G43" si="9">ROUND(D41- D42, 2)</f>
        <v>4732.1000000000004</v>
      </c>
      <c r="E43" s="16">
        <f t="shared" si="9"/>
        <v>6659.7</v>
      </c>
      <c r="F43" s="16">
        <f t="shared" si="9"/>
        <v>6254.5</v>
      </c>
      <c r="G43" s="16">
        <f t="shared" si="9"/>
        <v>7721.8</v>
      </c>
      <c r="I43" s="41"/>
      <c r="J43" s="42"/>
      <c r="K43" s="42"/>
      <c r="L43" s="43"/>
    </row>
    <row r="44" spans="2:12" ht="15.75" thickTop="1" x14ac:dyDescent="0.25"/>
    <row r="45" spans="2:12" ht="19.5" thickBot="1" x14ac:dyDescent="0.3">
      <c r="B45" s="44" t="s">
        <v>160</v>
      </c>
      <c r="C45" s="44"/>
      <c r="D45" s="44"/>
      <c r="E45" s="44"/>
      <c r="F45" s="44"/>
      <c r="G45" s="44"/>
    </row>
    <row r="46" spans="2:12" ht="19.5" thickTop="1" x14ac:dyDescent="0.25">
      <c r="B46" s="12" t="str">
        <f>Income_Statement!B49</f>
        <v>Reported Net Profit(PAT)</v>
      </c>
      <c r="C46" s="13">
        <f>Income_Statement!C49</f>
        <v>2243.8109274227609</v>
      </c>
      <c r="D46" s="13">
        <f>Income_Statement!D49</f>
        <v>3461.121936808991</v>
      </c>
      <c r="E46" s="13">
        <f>Income_Statement!E49</f>
        <v>6160.2355441008021</v>
      </c>
      <c r="F46" s="13">
        <f>Income_Statement!F49</f>
        <v>4289.2153593152116</v>
      </c>
      <c r="G46" s="13">
        <f>Income_Statement!G49</f>
        <v>6067.322594232035</v>
      </c>
      <c r="I46" s="35"/>
      <c r="J46" s="36"/>
      <c r="K46" s="36"/>
      <c r="L46" s="37"/>
    </row>
    <row r="47" spans="2:12" ht="18.75" x14ac:dyDescent="0.25">
      <c r="B47" s="12" t="str">
        <f>Balance_Sheet!B74</f>
        <v>Total Assets</v>
      </c>
      <c r="C47" s="13">
        <f>Balance_Sheet!C74</f>
        <v>22544.300000000003</v>
      </c>
      <c r="D47" s="13">
        <f>Balance_Sheet!D74</f>
        <v>24074.521936808989</v>
      </c>
      <c r="E47" s="13">
        <f>Balance_Sheet!E74</f>
        <v>29027.75748090979</v>
      </c>
      <c r="F47" s="13">
        <f>Balance_Sheet!F74</f>
        <v>34250.972840225004</v>
      </c>
      <c r="G47" s="13">
        <f>Balance_Sheet!G74</f>
        <v>41877.695434457033</v>
      </c>
      <c r="I47" s="38"/>
      <c r="J47" s="39"/>
      <c r="K47" s="39"/>
      <c r="L47" s="40"/>
    </row>
    <row r="48" spans="2:12" ht="19.5" thickBot="1" x14ac:dyDescent="0.3">
      <c r="B48" s="14" t="s">
        <v>161</v>
      </c>
      <c r="C48" s="15">
        <f>ROUND(C46/ C47, 2)</f>
        <v>0.1</v>
      </c>
      <c r="D48" s="15">
        <f t="shared" ref="D48:G48" si="10">ROUND(D46/ D47, 2)</f>
        <v>0.14000000000000001</v>
      </c>
      <c r="E48" s="15">
        <f t="shared" si="10"/>
        <v>0.21</v>
      </c>
      <c r="F48" s="15">
        <f t="shared" si="10"/>
        <v>0.13</v>
      </c>
      <c r="G48" s="15">
        <f t="shared" si="10"/>
        <v>0.14000000000000001</v>
      </c>
      <c r="I48" s="41"/>
      <c r="J48" s="42"/>
      <c r="K48" s="42"/>
      <c r="L48" s="43"/>
    </row>
    <row r="49" spans="2:12" ht="15.75" thickTop="1" x14ac:dyDescent="0.25"/>
    <row r="50" spans="2:12" ht="18.75" x14ac:dyDescent="0.25">
      <c r="B50" s="44" t="s">
        <v>162</v>
      </c>
      <c r="C50" s="44"/>
      <c r="D50" s="44"/>
      <c r="E50" s="44"/>
      <c r="F50" s="44"/>
      <c r="G50" s="44"/>
    </row>
    <row r="51" spans="2:12" ht="19.5" thickBot="1" x14ac:dyDescent="0.3">
      <c r="B51" s="12" t="str">
        <f>Income_Statement!B33</f>
        <v>PBIT</v>
      </c>
      <c r="C51" s="13">
        <f>Income_Statement!C33</f>
        <v>2760.6109274227611</v>
      </c>
      <c r="D51" s="13">
        <f>Income_Statement!D33</f>
        <v>3935.8219368089913</v>
      </c>
      <c r="E51" s="13">
        <f>Income_Statement!E33</f>
        <v>6118.2355441008021</v>
      </c>
      <c r="F51" s="13">
        <f>Income_Statement!F33</f>
        <v>5318.1153593152112</v>
      </c>
      <c r="G51" s="13">
        <f>Income_Statement!G33</f>
        <v>7042.0225942320349</v>
      </c>
    </row>
    <row r="52" spans="2:12" ht="19.5" thickTop="1" x14ac:dyDescent="0.25">
      <c r="B52" s="12" t="str">
        <f>Balance_Sheet!B21</f>
        <v>Total Debt</v>
      </c>
      <c r="C52" s="13">
        <f>Balance_Sheet!C21</f>
        <v>5260.1</v>
      </c>
      <c r="D52" s="13">
        <f>Balance_Sheet!D21</f>
        <v>3459.8</v>
      </c>
      <c r="E52" s="13">
        <f>Balance_Sheet!E21</f>
        <v>1785.6000000000001</v>
      </c>
      <c r="F52" s="13">
        <f>Balance_Sheet!F21</f>
        <v>2973.3</v>
      </c>
      <c r="G52" s="13">
        <f>Balance_Sheet!G21</f>
        <v>3284.2</v>
      </c>
      <c r="I52" s="35"/>
      <c r="J52" s="36"/>
      <c r="K52" s="36"/>
      <c r="L52" s="37"/>
    </row>
    <row r="53" spans="2:12" ht="18.75" x14ac:dyDescent="0.25">
      <c r="B53" s="12" t="str">
        <f>Balance_Sheet!B13</f>
        <v>Net Worth</v>
      </c>
      <c r="C53" s="13">
        <f>Balance_Sheet!C13</f>
        <v>12571.6</v>
      </c>
      <c r="D53" s="13">
        <f>Balance_Sheet!D13</f>
        <v>15632.521936808991</v>
      </c>
      <c r="E53" s="13">
        <f>Balance_Sheet!E13</f>
        <v>21401.257480909793</v>
      </c>
      <c r="F53" s="13">
        <f>Balance_Sheet!F13</f>
        <v>25275.872840225009</v>
      </c>
      <c r="G53" s="13">
        <f>Balance_Sheet!G13</f>
        <v>31343.195434457044</v>
      </c>
      <c r="I53" s="38"/>
      <c r="J53" s="39"/>
      <c r="K53" s="39"/>
      <c r="L53" s="40"/>
    </row>
    <row r="54" spans="2:12" ht="19.5" thickBot="1" x14ac:dyDescent="0.3">
      <c r="B54" s="14" t="s">
        <v>163</v>
      </c>
      <c r="C54" s="15">
        <f>ROUND(C51/ (C52+ C52), 2)</f>
        <v>0.26</v>
      </c>
      <c r="D54" s="15">
        <f t="shared" ref="D54:G54" si="11">ROUND(D51/ (D52+ D52), 2)</f>
        <v>0.56999999999999995</v>
      </c>
      <c r="E54" s="15">
        <f t="shared" si="11"/>
        <v>1.71</v>
      </c>
      <c r="F54" s="15">
        <f t="shared" si="11"/>
        <v>0.89</v>
      </c>
      <c r="G54" s="15">
        <f t="shared" si="11"/>
        <v>1.07</v>
      </c>
      <c r="I54" s="41"/>
      <c r="J54" s="42"/>
      <c r="K54" s="42"/>
      <c r="L54" s="43"/>
    </row>
    <row r="55" spans="2:12" ht="15.75" thickTop="1" x14ac:dyDescent="0.25"/>
    <row r="56" spans="2:12" ht="19.5" thickBot="1" x14ac:dyDescent="0.3">
      <c r="B56" s="44" t="s">
        <v>164</v>
      </c>
      <c r="C56" s="44"/>
      <c r="D56" s="44"/>
      <c r="E56" s="44"/>
      <c r="F56" s="44"/>
      <c r="G56" s="44"/>
    </row>
    <row r="57" spans="2:12" ht="19.5" thickTop="1" x14ac:dyDescent="0.25">
      <c r="B57" s="12" t="str">
        <f>Income_Statement!B49</f>
        <v>Reported Net Profit(PAT)</v>
      </c>
      <c r="C57" s="13">
        <f>Income_Statement!C49</f>
        <v>2243.8109274227609</v>
      </c>
      <c r="D57" s="13">
        <f>Income_Statement!D49</f>
        <v>3461.121936808991</v>
      </c>
      <c r="E57" s="13">
        <f>Income_Statement!E49</f>
        <v>6160.2355441008021</v>
      </c>
      <c r="F57" s="13">
        <f>Income_Statement!F49</f>
        <v>4289.2153593152116</v>
      </c>
      <c r="G57" s="13">
        <f>Income_Statement!G49</f>
        <v>6067.322594232035</v>
      </c>
      <c r="I57" s="35"/>
      <c r="J57" s="36"/>
      <c r="K57" s="36"/>
      <c r="L57" s="37"/>
    </row>
    <row r="58" spans="2:12" ht="18.75" x14ac:dyDescent="0.25">
      <c r="B58" s="12" t="str">
        <f>Balance_Sheet!B13</f>
        <v>Net Worth</v>
      </c>
      <c r="C58" s="13">
        <f>Balance_Sheet!C13</f>
        <v>12571.6</v>
      </c>
      <c r="D58" s="13">
        <f>Balance_Sheet!D13</f>
        <v>15632.521936808991</v>
      </c>
      <c r="E58" s="13">
        <f>Balance_Sheet!E13</f>
        <v>21401.257480909793</v>
      </c>
      <c r="F58" s="13">
        <f>Balance_Sheet!F13</f>
        <v>25275.872840225009</v>
      </c>
      <c r="G58" s="13">
        <f>Balance_Sheet!G13</f>
        <v>31343.195434457044</v>
      </c>
      <c r="I58" s="38"/>
      <c r="J58" s="39"/>
      <c r="K58" s="39"/>
      <c r="L58" s="40"/>
    </row>
    <row r="59" spans="2:12" ht="19.5" thickBot="1" x14ac:dyDescent="0.3">
      <c r="B59" s="14" t="s">
        <v>165</v>
      </c>
      <c r="C59" s="15">
        <f>ROUND(C57/ (C58+ C58), 2)</f>
        <v>0.09</v>
      </c>
      <c r="D59" s="15">
        <f t="shared" ref="D59:G59" si="12">ROUND(D57/ (D58+ D58), 2)</f>
        <v>0.11</v>
      </c>
      <c r="E59" s="15">
        <f t="shared" si="12"/>
        <v>0.14000000000000001</v>
      </c>
      <c r="F59" s="15">
        <f t="shared" si="12"/>
        <v>0.08</v>
      </c>
      <c r="G59" s="15">
        <f t="shared" si="12"/>
        <v>0.1</v>
      </c>
      <c r="I59" s="41"/>
      <c r="J59" s="42"/>
      <c r="K59" s="42"/>
      <c r="L59" s="43"/>
    </row>
    <row r="60" spans="2:12" ht="15.75" thickTop="1" x14ac:dyDescent="0.25"/>
    <row r="61" spans="2:12" ht="19.5" thickBot="1" x14ac:dyDescent="0.3">
      <c r="B61" s="44" t="s">
        <v>166</v>
      </c>
      <c r="C61" s="44"/>
      <c r="D61" s="44"/>
      <c r="E61" s="44"/>
      <c r="F61" s="44"/>
      <c r="G61" s="44"/>
    </row>
    <row r="62" spans="2:12" ht="19.5" thickTop="1" x14ac:dyDescent="0.25">
      <c r="B62" s="12" t="str">
        <f>Balance_Sheet!B21</f>
        <v>Total Debt</v>
      </c>
      <c r="C62" s="13">
        <f>Balance_Sheet!C21</f>
        <v>5260.1</v>
      </c>
      <c r="D62" s="13">
        <f>Balance_Sheet!D21</f>
        <v>3459.8</v>
      </c>
      <c r="E62" s="13">
        <f>Balance_Sheet!E21</f>
        <v>1785.6000000000001</v>
      </c>
      <c r="F62" s="13">
        <f>Balance_Sheet!F21</f>
        <v>2973.3</v>
      </c>
      <c r="G62" s="13">
        <f>Balance_Sheet!G21</f>
        <v>3284.2</v>
      </c>
      <c r="I62" s="35"/>
      <c r="J62" s="36"/>
      <c r="K62" s="36"/>
      <c r="L62" s="37"/>
    </row>
    <row r="63" spans="2:12" ht="18.75" x14ac:dyDescent="0.25">
      <c r="B63" s="12" t="str">
        <f>Balance_Sheet!B13</f>
        <v>Net Worth</v>
      </c>
      <c r="C63" s="13">
        <f>Balance_Sheet!C13</f>
        <v>12571.6</v>
      </c>
      <c r="D63" s="13">
        <f>Balance_Sheet!D13</f>
        <v>15632.521936808991</v>
      </c>
      <c r="E63" s="13">
        <f>Balance_Sheet!E13</f>
        <v>21401.257480909793</v>
      </c>
      <c r="F63" s="13">
        <f>Balance_Sheet!F13</f>
        <v>25275.872840225009</v>
      </c>
      <c r="G63" s="13">
        <f>Balance_Sheet!G13</f>
        <v>31343.195434457044</v>
      </c>
      <c r="I63" s="38"/>
      <c r="J63" s="39"/>
      <c r="K63" s="39"/>
      <c r="L63" s="40"/>
    </row>
    <row r="64" spans="2:12" ht="19.5" thickBot="1" x14ac:dyDescent="0.3">
      <c r="B64" s="14" t="s">
        <v>167</v>
      </c>
      <c r="C64" s="14">
        <f>ROUND(C62/ C63, 2)</f>
        <v>0.42</v>
      </c>
      <c r="D64" s="14">
        <f t="shared" ref="D64:G64" si="13">ROUND(D62/ D63, 2)</f>
        <v>0.22</v>
      </c>
      <c r="E64" s="14">
        <f t="shared" si="13"/>
        <v>0.08</v>
      </c>
      <c r="F64" s="14">
        <f t="shared" si="13"/>
        <v>0.12</v>
      </c>
      <c r="G64" s="14">
        <f t="shared" si="13"/>
        <v>0.1</v>
      </c>
      <c r="I64" s="41"/>
      <c r="J64" s="42"/>
      <c r="K64" s="42"/>
      <c r="L64" s="43"/>
    </row>
    <row r="65" spans="2:12" ht="15.75" thickTop="1" x14ac:dyDescent="0.25"/>
    <row r="66" spans="2:12" ht="19.5" thickBot="1" x14ac:dyDescent="0.3">
      <c r="B66" s="44" t="s">
        <v>168</v>
      </c>
      <c r="C66" s="44"/>
      <c r="D66" s="44"/>
      <c r="E66" s="44"/>
      <c r="F66" s="44"/>
      <c r="G66" s="44"/>
    </row>
    <row r="67" spans="2:12" ht="19.5" thickTop="1" x14ac:dyDescent="0.25">
      <c r="B67" s="12" t="str">
        <f>Balance_Sheet!B72</f>
        <v>Total Current Assets</v>
      </c>
      <c r="C67" s="13">
        <f>Balance_Sheet!C72</f>
        <v>9807.5</v>
      </c>
      <c r="D67" s="13">
        <f>Balance_Sheet!D72</f>
        <v>15424.621936808991</v>
      </c>
      <c r="E67" s="13">
        <f>Balance_Sheet!E72</f>
        <v>21852.45748090979</v>
      </c>
      <c r="F67" s="13">
        <f>Balance_Sheet!F72</f>
        <v>26370.272840225003</v>
      </c>
      <c r="G67" s="13">
        <f>Balance_Sheet!G72</f>
        <v>35086.095434457035</v>
      </c>
      <c r="I67" s="35"/>
      <c r="J67" s="36"/>
      <c r="K67" s="36"/>
      <c r="L67" s="37"/>
    </row>
    <row r="68" spans="2:12" ht="18.75" x14ac:dyDescent="0.25">
      <c r="B68" s="12" t="str">
        <f>Balance_Sheet!B33</f>
        <v>Total Current Liabilities</v>
      </c>
      <c r="C68" s="13">
        <f>Balance_Sheet!C33</f>
        <v>4712.6000000000004</v>
      </c>
      <c r="D68" s="13">
        <f>Balance_Sheet!D33</f>
        <v>4982.2</v>
      </c>
      <c r="E68" s="13">
        <f>Balance_Sheet!E33</f>
        <v>5840.9</v>
      </c>
      <c r="F68" s="13">
        <f>Balance_Sheet!F33</f>
        <v>6001.8</v>
      </c>
      <c r="G68" s="13">
        <f>Balance_Sheet!G33</f>
        <v>7250.3</v>
      </c>
      <c r="I68" s="38"/>
      <c r="J68" s="39"/>
      <c r="K68" s="39"/>
      <c r="L68" s="40"/>
    </row>
    <row r="69" spans="2:12" ht="19.5" thickBot="1" x14ac:dyDescent="0.3">
      <c r="B69" s="14" t="s">
        <v>169</v>
      </c>
      <c r="C69" s="14">
        <f>ROUND(C67/ C68, 2)</f>
        <v>2.08</v>
      </c>
      <c r="D69" s="14">
        <f t="shared" ref="D69:G69" si="14">ROUND(D67/ D68, 2)</f>
        <v>3.1</v>
      </c>
      <c r="E69" s="14">
        <f t="shared" si="14"/>
        <v>3.74</v>
      </c>
      <c r="F69" s="14">
        <f t="shared" si="14"/>
        <v>4.3899999999999997</v>
      </c>
      <c r="G69" s="14">
        <f t="shared" si="14"/>
        <v>4.84</v>
      </c>
      <c r="I69" s="41"/>
      <c r="J69" s="42"/>
      <c r="K69" s="42"/>
      <c r="L69" s="43"/>
    </row>
    <row r="70" spans="2:12" ht="15.75" thickTop="1" x14ac:dyDescent="0.25"/>
    <row r="71" spans="2:12" ht="18.75" x14ac:dyDescent="0.25">
      <c r="B71" s="44" t="s">
        <v>170</v>
      </c>
      <c r="C71" s="44"/>
      <c r="D71" s="44"/>
      <c r="E71" s="44"/>
      <c r="F71" s="44"/>
      <c r="G71" s="44"/>
    </row>
    <row r="72" spans="2:12" ht="19.5" thickBot="1" x14ac:dyDescent="0.3">
      <c r="B72" s="12" t="str">
        <f>Balance_Sheet!B72</f>
        <v>Total Current Assets</v>
      </c>
      <c r="C72" s="13">
        <f>Balance_Sheet!C72</f>
        <v>9807.5</v>
      </c>
      <c r="D72" s="13">
        <f>Balance_Sheet!D72</f>
        <v>15424.621936808991</v>
      </c>
      <c r="E72" s="13">
        <f>Balance_Sheet!E72</f>
        <v>21852.45748090979</v>
      </c>
      <c r="F72" s="13">
        <f>Balance_Sheet!F72</f>
        <v>26370.272840225003</v>
      </c>
      <c r="G72" s="13">
        <f>Balance_Sheet!G72</f>
        <v>35086.095434457035</v>
      </c>
    </row>
    <row r="73" spans="2:12" ht="19.5" thickTop="1" x14ac:dyDescent="0.25">
      <c r="B73" s="12" t="str">
        <f>Balance_Sheet!B66</f>
        <v>Inventories</v>
      </c>
      <c r="C73" s="13">
        <f>Balance_Sheet!C66</f>
        <v>2908.9</v>
      </c>
      <c r="D73" s="13">
        <f>Balance_Sheet!D66</f>
        <v>3357.9</v>
      </c>
      <c r="E73" s="13">
        <f>Balance_Sheet!E66</f>
        <v>3506.7</v>
      </c>
      <c r="F73" s="13">
        <f>Balance_Sheet!F66</f>
        <v>4541.2</v>
      </c>
      <c r="G73" s="13">
        <f>Balance_Sheet!G66</f>
        <v>5088.3999999999996</v>
      </c>
      <c r="I73" s="35"/>
      <c r="J73" s="36"/>
      <c r="K73" s="36"/>
      <c r="L73" s="37"/>
    </row>
    <row r="74" spans="2:12" ht="18.75" x14ac:dyDescent="0.25">
      <c r="B74" s="12" t="str">
        <f>Balance_Sheet!B33</f>
        <v>Total Current Liabilities</v>
      </c>
      <c r="C74" s="13">
        <f>Balance_Sheet!C33</f>
        <v>4712.6000000000004</v>
      </c>
      <c r="D74" s="13">
        <f>Balance_Sheet!D33</f>
        <v>4982.2</v>
      </c>
      <c r="E74" s="13">
        <f>Balance_Sheet!E33</f>
        <v>5840.9</v>
      </c>
      <c r="F74" s="13">
        <f>Balance_Sheet!F33</f>
        <v>6001.8</v>
      </c>
      <c r="G74" s="13">
        <f>Balance_Sheet!G33</f>
        <v>7250.3</v>
      </c>
      <c r="I74" s="38"/>
      <c r="J74" s="39"/>
      <c r="K74" s="39"/>
      <c r="L74" s="40"/>
    </row>
    <row r="75" spans="2:12" ht="19.5" thickBot="1" x14ac:dyDescent="0.3">
      <c r="B75" s="14" t="s">
        <v>171</v>
      </c>
      <c r="C75" s="14">
        <f>ROUND((C72-C73)/ C74, 2)</f>
        <v>1.46</v>
      </c>
      <c r="D75" s="14">
        <f t="shared" ref="D75:G75" si="15">ROUND((D72-D73)/ D74, 2)</f>
        <v>2.42</v>
      </c>
      <c r="E75" s="14">
        <f t="shared" si="15"/>
        <v>3.14</v>
      </c>
      <c r="F75" s="14">
        <f t="shared" si="15"/>
        <v>3.64</v>
      </c>
      <c r="G75" s="14">
        <f t="shared" si="15"/>
        <v>4.1399999999999997</v>
      </c>
      <c r="I75" s="41"/>
      <c r="J75" s="42"/>
      <c r="K75" s="42"/>
      <c r="L75" s="43"/>
    </row>
    <row r="76" spans="2:12" ht="15.75" thickTop="1" x14ac:dyDescent="0.25"/>
    <row r="77" spans="2:12" ht="19.5" thickBot="1" x14ac:dyDescent="0.3">
      <c r="B77" s="44" t="s">
        <v>172</v>
      </c>
      <c r="C77" s="44"/>
      <c r="D77" s="44"/>
      <c r="E77" s="44"/>
      <c r="F77" s="44"/>
      <c r="G77" s="44"/>
    </row>
    <row r="78" spans="2:12" ht="19.5" thickTop="1" x14ac:dyDescent="0.25">
      <c r="B78" s="12" t="str">
        <f>Income_Statement!B33</f>
        <v>PBIT</v>
      </c>
      <c r="C78" s="13">
        <f>Income_Statement!C33</f>
        <v>2760.6109274227611</v>
      </c>
      <c r="D78" s="13">
        <f>Income_Statement!D33</f>
        <v>3935.8219368089913</v>
      </c>
      <c r="E78" s="13">
        <f>Income_Statement!E33</f>
        <v>6118.2355441008021</v>
      </c>
      <c r="F78" s="13">
        <f>Income_Statement!F33</f>
        <v>5318.1153593152112</v>
      </c>
      <c r="G78" s="13">
        <f>Income_Statement!G33</f>
        <v>7042.0225942320349</v>
      </c>
      <c r="I78" s="35"/>
      <c r="J78" s="36"/>
      <c r="K78" s="36"/>
      <c r="L78" s="37"/>
    </row>
    <row r="79" spans="2:12" ht="18.75" x14ac:dyDescent="0.25">
      <c r="B79" s="12" t="str">
        <f>Income_Statement!B35</f>
        <v>Finance Costs</v>
      </c>
      <c r="C79" s="13">
        <f>Income_Statement!C35</f>
        <v>78.8</v>
      </c>
      <c r="D79" s="13">
        <f>Income_Statement!D35</f>
        <v>88.9</v>
      </c>
      <c r="E79" s="13">
        <f>Income_Statement!E35</f>
        <v>98.3</v>
      </c>
      <c r="F79" s="13">
        <f>Income_Statement!F35</f>
        <v>97</v>
      </c>
      <c r="G79" s="13">
        <f>Income_Statement!G35</f>
        <v>95.8</v>
      </c>
      <c r="I79" s="38"/>
      <c r="J79" s="39"/>
      <c r="K79" s="39"/>
      <c r="L79" s="40"/>
    </row>
    <row r="80" spans="2:12" ht="19.5" thickBot="1" x14ac:dyDescent="0.3">
      <c r="B80" s="14" t="s">
        <v>173</v>
      </c>
      <c r="C80" s="14">
        <f>ROUND(C78/C79, 2)</f>
        <v>35.03</v>
      </c>
      <c r="D80" s="14">
        <f t="shared" ref="D80:G80" si="16">ROUND(D78/D79, 2)</f>
        <v>44.27</v>
      </c>
      <c r="E80" s="14">
        <f t="shared" si="16"/>
        <v>62.24</v>
      </c>
      <c r="F80" s="14">
        <f t="shared" si="16"/>
        <v>54.83</v>
      </c>
      <c r="G80" s="14">
        <f t="shared" si="16"/>
        <v>73.510000000000005</v>
      </c>
      <c r="I80" s="41"/>
      <c r="J80" s="42"/>
      <c r="K80" s="42"/>
      <c r="L80" s="43"/>
    </row>
    <row r="81" spans="2:12" ht="15.75" thickTop="1" x14ac:dyDescent="0.25"/>
    <row r="82" spans="2:12" ht="19.5" thickBot="1" x14ac:dyDescent="0.3">
      <c r="B82" s="44" t="s">
        <v>174</v>
      </c>
      <c r="C82" s="44"/>
      <c r="D82" s="44"/>
      <c r="E82" s="44"/>
      <c r="F82" s="44"/>
      <c r="G82" s="44"/>
    </row>
    <row r="83" spans="2:12" ht="19.5" thickTop="1" x14ac:dyDescent="0.25">
      <c r="B83" s="12" t="str">
        <f>Income_Statement!B17</f>
        <v>Cost Of Materials Consumed</v>
      </c>
      <c r="C83" s="13">
        <f>Income_Statement!C17</f>
        <v>2630.9</v>
      </c>
      <c r="D83" s="13">
        <f>Income_Statement!D17</f>
        <v>2889.4</v>
      </c>
      <c r="E83" s="13">
        <f>Income_Statement!E17</f>
        <v>2984.8</v>
      </c>
      <c r="F83" s="13">
        <f>Income_Statement!F17</f>
        <v>4295.8</v>
      </c>
      <c r="G83" s="13">
        <f>Income_Statement!G17</f>
        <v>4312.3999999999996</v>
      </c>
      <c r="I83" s="35"/>
      <c r="J83" s="36"/>
      <c r="K83" s="36"/>
      <c r="L83" s="37"/>
    </row>
    <row r="84" spans="2:12" ht="18.75" x14ac:dyDescent="0.25">
      <c r="B84" s="12" t="str">
        <f>Income_Statement!B9</f>
        <v>Net Sales</v>
      </c>
      <c r="C84" s="13">
        <f>Income_Statement!C9</f>
        <v>14202.8</v>
      </c>
      <c r="D84" s="13">
        <f>Income_Statement!D9</f>
        <v>15385.1</v>
      </c>
      <c r="E84" s="13">
        <f>Income_Statement!E9</f>
        <v>17460</v>
      </c>
      <c r="F84" s="13">
        <f>Income_Statement!F9</f>
        <v>18972.2</v>
      </c>
      <c r="G84" s="13">
        <f>Income_Statement!G9</f>
        <v>21439.1</v>
      </c>
      <c r="I84" s="38"/>
      <c r="J84" s="39"/>
      <c r="K84" s="39"/>
      <c r="L84" s="40"/>
    </row>
    <row r="85" spans="2:12" ht="19.5" thickBot="1" x14ac:dyDescent="0.3">
      <c r="B85" s="14" t="s">
        <v>175</v>
      </c>
      <c r="C85" s="14">
        <f>ROUND(C83/C84, 2)</f>
        <v>0.19</v>
      </c>
      <c r="D85" s="14">
        <f t="shared" ref="D85:G85" si="17">ROUND(D83/D84, 2)</f>
        <v>0.19</v>
      </c>
      <c r="E85" s="14">
        <f t="shared" si="17"/>
        <v>0.17</v>
      </c>
      <c r="F85" s="14">
        <f t="shared" si="17"/>
        <v>0.23</v>
      </c>
      <c r="G85" s="14">
        <f t="shared" si="17"/>
        <v>0.2</v>
      </c>
      <c r="I85" s="41"/>
      <c r="J85" s="42"/>
      <c r="K85" s="42"/>
      <c r="L85" s="43"/>
    </row>
    <row r="86" spans="2:12" ht="15.75" thickTop="1" x14ac:dyDescent="0.25"/>
    <row r="87" spans="2:12" ht="19.5" thickBot="1" x14ac:dyDescent="0.3">
      <c r="B87" s="44" t="s">
        <v>176</v>
      </c>
      <c r="C87" s="44"/>
      <c r="D87" s="44"/>
      <c r="E87" s="44"/>
      <c r="F87" s="44"/>
      <c r="G87" s="44"/>
    </row>
    <row r="88" spans="2:12" ht="19.5" thickTop="1" x14ac:dyDescent="0.25">
      <c r="B88" s="12" t="str">
        <f>Balance_Sheet!B70</f>
        <v>Cash And Cash Equivalents</v>
      </c>
      <c r="C88" s="13">
        <f>Balance_Sheet!C70</f>
        <v>263.8</v>
      </c>
      <c r="D88" s="13">
        <f>Balance_Sheet!D70</f>
        <v>5893.4219368089916</v>
      </c>
      <c r="E88" s="13">
        <f>Balance_Sheet!E70</f>
        <v>9895.6574809097929</v>
      </c>
      <c r="F88" s="13">
        <f>Balance_Sheet!F70</f>
        <v>13814.872840225004</v>
      </c>
      <c r="G88" s="13">
        <f>Balance_Sheet!G70</f>
        <v>19789.195434457037</v>
      </c>
      <c r="I88" s="35"/>
      <c r="J88" s="36"/>
      <c r="K88" s="36"/>
      <c r="L88" s="37"/>
    </row>
    <row r="89" spans="2:12" ht="18.75" x14ac:dyDescent="0.25">
      <c r="B89" s="12" t="str">
        <f>Income_Statement!B17</f>
        <v>Cost Of Materials Consumed</v>
      </c>
      <c r="C89" s="13">
        <f>Income_Statement!C17</f>
        <v>2630.9</v>
      </c>
      <c r="D89" s="13">
        <f>Income_Statement!D17</f>
        <v>2889.4</v>
      </c>
      <c r="E89" s="13">
        <f>Income_Statement!E17</f>
        <v>2984.8</v>
      </c>
      <c r="F89" s="13">
        <f>Income_Statement!F17</f>
        <v>4295.8</v>
      </c>
      <c r="G89" s="13">
        <f>Income_Statement!G17</f>
        <v>4312.3999999999996</v>
      </c>
      <c r="I89" s="38"/>
      <c r="J89" s="39"/>
      <c r="K89" s="39"/>
      <c r="L89" s="40"/>
    </row>
    <row r="90" spans="2:12" ht="19.5" thickBot="1" x14ac:dyDescent="0.3">
      <c r="B90" s="14" t="s">
        <v>177</v>
      </c>
      <c r="C90" s="14">
        <f>ROUND(C88/C89*365, 2)</f>
        <v>36.6</v>
      </c>
      <c r="D90" s="14">
        <f t="shared" ref="D90:G90" si="18">ROUND(D88/D89*365, 2)</f>
        <v>744.48</v>
      </c>
      <c r="E90" s="14">
        <f t="shared" si="18"/>
        <v>1210.0999999999999</v>
      </c>
      <c r="F90" s="14">
        <f t="shared" si="18"/>
        <v>1173.8</v>
      </c>
      <c r="G90" s="14">
        <f t="shared" si="18"/>
        <v>1674.95</v>
      </c>
      <c r="I90" s="41"/>
      <c r="J90" s="42"/>
      <c r="K90" s="42"/>
      <c r="L90" s="43"/>
    </row>
    <row r="91" spans="2:12" ht="15.75" thickTop="1" x14ac:dyDescent="0.25"/>
    <row r="92" spans="2:12" ht="19.5" thickBot="1" x14ac:dyDescent="0.3">
      <c r="B92" s="44" t="s">
        <v>178</v>
      </c>
      <c r="C92" s="44"/>
      <c r="D92" s="44"/>
      <c r="E92" s="44"/>
      <c r="F92" s="44"/>
      <c r="G92" s="44"/>
    </row>
    <row r="93" spans="2:12" ht="19.5" thickTop="1" x14ac:dyDescent="0.25">
      <c r="B93" s="12" t="str">
        <f>Balance_Sheet!B70</f>
        <v>Cash And Cash Equivalents</v>
      </c>
      <c r="C93" s="13">
        <f>Balance_Sheet!C70</f>
        <v>263.8</v>
      </c>
      <c r="D93" s="13">
        <f>Balance_Sheet!D70</f>
        <v>5893.4219368089916</v>
      </c>
      <c r="E93" s="13">
        <f>Balance_Sheet!E70</f>
        <v>9895.6574809097929</v>
      </c>
      <c r="F93" s="13">
        <f>Balance_Sheet!F70</f>
        <v>13814.872840225004</v>
      </c>
      <c r="G93" s="13">
        <f>Balance_Sheet!G70</f>
        <v>19789.195434457037</v>
      </c>
      <c r="I93" s="35"/>
      <c r="J93" s="36"/>
      <c r="K93" s="36"/>
      <c r="L93" s="37"/>
    </row>
    <row r="94" spans="2:12" ht="18.75" x14ac:dyDescent="0.25">
      <c r="B94" s="12" t="s">
        <v>179</v>
      </c>
      <c r="C94" s="13">
        <v>365</v>
      </c>
      <c r="D94" s="13">
        <v>365</v>
      </c>
      <c r="E94" s="13">
        <v>365</v>
      </c>
      <c r="F94" s="13">
        <v>365</v>
      </c>
      <c r="G94" s="13">
        <v>365</v>
      </c>
      <c r="I94" s="38"/>
      <c r="J94" s="39"/>
      <c r="K94" s="39"/>
      <c r="L94" s="40"/>
    </row>
    <row r="95" spans="2:12" ht="19.5" thickBot="1" x14ac:dyDescent="0.3">
      <c r="B95" s="14" t="s">
        <v>180</v>
      </c>
      <c r="C95" s="14">
        <f>ROUND(C93/C94*365, 2)</f>
        <v>263.8</v>
      </c>
      <c r="D95" s="14">
        <f t="shared" ref="D95:G95" si="19">ROUND(D93/D94*365, 2)</f>
        <v>5893.42</v>
      </c>
      <c r="E95" s="14">
        <f t="shared" si="19"/>
        <v>9895.66</v>
      </c>
      <c r="F95" s="14">
        <f t="shared" si="19"/>
        <v>13814.87</v>
      </c>
      <c r="G95" s="14">
        <f t="shared" si="19"/>
        <v>19789.2</v>
      </c>
      <c r="I95" s="41"/>
      <c r="J95" s="42"/>
      <c r="K95" s="42"/>
      <c r="L95" s="43"/>
    </row>
    <row r="96" spans="2:12" ht="15.75" thickTop="1" x14ac:dyDescent="0.25"/>
    <row r="97" spans="2:12" ht="19.5" thickBot="1" x14ac:dyDescent="0.3">
      <c r="B97" s="44" t="s">
        <v>181</v>
      </c>
      <c r="C97" s="44"/>
      <c r="D97" s="44"/>
      <c r="E97" s="44"/>
      <c r="F97" s="44"/>
      <c r="G97" s="44"/>
    </row>
    <row r="98" spans="2:12" ht="19.5" thickTop="1" x14ac:dyDescent="0.25">
      <c r="B98" s="12" t="str">
        <f>Income_Statement!B5</f>
        <v>Gross Sales</v>
      </c>
      <c r="C98" s="13">
        <f>Income_Statement!C5</f>
        <v>14202.8</v>
      </c>
      <c r="D98" s="13">
        <f>Income_Statement!D5</f>
        <v>15385.1</v>
      </c>
      <c r="E98" s="13">
        <f>Income_Statement!E5</f>
        <v>17460</v>
      </c>
      <c r="F98" s="13">
        <f>Income_Statement!F5</f>
        <v>18972.2</v>
      </c>
      <c r="G98" s="13">
        <f>Income_Statement!G5</f>
        <v>21439.1</v>
      </c>
      <c r="I98" s="35"/>
      <c r="J98" s="36"/>
      <c r="K98" s="36"/>
      <c r="L98" s="37"/>
    </row>
    <row r="99" spans="2:12" ht="18.75" x14ac:dyDescent="0.25">
      <c r="B99" s="12" t="str">
        <f>Balance_Sheet!B74</f>
        <v>Total Assets</v>
      </c>
      <c r="C99" s="13">
        <f>Balance_Sheet!C74</f>
        <v>22544.300000000003</v>
      </c>
      <c r="D99" s="13">
        <f>Balance_Sheet!D74</f>
        <v>24074.521936808989</v>
      </c>
      <c r="E99" s="13">
        <f>Balance_Sheet!E74</f>
        <v>29027.75748090979</v>
      </c>
      <c r="F99" s="13">
        <f>Balance_Sheet!F74</f>
        <v>34250.972840225004</v>
      </c>
      <c r="G99" s="13">
        <f>Balance_Sheet!G74</f>
        <v>41877.695434457033</v>
      </c>
      <c r="I99" s="38"/>
      <c r="J99" s="39"/>
      <c r="K99" s="39"/>
      <c r="L99" s="40"/>
    </row>
    <row r="100" spans="2:12" ht="19.5" thickBot="1" x14ac:dyDescent="0.3">
      <c r="B100" s="14" t="s">
        <v>182</v>
      </c>
      <c r="C100" s="14">
        <f>ROUND(C98/C99, 2)</f>
        <v>0.63</v>
      </c>
      <c r="D100" s="14">
        <f t="shared" ref="D100:G100" si="20">ROUND(D98/D99, 2)</f>
        <v>0.64</v>
      </c>
      <c r="E100" s="14">
        <f t="shared" si="20"/>
        <v>0.6</v>
      </c>
      <c r="F100" s="14">
        <f t="shared" si="20"/>
        <v>0.55000000000000004</v>
      </c>
      <c r="G100" s="14">
        <f t="shared" si="20"/>
        <v>0.51</v>
      </c>
      <c r="I100" s="41"/>
      <c r="J100" s="42"/>
      <c r="K100" s="42"/>
      <c r="L100" s="43"/>
    </row>
    <row r="101" spans="2:12" ht="15.75" thickTop="1" x14ac:dyDescent="0.25"/>
    <row r="102" spans="2:12" ht="19.5" thickBot="1" x14ac:dyDescent="0.3">
      <c r="B102" s="44" t="s">
        <v>183</v>
      </c>
      <c r="C102" s="44"/>
      <c r="D102" s="44"/>
      <c r="E102" s="44"/>
      <c r="F102" s="44"/>
      <c r="G102" s="44"/>
    </row>
    <row r="103" spans="2:12" ht="19.5" thickTop="1" x14ac:dyDescent="0.25">
      <c r="B103" s="12" t="str">
        <f>Income_Statement!B5</f>
        <v>Gross Sales</v>
      </c>
      <c r="C103" s="13">
        <f>Income_Statement!C5</f>
        <v>14202.8</v>
      </c>
      <c r="D103" s="13">
        <f>Income_Statement!D5</f>
        <v>15385.1</v>
      </c>
      <c r="E103" s="13">
        <f>Income_Statement!E5</f>
        <v>17460</v>
      </c>
      <c r="F103" s="13">
        <f>Income_Statement!F5</f>
        <v>18972.2</v>
      </c>
      <c r="G103" s="13">
        <f>Income_Statement!G5</f>
        <v>21439.1</v>
      </c>
      <c r="I103" s="35"/>
      <c r="J103" s="36"/>
      <c r="K103" s="36"/>
      <c r="L103" s="37"/>
    </row>
    <row r="104" spans="2:12" ht="18.75" x14ac:dyDescent="0.25">
      <c r="B104" s="12" t="str">
        <f>Balance_Sheet!B66</f>
        <v>Inventories</v>
      </c>
      <c r="C104" s="13">
        <f>Balance_Sheet!C66</f>
        <v>2908.9</v>
      </c>
      <c r="D104" s="13">
        <f>Balance_Sheet!D66</f>
        <v>3357.9</v>
      </c>
      <c r="E104" s="13">
        <f>Balance_Sheet!E66</f>
        <v>3506.7</v>
      </c>
      <c r="F104" s="13">
        <f>Balance_Sheet!F66</f>
        <v>4541.2</v>
      </c>
      <c r="G104" s="13">
        <f>Balance_Sheet!G66</f>
        <v>5088.3999999999996</v>
      </c>
      <c r="I104" s="38"/>
      <c r="J104" s="39"/>
      <c r="K104" s="39"/>
      <c r="L104" s="40"/>
    </row>
    <row r="105" spans="2:12" ht="19.5" thickBot="1" x14ac:dyDescent="0.3">
      <c r="B105" s="14" t="s">
        <v>184</v>
      </c>
      <c r="C105" s="14">
        <f>ROUND(C103/C104, 2)</f>
        <v>4.88</v>
      </c>
      <c r="D105" s="14">
        <f t="shared" ref="D105:G105" si="21">ROUND(D103/D104, 2)</f>
        <v>4.58</v>
      </c>
      <c r="E105" s="14">
        <f t="shared" si="21"/>
        <v>4.9800000000000004</v>
      </c>
      <c r="F105" s="14">
        <f t="shared" si="21"/>
        <v>4.18</v>
      </c>
      <c r="G105" s="14">
        <f t="shared" si="21"/>
        <v>4.21</v>
      </c>
      <c r="I105" s="41"/>
      <c r="J105" s="42"/>
      <c r="K105" s="42"/>
      <c r="L105" s="43"/>
    </row>
    <row r="106" spans="2:12" ht="15.75" thickTop="1" x14ac:dyDescent="0.25"/>
    <row r="107" spans="2:12" ht="19.5" thickBot="1" x14ac:dyDescent="0.3">
      <c r="B107" s="44" t="s">
        <v>185</v>
      </c>
      <c r="C107" s="44"/>
      <c r="D107" s="44"/>
      <c r="E107" s="44"/>
      <c r="F107" s="44"/>
      <c r="G107" s="44"/>
    </row>
    <row r="108" spans="2:12" ht="19.5" thickTop="1" x14ac:dyDescent="0.25">
      <c r="B108" s="12" t="str">
        <f>Income_Statement!B5</f>
        <v>Gross Sales</v>
      </c>
      <c r="C108" s="13">
        <f>Income_Statement!C5</f>
        <v>14202.8</v>
      </c>
      <c r="D108" s="13">
        <f>Income_Statement!D5</f>
        <v>15385.1</v>
      </c>
      <c r="E108" s="13">
        <f>Income_Statement!E5</f>
        <v>17460</v>
      </c>
      <c r="F108" s="13">
        <f>Income_Statement!F5</f>
        <v>18972.2</v>
      </c>
      <c r="G108" s="13">
        <f>Income_Statement!G5</f>
        <v>21439.1</v>
      </c>
      <c r="I108" s="35"/>
      <c r="J108" s="36"/>
      <c r="K108" s="36"/>
      <c r="L108" s="37"/>
    </row>
    <row r="109" spans="2:12" ht="18.75" x14ac:dyDescent="0.25">
      <c r="B109" s="12" t="str">
        <f>Balance_Sheet!B68</f>
        <v>Trade Receivables</v>
      </c>
      <c r="C109" s="13">
        <f>Balance_Sheet!C68</f>
        <v>4052.7</v>
      </c>
      <c r="D109" s="13">
        <f>Balance_Sheet!D68</f>
        <v>3986.9</v>
      </c>
      <c r="E109" s="13">
        <f>Balance_Sheet!E68</f>
        <v>5027.8</v>
      </c>
      <c r="F109" s="13">
        <f>Balance_Sheet!F68</f>
        <v>4964.1000000000004</v>
      </c>
      <c r="G109" s="13">
        <f>Balance_Sheet!G68</f>
        <v>6676.4</v>
      </c>
      <c r="I109" s="38"/>
      <c r="J109" s="39"/>
      <c r="K109" s="39"/>
      <c r="L109" s="40"/>
    </row>
    <row r="110" spans="2:12" ht="19.5" thickBot="1" x14ac:dyDescent="0.3">
      <c r="B110" s="14" t="s">
        <v>186</v>
      </c>
      <c r="C110" s="14">
        <f>ROUND(C108/C109, 2)</f>
        <v>3.5</v>
      </c>
      <c r="D110" s="14">
        <f t="shared" ref="D110:G110" si="22">ROUND(D108/D109, 2)</f>
        <v>3.86</v>
      </c>
      <c r="E110" s="14">
        <f t="shared" si="22"/>
        <v>3.47</v>
      </c>
      <c r="F110" s="14">
        <f t="shared" si="22"/>
        <v>3.82</v>
      </c>
      <c r="G110" s="14">
        <f t="shared" si="22"/>
        <v>3.21</v>
      </c>
      <c r="I110" s="41"/>
      <c r="J110" s="42"/>
      <c r="K110" s="42"/>
      <c r="L110" s="43"/>
    </row>
    <row r="111" spans="2:12" ht="15.75" thickTop="1" x14ac:dyDescent="0.25"/>
    <row r="112" spans="2:12" ht="19.5" thickBot="1" x14ac:dyDescent="0.3">
      <c r="B112" s="44" t="s">
        <v>187</v>
      </c>
      <c r="C112" s="44"/>
      <c r="D112" s="44"/>
      <c r="E112" s="44"/>
      <c r="F112" s="44"/>
      <c r="G112" s="44"/>
    </row>
    <row r="113" spans="2:12" ht="19.5" thickTop="1" x14ac:dyDescent="0.25">
      <c r="B113" s="12" t="str">
        <f>Income_Statement!B5</f>
        <v>Gross Sales</v>
      </c>
      <c r="C113" s="13">
        <f>Income_Statement!C5</f>
        <v>14202.8</v>
      </c>
      <c r="D113" s="13">
        <f>Income_Statement!D5</f>
        <v>15385.1</v>
      </c>
      <c r="E113" s="13">
        <f>Income_Statement!E5</f>
        <v>17460</v>
      </c>
      <c r="F113" s="13">
        <f>Income_Statement!F5</f>
        <v>18972.2</v>
      </c>
      <c r="G113" s="13">
        <f>Income_Statement!G5</f>
        <v>21439.1</v>
      </c>
      <c r="I113" s="35"/>
      <c r="J113" s="36"/>
      <c r="K113" s="36"/>
      <c r="L113" s="37"/>
    </row>
    <row r="114" spans="2:12" ht="18.75" x14ac:dyDescent="0.25">
      <c r="B114" s="12" t="str">
        <f>Balance_Sheet!B40</f>
        <v>Tangible Assets</v>
      </c>
      <c r="C114" s="13">
        <f>Balance_Sheet!C40</f>
        <v>4973.3</v>
      </c>
      <c r="D114" s="13">
        <f>Balance_Sheet!D40</f>
        <v>4912.7</v>
      </c>
      <c r="E114" s="13">
        <f>Balance_Sheet!E40</f>
        <v>4777.8999999999996</v>
      </c>
      <c r="F114" s="13">
        <f>Balance_Sheet!F40</f>
        <v>4732.2</v>
      </c>
      <c r="G114" s="13">
        <f>Balance_Sheet!G40</f>
        <v>8867.6</v>
      </c>
      <c r="I114" s="38"/>
      <c r="J114" s="39"/>
      <c r="K114" s="39"/>
      <c r="L114" s="40"/>
    </row>
    <row r="115" spans="2:12" ht="19.5" thickBot="1" x14ac:dyDescent="0.3">
      <c r="B115" s="14" t="s">
        <v>188</v>
      </c>
      <c r="C115" s="14">
        <f>ROUND(C113/C114, 2)</f>
        <v>2.86</v>
      </c>
      <c r="D115" s="14">
        <f t="shared" ref="D115:G115" si="23">ROUND(D113/D114, 2)</f>
        <v>3.13</v>
      </c>
      <c r="E115" s="14">
        <f t="shared" si="23"/>
        <v>3.65</v>
      </c>
      <c r="F115" s="14">
        <f t="shared" si="23"/>
        <v>4.01</v>
      </c>
      <c r="G115" s="14">
        <f t="shared" si="23"/>
        <v>2.42</v>
      </c>
      <c r="I115" s="41"/>
      <c r="J115" s="42"/>
      <c r="K115" s="42"/>
      <c r="L115" s="43"/>
    </row>
    <row r="116" spans="2:12" ht="15.75" thickTop="1" x14ac:dyDescent="0.25"/>
    <row r="117" spans="2:12" ht="19.5" thickBot="1" x14ac:dyDescent="0.3">
      <c r="B117" s="44" t="s">
        <v>189</v>
      </c>
      <c r="C117" s="44"/>
      <c r="D117" s="44"/>
      <c r="E117" s="44"/>
      <c r="F117" s="44"/>
      <c r="G117" s="44"/>
    </row>
    <row r="118" spans="2:12" ht="19.5" thickTop="1" x14ac:dyDescent="0.25">
      <c r="B118" s="12" t="str">
        <f>Income_Statement!B17</f>
        <v>Cost Of Materials Consumed</v>
      </c>
      <c r="C118" s="13">
        <f>Income_Statement!C17</f>
        <v>2630.9</v>
      </c>
      <c r="D118" s="13">
        <f>Income_Statement!D17</f>
        <v>2889.4</v>
      </c>
      <c r="E118" s="13">
        <f>Income_Statement!E17</f>
        <v>2984.8</v>
      </c>
      <c r="F118" s="13">
        <f>Income_Statement!F17</f>
        <v>4295.8</v>
      </c>
      <c r="G118" s="13">
        <f>Income_Statement!G17</f>
        <v>4312.3999999999996</v>
      </c>
      <c r="I118" s="35"/>
      <c r="J118" s="36"/>
      <c r="K118" s="36"/>
      <c r="L118" s="37"/>
    </row>
    <row r="119" spans="2:12" ht="18.75" x14ac:dyDescent="0.25">
      <c r="B119" s="12" t="str">
        <f>Balance_Sheet!B33</f>
        <v>Total Current Liabilities</v>
      </c>
      <c r="C119" s="13">
        <f>Balance_Sheet!C33</f>
        <v>4712.6000000000004</v>
      </c>
      <c r="D119" s="13">
        <f>Balance_Sheet!D33</f>
        <v>4982.2</v>
      </c>
      <c r="E119" s="13">
        <f>Balance_Sheet!E33</f>
        <v>5840.9</v>
      </c>
      <c r="F119" s="13">
        <f>Balance_Sheet!F33</f>
        <v>6001.8</v>
      </c>
      <c r="G119" s="13">
        <f>Balance_Sheet!G33</f>
        <v>7250.3</v>
      </c>
      <c r="I119" s="38"/>
      <c r="J119" s="39"/>
      <c r="K119" s="39"/>
      <c r="L119" s="40"/>
    </row>
    <row r="120" spans="2:12" ht="19.5" thickBot="1" x14ac:dyDescent="0.3">
      <c r="B120" s="14" t="s">
        <v>190</v>
      </c>
      <c r="C120" s="14">
        <f>ROUND(C118/C119, 2)</f>
        <v>0.56000000000000005</v>
      </c>
      <c r="D120" s="14">
        <f t="shared" ref="D120:G120" si="24">ROUND(D118/D119, 2)</f>
        <v>0.57999999999999996</v>
      </c>
      <c r="E120" s="14">
        <f t="shared" si="24"/>
        <v>0.51</v>
      </c>
      <c r="F120" s="14">
        <f t="shared" si="24"/>
        <v>0.72</v>
      </c>
      <c r="G120" s="14">
        <f t="shared" si="24"/>
        <v>0.59</v>
      </c>
      <c r="I120" s="41"/>
      <c r="J120" s="42"/>
      <c r="K120" s="42"/>
      <c r="L120" s="43"/>
    </row>
    <row r="121" spans="2:12" ht="15.75" thickTop="1" x14ac:dyDescent="0.25"/>
    <row r="122" spans="2:12" ht="19.5" thickBot="1" x14ac:dyDescent="0.3">
      <c r="B122" s="44" t="s">
        <v>191</v>
      </c>
      <c r="C122" s="44"/>
      <c r="D122" s="44"/>
      <c r="E122" s="44"/>
      <c r="F122" s="44"/>
      <c r="G122" s="44"/>
    </row>
    <row r="123" spans="2:12" ht="19.5" thickTop="1" x14ac:dyDescent="0.25">
      <c r="B123" s="12" t="str">
        <f>Income_Statement!B5</f>
        <v>Gross Sales</v>
      </c>
      <c r="C123" s="13">
        <f>Income_Statement!C5</f>
        <v>14202.8</v>
      </c>
      <c r="D123" s="13">
        <f>Income_Statement!D5</f>
        <v>15385.1</v>
      </c>
      <c r="E123" s="13">
        <f>Income_Statement!E5</f>
        <v>17460</v>
      </c>
      <c r="F123" s="13">
        <f>Income_Statement!F5</f>
        <v>18972.2</v>
      </c>
      <c r="G123" s="13">
        <f>Income_Statement!G5</f>
        <v>21439.1</v>
      </c>
      <c r="I123" s="35"/>
      <c r="J123" s="36"/>
      <c r="K123" s="36"/>
      <c r="L123" s="37"/>
    </row>
    <row r="124" spans="2:12" ht="18.75" x14ac:dyDescent="0.25">
      <c r="B124" s="12" t="str">
        <f>Balance_Sheet!B66</f>
        <v>Inventories</v>
      </c>
      <c r="C124" s="13">
        <f>Balance_Sheet!C66</f>
        <v>2908.9</v>
      </c>
      <c r="D124" s="13">
        <f>Balance_Sheet!D66</f>
        <v>3357.9</v>
      </c>
      <c r="E124" s="13">
        <f>Balance_Sheet!E66</f>
        <v>3506.7</v>
      </c>
      <c r="F124" s="13">
        <f>Balance_Sheet!F66</f>
        <v>4541.2</v>
      </c>
      <c r="G124" s="13">
        <f>Balance_Sheet!G66</f>
        <v>5088.3999999999996</v>
      </c>
      <c r="I124" s="38"/>
      <c r="J124" s="39"/>
      <c r="K124" s="39"/>
      <c r="L124" s="40"/>
    </row>
    <row r="125" spans="2:12" ht="19.5" thickBot="1" x14ac:dyDescent="0.3">
      <c r="B125" s="14" t="s">
        <v>192</v>
      </c>
      <c r="C125" s="14">
        <f>ROUND(365/C123*C124, 2)</f>
        <v>74.760000000000005</v>
      </c>
      <c r="D125" s="14">
        <f t="shared" ref="D125:G125" si="25">ROUND(365/D123*D124, 2)</f>
        <v>79.66</v>
      </c>
      <c r="E125" s="14">
        <f t="shared" si="25"/>
        <v>73.31</v>
      </c>
      <c r="F125" s="14">
        <f t="shared" si="25"/>
        <v>87.37</v>
      </c>
      <c r="G125" s="14">
        <f t="shared" si="25"/>
        <v>86.63</v>
      </c>
      <c r="I125" s="41"/>
      <c r="J125" s="42"/>
      <c r="K125" s="42"/>
      <c r="L125" s="43"/>
    </row>
    <row r="126" spans="2:12" ht="15.75" thickTop="1" x14ac:dyDescent="0.25"/>
    <row r="127" spans="2:12" ht="19.5" thickBot="1" x14ac:dyDescent="0.3">
      <c r="B127" s="44" t="s">
        <v>193</v>
      </c>
      <c r="C127" s="44"/>
      <c r="D127" s="44"/>
      <c r="E127" s="44"/>
      <c r="F127" s="44"/>
      <c r="G127" s="44"/>
    </row>
    <row r="128" spans="2:12" ht="19.5" thickTop="1" x14ac:dyDescent="0.25">
      <c r="B128" s="12" t="str">
        <f>Income_Statement!B17</f>
        <v>Cost Of Materials Consumed</v>
      </c>
      <c r="C128" s="13">
        <f>Income_Statement!C17</f>
        <v>2630.9</v>
      </c>
      <c r="D128" s="13">
        <f>Income_Statement!D17</f>
        <v>2889.4</v>
      </c>
      <c r="E128" s="13">
        <f>Income_Statement!E17</f>
        <v>2984.8</v>
      </c>
      <c r="F128" s="13">
        <f>Income_Statement!F17</f>
        <v>4295.8</v>
      </c>
      <c r="G128" s="13">
        <f>Income_Statement!G17</f>
        <v>4312.3999999999996</v>
      </c>
      <c r="I128" s="35"/>
      <c r="J128" s="36"/>
      <c r="K128" s="36"/>
      <c r="L128" s="37"/>
    </row>
    <row r="129" spans="2:12" ht="18.75" x14ac:dyDescent="0.25">
      <c r="B129" s="12" t="str">
        <f>Balance_Sheet!B33</f>
        <v>Total Current Liabilities</v>
      </c>
      <c r="C129" s="13">
        <f>Balance_Sheet!C33</f>
        <v>4712.6000000000004</v>
      </c>
      <c r="D129" s="13">
        <f>Balance_Sheet!D33</f>
        <v>4982.2</v>
      </c>
      <c r="E129" s="13">
        <f>Balance_Sheet!E33</f>
        <v>5840.9</v>
      </c>
      <c r="F129" s="13">
        <f>Balance_Sheet!F33</f>
        <v>6001.8</v>
      </c>
      <c r="G129" s="13">
        <f>Balance_Sheet!G33</f>
        <v>7250.3</v>
      </c>
      <c r="I129" s="38"/>
      <c r="J129" s="39"/>
      <c r="K129" s="39"/>
      <c r="L129" s="40"/>
    </row>
    <row r="130" spans="2:12" ht="19.5" thickBot="1" x14ac:dyDescent="0.3">
      <c r="B130" s="14" t="s">
        <v>194</v>
      </c>
      <c r="C130" s="14">
        <f>ROUND(365/C128*C129, 2)</f>
        <v>653.80999999999995</v>
      </c>
      <c r="D130" s="14">
        <f t="shared" ref="D130:G130" si="26">ROUND(365/D128*D129, 2)</f>
        <v>629.37</v>
      </c>
      <c r="E130" s="14">
        <f t="shared" si="26"/>
        <v>714.26</v>
      </c>
      <c r="F130" s="14">
        <f t="shared" si="26"/>
        <v>509.95</v>
      </c>
      <c r="G130" s="14">
        <f t="shared" si="26"/>
        <v>613.66</v>
      </c>
      <c r="I130" s="41"/>
      <c r="J130" s="42"/>
      <c r="K130" s="42"/>
      <c r="L130" s="43"/>
    </row>
    <row r="131" spans="2:12" ht="15.75" thickTop="1" x14ac:dyDescent="0.25"/>
    <row r="132" spans="2:12" ht="19.5" thickBot="1" x14ac:dyDescent="0.3">
      <c r="B132" s="44" t="s">
        <v>195</v>
      </c>
      <c r="C132" s="44"/>
      <c r="D132" s="44"/>
      <c r="E132" s="44"/>
      <c r="F132" s="44"/>
      <c r="G132" s="44"/>
    </row>
    <row r="133" spans="2:12" ht="19.5" thickTop="1" x14ac:dyDescent="0.25">
      <c r="B133" s="12" t="str">
        <f>Income_Statement!B5</f>
        <v>Gross Sales</v>
      </c>
      <c r="C133" s="13">
        <f>Income_Statement!C5</f>
        <v>14202.8</v>
      </c>
      <c r="D133" s="13">
        <f>Income_Statement!D5</f>
        <v>15385.1</v>
      </c>
      <c r="E133" s="13">
        <f>Income_Statement!E5</f>
        <v>17460</v>
      </c>
      <c r="F133" s="13">
        <f>Income_Statement!F5</f>
        <v>18972.2</v>
      </c>
      <c r="G133" s="13">
        <f>Income_Statement!G5</f>
        <v>21439.1</v>
      </c>
      <c r="I133" s="35"/>
      <c r="J133" s="36"/>
      <c r="K133" s="36"/>
      <c r="L133" s="37"/>
    </row>
    <row r="134" spans="2:12" ht="18.75" x14ac:dyDescent="0.25">
      <c r="B134" s="12" t="str">
        <f>Balance_Sheet!B68</f>
        <v>Trade Receivables</v>
      </c>
      <c r="C134" s="13">
        <f>Balance_Sheet!C68</f>
        <v>4052.7</v>
      </c>
      <c r="D134" s="13">
        <f>Balance_Sheet!D68</f>
        <v>3986.9</v>
      </c>
      <c r="E134" s="13">
        <f>Balance_Sheet!E68</f>
        <v>5027.8</v>
      </c>
      <c r="F134" s="13">
        <f>Balance_Sheet!F68</f>
        <v>4964.1000000000004</v>
      </c>
      <c r="G134" s="13">
        <f>Balance_Sheet!G68</f>
        <v>6676.4</v>
      </c>
      <c r="I134" s="38"/>
      <c r="J134" s="39"/>
      <c r="K134" s="39"/>
      <c r="L134" s="40"/>
    </row>
    <row r="135" spans="2:12" ht="19.5" thickBot="1" x14ac:dyDescent="0.3">
      <c r="B135" s="14" t="s">
        <v>196</v>
      </c>
      <c r="C135" s="14">
        <f>ROUND(365/C133*C134, 2)</f>
        <v>104.15</v>
      </c>
      <c r="D135" s="14">
        <f t="shared" ref="D135:G135" si="27">ROUND(365/D133*D134, 2)</f>
        <v>94.59</v>
      </c>
      <c r="E135" s="14">
        <f t="shared" si="27"/>
        <v>105.11</v>
      </c>
      <c r="F135" s="14">
        <f t="shared" si="27"/>
        <v>95.5</v>
      </c>
      <c r="G135" s="14">
        <f t="shared" si="27"/>
        <v>113.67</v>
      </c>
      <c r="I135" s="41"/>
      <c r="J135" s="42"/>
      <c r="K135" s="42"/>
      <c r="L135" s="43"/>
    </row>
    <row r="136" spans="2:12" ht="15.75" thickTop="1" x14ac:dyDescent="0.25"/>
    <row r="137" spans="2:12" ht="18.75" x14ac:dyDescent="0.25">
      <c r="B137" s="44" t="s">
        <v>197</v>
      </c>
      <c r="C137" s="44"/>
      <c r="D137" s="44"/>
      <c r="E137" s="44"/>
      <c r="F137" s="44"/>
      <c r="G137" s="44"/>
    </row>
    <row r="138" spans="2:12" ht="18.75" x14ac:dyDescent="0.25">
      <c r="B138" s="12" t="str">
        <f>Income_Statement!B5</f>
        <v>Gross Sales</v>
      </c>
      <c r="C138" s="13">
        <f>Income_Statement!C5</f>
        <v>14202.8</v>
      </c>
      <c r="D138" s="13">
        <f>Income_Statement!D5</f>
        <v>15385.1</v>
      </c>
      <c r="E138" s="13">
        <f>Income_Statement!E5</f>
        <v>17460</v>
      </c>
      <c r="F138" s="13">
        <f>Income_Statement!F5</f>
        <v>18972.2</v>
      </c>
      <c r="G138" s="13">
        <f>Income_Statement!G5</f>
        <v>21439.1</v>
      </c>
    </row>
    <row r="139" spans="2:12" ht="18.75" x14ac:dyDescent="0.25">
      <c r="B139" s="12" t="str">
        <f>Balance_Sheet!B66</f>
        <v>Inventories</v>
      </c>
      <c r="C139" s="13">
        <f>Balance_Sheet!C66</f>
        <v>2908.9</v>
      </c>
      <c r="D139" s="13">
        <f>Balance_Sheet!D66</f>
        <v>3357.9</v>
      </c>
      <c r="E139" s="13">
        <f>Balance_Sheet!E66</f>
        <v>3506.7</v>
      </c>
      <c r="F139" s="13">
        <f>Balance_Sheet!F66</f>
        <v>4541.2</v>
      </c>
      <c r="G139" s="13">
        <f>Balance_Sheet!G66</f>
        <v>5088.3999999999996</v>
      </c>
    </row>
    <row r="140" spans="2:12" ht="18.75" x14ac:dyDescent="0.25">
      <c r="B140" s="12" t="s">
        <v>192</v>
      </c>
      <c r="C140" s="13">
        <f>ROUND(365/C138*C139, 2)</f>
        <v>74.760000000000005</v>
      </c>
      <c r="D140" s="13">
        <f t="shared" ref="D140:G140" si="28">ROUND(365/D138*D139, 2)</f>
        <v>79.66</v>
      </c>
      <c r="E140" s="13">
        <f t="shared" si="28"/>
        <v>73.31</v>
      </c>
      <c r="F140" s="13">
        <f t="shared" si="28"/>
        <v>87.37</v>
      </c>
      <c r="G140" s="13">
        <f t="shared" si="28"/>
        <v>86.63</v>
      </c>
    </row>
    <row r="141" spans="2:12" ht="19.5" thickBot="1" x14ac:dyDescent="0.3">
      <c r="B141" s="12" t="str">
        <f>Income_Statement!B17</f>
        <v>Cost Of Materials Consumed</v>
      </c>
      <c r="C141" s="13">
        <f>Income_Statement!C17</f>
        <v>2630.9</v>
      </c>
      <c r="D141" s="13">
        <f>Income_Statement!D17</f>
        <v>2889.4</v>
      </c>
      <c r="E141" s="13">
        <f>Income_Statement!E17</f>
        <v>2984.8</v>
      </c>
      <c r="F141" s="13">
        <f>Income_Statement!F17</f>
        <v>4295.8</v>
      </c>
      <c r="G141" s="13">
        <f>Income_Statement!G17</f>
        <v>4312.3999999999996</v>
      </c>
    </row>
    <row r="142" spans="2:12" ht="19.5" thickTop="1" x14ac:dyDescent="0.25">
      <c r="B142" s="12" t="str">
        <f>Balance_Sheet!B33</f>
        <v>Total Current Liabilities</v>
      </c>
      <c r="C142" s="13">
        <f>Balance_Sheet!C33</f>
        <v>4712.6000000000004</v>
      </c>
      <c r="D142" s="13">
        <f>Balance_Sheet!D33</f>
        <v>4982.2</v>
      </c>
      <c r="E142" s="13">
        <f>Balance_Sheet!E33</f>
        <v>5840.9</v>
      </c>
      <c r="F142" s="13">
        <f>Balance_Sheet!F33</f>
        <v>6001.8</v>
      </c>
      <c r="G142" s="13">
        <f>Balance_Sheet!G33</f>
        <v>7250.3</v>
      </c>
      <c r="I142" s="35"/>
      <c r="J142" s="36"/>
      <c r="K142" s="36"/>
      <c r="L142" s="37"/>
    </row>
    <row r="143" spans="2:12" ht="18.75" x14ac:dyDescent="0.25">
      <c r="B143" s="12" t="s">
        <v>194</v>
      </c>
      <c r="C143" s="13">
        <f>ROUND(365/C141*C142, 2)</f>
        <v>653.80999999999995</v>
      </c>
      <c r="D143" s="13">
        <f t="shared" ref="D143:G143" si="29">ROUND(365/D141*D142, 2)</f>
        <v>629.37</v>
      </c>
      <c r="E143" s="13">
        <f t="shared" si="29"/>
        <v>714.26</v>
      </c>
      <c r="F143" s="13">
        <f t="shared" si="29"/>
        <v>509.95</v>
      </c>
      <c r="G143" s="13">
        <f t="shared" si="29"/>
        <v>613.66</v>
      </c>
      <c r="I143" s="38"/>
      <c r="J143" s="39"/>
      <c r="K143" s="39"/>
      <c r="L143" s="40"/>
    </row>
    <row r="144" spans="2:12" ht="19.5" thickBot="1" x14ac:dyDescent="0.3">
      <c r="B144" s="14" t="s">
        <v>198</v>
      </c>
      <c r="C144" s="16">
        <f>ROUND(C143+C140, 2)</f>
        <v>728.57</v>
      </c>
      <c r="D144" s="16">
        <f t="shared" ref="D144:G144" si="30">ROUND(D143+D140, 2)</f>
        <v>709.03</v>
      </c>
      <c r="E144" s="16">
        <f t="shared" si="30"/>
        <v>787.57</v>
      </c>
      <c r="F144" s="16">
        <f t="shared" si="30"/>
        <v>597.32000000000005</v>
      </c>
      <c r="G144" s="16">
        <f t="shared" si="30"/>
        <v>700.29</v>
      </c>
      <c r="I144" s="41"/>
      <c r="J144" s="42"/>
      <c r="K144" s="42"/>
      <c r="L144" s="43"/>
    </row>
    <row r="145" spans="2:12" ht="15.75" thickTop="1" x14ac:dyDescent="0.25"/>
    <row r="146" spans="2:12" ht="18.75" x14ac:dyDescent="0.25">
      <c r="B146" s="44" t="s">
        <v>199</v>
      </c>
      <c r="C146" s="44"/>
      <c r="D146" s="44"/>
      <c r="E146" s="44"/>
      <c r="F146" s="44"/>
      <c r="G146" s="44"/>
    </row>
    <row r="147" spans="2:12" ht="18.75" x14ac:dyDescent="0.25">
      <c r="B147" s="12" t="str">
        <f>Income_Statement!B5</f>
        <v>Gross Sales</v>
      </c>
      <c r="C147" s="13">
        <f>Income_Statement!C5</f>
        <v>14202.8</v>
      </c>
      <c r="D147" s="13">
        <f>Income_Statement!D5</f>
        <v>15385.1</v>
      </c>
      <c r="E147" s="13">
        <f>Income_Statement!E5</f>
        <v>17460</v>
      </c>
      <c r="F147" s="13">
        <f>Income_Statement!F5</f>
        <v>18972.2</v>
      </c>
      <c r="G147" s="13">
        <f>Income_Statement!G5</f>
        <v>21439.1</v>
      </c>
    </row>
    <row r="148" spans="2:12" ht="18.75" x14ac:dyDescent="0.25">
      <c r="B148" s="12" t="str">
        <f>Balance_Sheet!B66</f>
        <v>Inventories</v>
      </c>
      <c r="C148" s="13">
        <f>Balance_Sheet!C66</f>
        <v>2908.9</v>
      </c>
      <c r="D148" s="13">
        <f>Balance_Sheet!D66</f>
        <v>3357.9</v>
      </c>
      <c r="E148" s="13">
        <f>Balance_Sheet!E66</f>
        <v>3506.7</v>
      </c>
      <c r="F148" s="13">
        <f>Balance_Sheet!F66</f>
        <v>4541.2</v>
      </c>
      <c r="G148" s="13">
        <f>Balance_Sheet!G66</f>
        <v>5088.3999999999996</v>
      </c>
    </row>
    <row r="149" spans="2:12" ht="18.75" x14ac:dyDescent="0.25">
      <c r="B149" s="12" t="s">
        <v>192</v>
      </c>
      <c r="C149" s="13">
        <f>ROUND(365/C147*C148, 2)</f>
        <v>74.760000000000005</v>
      </c>
      <c r="D149" s="13">
        <f t="shared" ref="D149:G149" si="31">ROUND(365/D147*D148, 2)</f>
        <v>79.66</v>
      </c>
      <c r="E149" s="13">
        <f t="shared" si="31"/>
        <v>73.31</v>
      </c>
      <c r="F149" s="13">
        <f t="shared" si="31"/>
        <v>87.37</v>
      </c>
      <c r="G149" s="13">
        <f t="shared" si="31"/>
        <v>86.63</v>
      </c>
    </row>
    <row r="150" spans="2:12" ht="18.75" x14ac:dyDescent="0.25">
      <c r="B150" s="12" t="str">
        <f>Income_Statement!B17</f>
        <v>Cost Of Materials Consumed</v>
      </c>
      <c r="C150" s="13">
        <f>Income_Statement!C17</f>
        <v>2630.9</v>
      </c>
      <c r="D150" s="13">
        <f>Income_Statement!D17</f>
        <v>2889.4</v>
      </c>
      <c r="E150" s="13">
        <f>Income_Statement!E17</f>
        <v>2984.8</v>
      </c>
      <c r="F150" s="13">
        <f>Income_Statement!F17</f>
        <v>4295.8</v>
      </c>
      <c r="G150" s="13">
        <f>Income_Statement!G17</f>
        <v>4312.3999999999996</v>
      </c>
    </row>
    <row r="151" spans="2:12" ht="18.75" x14ac:dyDescent="0.25">
      <c r="B151" s="12" t="str">
        <f>Balance_Sheet!B33</f>
        <v>Total Current Liabilities</v>
      </c>
      <c r="C151" s="13">
        <f>Balance_Sheet!C33</f>
        <v>4712.6000000000004</v>
      </c>
      <c r="D151" s="13">
        <f>Balance_Sheet!D33</f>
        <v>4982.2</v>
      </c>
      <c r="E151" s="13">
        <f>Balance_Sheet!E33</f>
        <v>5840.9</v>
      </c>
      <c r="F151" s="13">
        <f>Balance_Sheet!F33</f>
        <v>6001.8</v>
      </c>
      <c r="G151" s="13">
        <f>Balance_Sheet!G33</f>
        <v>7250.3</v>
      </c>
    </row>
    <row r="152" spans="2:12" ht="18.75" x14ac:dyDescent="0.25">
      <c r="B152" s="12" t="s">
        <v>194</v>
      </c>
      <c r="C152" s="13">
        <f>ROUND(365/C150*C151, 2)</f>
        <v>653.80999999999995</v>
      </c>
      <c r="D152" s="13">
        <f t="shared" ref="D152:G152" si="32">ROUND(365/D150*D151, 2)</f>
        <v>629.37</v>
      </c>
      <c r="E152" s="13">
        <f t="shared" si="32"/>
        <v>714.26</v>
      </c>
      <c r="F152" s="13">
        <f t="shared" si="32"/>
        <v>509.95</v>
      </c>
      <c r="G152" s="13">
        <f t="shared" si="32"/>
        <v>613.66</v>
      </c>
    </row>
    <row r="153" spans="2:12" ht="18.75" x14ac:dyDescent="0.25">
      <c r="B153" s="12" t="s">
        <v>200</v>
      </c>
      <c r="C153" s="13">
        <f>ROUND(C152+C149, 2)</f>
        <v>728.57</v>
      </c>
      <c r="D153" s="13">
        <f t="shared" ref="D153:G153" si="33">ROUND(D152+D149, 2)</f>
        <v>709.03</v>
      </c>
      <c r="E153" s="13">
        <f t="shared" si="33"/>
        <v>787.57</v>
      </c>
      <c r="F153" s="13">
        <f t="shared" si="33"/>
        <v>597.32000000000005</v>
      </c>
      <c r="G153" s="13">
        <f t="shared" si="33"/>
        <v>700.29</v>
      </c>
    </row>
    <row r="154" spans="2:12" ht="19.5" thickBot="1" x14ac:dyDescent="0.3">
      <c r="B154" s="12" t="str">
        <f>Income_Statement!B17</f>
        <v>Cost Of Materials Consumed</v>
      </c>
      <c r="C154" s="13">
        <f>Income_Statement!C17</f>
        <v>2630.9</v>
      </c>
      <c r="D154" s="13">
        <f>Income_Statement!D17</f>
        <v>2889.4</v>
      </c>
      <c r="E154" s="13">
        <f>Income_Statement!E17</f>
        <v>2984.8</v>
      </c>
      <c r="F154" s="13">
        <f>Income_Statement!F17</f>
        <v>4295.8</v>
      </c>
      <c r="G154" s="13">
        <f>Income_Statement!G17</f>
        <v>4312.3999999999996</v>
      </c>
    </row>
    <row r="155" spans="2:12" ht="19.5" thickTop="1" x14ac:dyDescent="0.25">
      <c r="B155" s="12" t="str">
        <f>Balance_Sheet!B33</f>
        <v>Total Current Liabilities</v>
      </c>
      <c r="C155" s="13">
        <f>Balance_Sheet!C33</f>
        <v>4712.6000000000004</v>
      </c>
      <c r="D155" s="13">
        <f>Balance_Sheet!D33</f>
        <v>4982.2</v>
      </c>
      <c r="E155" s="13">
        <f>Balance_Sheet!E33</f>
        <v>5840.9</v>
      </c>
      <c r="F155" s="13">
        <f>Balance_Sheet!F33</f>
        <v>6001.8</v>
      </c>
      <c r="G155" s="13">
        <f>Balance_Sheet!G33</f>
        <v>7250.3</v>
      </c>
      <c r="I155" s="35"/>
      <c r="J155" s="36"/>
      <c r="K155" s="36"/>
      <c r="L155" s="37"/>
    </row>
    <row r="156" spans="2:12" ht="18.75" x14ac:dyDescent="0.25">
      <c r="B156" s="12" t="s">
        <v>194</v>
      </c>
      <c r="C156" s="13">
        <f>ROUND(365/C154*C155, 2)</f>
        <v>653.80999999999995</v>
      </c>
      <c r="D156" s="13">
        <f t="shared" ref="D156:G156" si="34">ROUND(365/D154*D155, 2)</f>
        <v>629.37</v>
      </c>
      <c r="E156" s="13">
        <f t="shared" si="34"/>
        <v>714.26</v>
      </c>
      <c r="F156" s="13">
        <f t="shared" si="34"/>
        <v>509.95</v>
      </c>
      <c r="G156" s="13">
        <f t="shared" si="34"/>
        <v>613.66</v>
      </c>
      <c r="I156" s="38"/>
      <c r="J156" s="39"/>
      <c r="K156" s="39"/>
      <c r="L156" s="40"/>
    </row>
    <row r="157" spans="2:12" ht="19.5" thickBot="1" x14ac:dyDescent="0.3">
      <c r="B157" s="14" t="s">
        <v>201</v>
      </c>
      <c r="C157" s="16">
        <f>ROUND(C156-C153, 2)</f>
        <v>-74.760000000000005</v>
      </c>
      <c r="D157" s="16">
        <f t="shared" ref="D157:G157" si="35">ROUND(D156-D153, 2)</f>
        <v>-79.66</v>
      </c>
      <c r="E157" s="16">
        <f t="shared" si="35"/>
        <v>-73.31</v>
      </c>
      <c r="F157" s="16">
        <f t="shared" si="35"/>
        <v>-87.37</v>
      </c>
      <c r="G157" s="16">
        <f t="shared" si="35"/>
        <v>-86.63</v>
      </c>
      <c r="I157" s="41"/>
      <c r="J157" s="42"/>
      <c r="K157" s="42"/>
      <c r="L157" s="43"/>
    </row>
    <row r="158" spans="2:12" ht="15.75" thickTop="1" x14ac:dyDescent="0.25"/>
  </sheetData>
  <mergeCells count="54">
    <mergeCell ref="I16:L18"/>
    <mergeCell ref="B5:G5"/>
    <mergeCell ref="I6:L8"/>
    <mergeCell ref="B10:G10"/>
    <mergeCell ref="I11:L13"/>
    <mergeCell ref="B15:G15"/>
    <mergeCell ref="I52:L54"/>
    <mergeCell ref="B20:G20"/>
    <mergeCell ref="I25:L27"/>
    <mergeCell ref="B29:G29"/>
    <mergeCell ref="I31:L33"/>
    <mergeCell ref="B35:G35"/>
    <mergeCell ref="I36:L38"/>
    <mergeCell ref="B40:G40"/>
    <mergeCell ref="I41:L43"/>
    <mergeCell ref="B45:G45"/>
    <mergeCell ref="I46:L48"/>
    <mergeCell ref="B50:G50"/>
    <mergeCell ref="I83:L85"/>
    <mergeCell ref="B56:G56"/>
    <mergeCell ref="I57:L59"/>
    <mergeCell ref="B61:G61"/>
    <mergeCell ref="I62:L64"/>
    <mergeCell ref="B66:G66"/>
    <mergeCell ref="I67:L69"/>
    <mergeCell ref="B71:G71"/>
    <mergeCell ref="I73:L75"/>
    <mergeCell ref="B77:G77"/>
    <mergeCell ref="I78:L80"/>
    <mergeCell ref="B82:G82"/>
    <mergeCell ref="I113:L115"/>
    <mergeCell ref="B87:G87"/>
    <mergeCell ref="I88:L90"/>
    <mergeCell ref="B92:G92"/>
    <mergeCell ref="I93:L95"/>
    <mergeCell ref="B97:G97"/>
    <mergeCell ref="I98:L100"/>
    <mergeCell ref="B102:G102"/>
    <mergeCell ref="I103:L105"/>
    <mergeCell ref="B107:G107"/>
    <mergeCell ref="I108:L110"/>
    <mergeCell ref="B112:G112"/>
    <mergeCell ref="I155:L157"/>
    <mergeCell ref="B117:G117"/>
    <mergeCell ref="I118:L120"/>
    <mergeCell ref="B122:G122"/>
    <mergeCell ref="I123:L125"/>
    <mergeCell ref="B127:G127"/>
    <mergeCell ref="I128:L130"/>
    <mergeCell ref="B132:G132"/>
    <mergeCell ref="I133:L135"/>
    <mergeCell ref="B137:G137"/>
    <mergeCell ref="I142:L144"/>
    <mergeCell ref="B146:G146"/>
  </mergeCells>
  <hyperlinks>
    <hyperlink ref="F1" location="Index_Data!A1" tooltip="Hi click here To return Index page" display="Index_Data!A1" xr:uid="{33C0C433-03D7-4AF8-990F-4285B75528A9}"/>
  </hyperlink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1584FEC3-BB71-497E-A815-230C53771BB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  <x14:sparklineGroup type="column" displayEmptyCellsAs="gap" high="1" xr2:uid="{9540271D-D08B-489D-8FA0-BC15A8ECAC9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11087427-6391-46BA-AE12-9256D1E8FEC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60B7D9A7-1805-4BBF-9B00-9E50E3524B1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BBFC00E4-C93A-4226-9F19-868A54CB782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E0BA59EA-8274-4F40-81CA-E76327CF5BE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93145B01-96C7-48C0-AF23-4815D472E61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5DBA7690-54DA-404C-A345-9366A3AFEE7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E052F8A4-9485-486E-B60D-7D8A04954A2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0E17F5C9-6278-46AA-BD85-D689EA08AFF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13F9A0F7-AD82-472C-B0E2-123DDDEEEB2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517FC1C7-1947-43FB-8312-DBF5662EB06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AD6C1630-5532-41EA-B6AC-222182FDB63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5FD22425-BE5B-4475-A04E-A1821ECB355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03F17D73-0D92-411A-A2C4-4ACBDB9E086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CB4BCC42-09F0-4DB9-8A5C-1D69F6C884A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152D1415-F4BB-42C1-B6D5-DA881382B06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B93A02AF-22BE-476C-B2A1-153B9E8AEB5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46CC14C4-B10A-4635-BD3A-605A45FAB19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D6BC9105-8333-421B-9BD1-9A808D7E96E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486A061C-5523-41CF-9492-1DC067A9B49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A5108F5B-56AA-47BD-88C2-021216CA764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2D62C1B3-417B-40A0-AD3F-B4AE000EAE6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8B298F71-006C-49E6-AA23-28CCBF0FE2B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796B369F-B648-4E3A-99BB-B2A8B188434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1EAD9EB2-FDB9-4538-9089-94588BA4D6E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C0512D71-5633-4BD3-AC84-EFF3B1A371C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EBFAC-0A9B-4048-91B2-407D2815E185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145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2243.8109274227609</v>
      </c>
      <c r="D6" s="13">
        <f>Income_Statement!D49</f>
        <v>3461.121936808991</v>
      </c>
      <c r="E6" s="13">
        <f>Income_Statement!E49</f>
        <v>6160.2355441008021</v>
      </c>
      <c r="F6" s="13">
        <f>Income_Statement!F49</f>
        <v>4289.2153593152116</v>
      </c>
      <c r="G6" s="13">
        <f>Income_Statement!G49</f>
        <v>6067.322594232035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39.365103989872999</v>
      </c>
      <c r="D7" s="13">
        <f>Income_Statement!D61</f>
        <v>29.33154183736433</v>
      </c>
      <c r="E7" s="13">
        <f>Income_Statement!E61</f>
        <v>50.493733968039365</v>
      </c>
      <c r="F7" s="13">
        <f>Income_Statement!F61</f>
        <v>36.349282706061118</v>
      </c>
      <c r="G7" s="13">
        <f>Income_Statement!G61</f>
        <v>45.964565107818444</v>
      </c>
    </row>
    <row r="8" spans="2:15" ht="18.75" x14ac:dyDescent="0.25">
      <c r="B8" s="14" t="s">
        <v>146</v>
      </c>
      <c r="C8" s="14">
        <f>ROUND(C6/C7, 2)</f>
        <v>57</v>
      </c>
      <c r="D8" s="14">
        <f t="shared" ref="D8:G8" si="0">ROUND(D6/D7, 2)</f>
        <v>118</v>
      </c>
      <c r="E8" s="14">
        <f t="shared" si="0"/>
        <v>122</v>
      </c>
      <c r="F8" s="14">
        <f t="shared" si="0"/>
        <v>118</v>
      </c>
      <c r="G8" s="14">
        <f t="shared" si="0"/>
        <v>132</v>
      </c>
    </row>
  </sheetData>
  <mergeCells count="1">
    <mergeCell ref="B5:G5"/>
  </mergeCells>
  <hyperlinks>
    <hyperlink ref="F1" location="Index_Data!A1" tooltip="Hi click here To return Index page" display="Index_Data!A1" xr:uid="{8F602448-5168-4A9A-914C-E13FEAF2E898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937C4-F98A-476C-9134-277060EE0812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0" bestFit="1" customWidth="1"/>
    <col min="7" max="7" width="8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147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399.2</v>
      </c>
      <c r="D6" s="13">
        <f>Income_Statement!D51</f>
        <v>332</v>
      </c>
      <c r="E6" s="13">
        <f>Income_Statement!E51</f>
        <v>391.6</v>
      </c>
      <c r="F6" s="13">
        <f>Income_Statement!F51</f>
        <v>414.7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39.365103989872999</v>
      </c>
      <c r="D7" s="13">
        <f>Income_Statement!D61</f>
        <v>29.33154183736433</v>
      </c>
      <c r="E7" s="13">
        <f>Income_Statement!E61</f>
        <v>50.493733968039365</v>
      </c>
      <c r="F7" s="13">
        <f>Income_Statement!F61</f>
        <v>36.349282706061118</v>
      </c>
      <c r="G7" s="13">
        <f>Income_Statement!G61</f>
        <v>45.964565107818444</v>
      </c>
    </row>
    <row r="8" spans="2:15" ht="18.75" x14ac:dyDescent="0.25">
      <c r="B8" s="14" t="s">
        <v>148</v>
      </c>
      <c r="C8" s="14">
        <f>ROUND(C6/C7, 2)</f>
        <v>10.14</v>
      </c>
      <c r="D8" s="14">
        <f t="shared" ref="D8:G8" si="0">ROUND(D6/D7, 2)</f>
        <v>11.32</v>
      </c>
      <c r="E8" s="14">
        <f t="shared" si="0"/>
        <v>7.76</v>
      </c>
      <c r="F8" s="14">
        <f t="shared" si="0"/>
        <v>11.41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0624F577-4148-4B4F-8DC0-79D2E79817AA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84</vt:i4>
      </vt:variant>
    </vt:vector>
  </HeadingPairs>
  <TitlesOfParts>
    <vt:vector size="132" baseType="lpstr">
      <vt:lpstr>BSInput</vt:lpstr>
      <vt:lpstr>ISMInput</vt:lpstr>
      <vt:lpstr>Index_Data</vt:lpstr>
      <vt:lpstr>Income_Statement</vt:lpstr>
      <vt:lpstr>Balance_Sheet</vt:lpstr>
      <vt:lpstr>CashFlow_Statement</vt:lpstr>
      <vt:lpstr>Ratios</vt:lpstr>
      <vt:lpstr>Earning__Per_Share</vt:lpstr>
      <vt:lpstr>Equity_Dividend_Per_Share</vt:lpstr>
      <vt:lpstr>Book_Value__Per_Share</vt:lpstr>
      <vt:lpstr>Dividend_Pay_Out_Ratio</vt:lpstr>
      <vt:lpstr>Dividend_Retention_Ratio</vt:lpstr>
      <vt:lpstr>Gross_Profit</vt:lpstr>
      <vt:lpstr>Net_Profit</vt:lpstr>
      <vt:lpstr>Return_On_Assets</vt:lpstr>
      <vt:lpstr>Return_On_Capital_Employeed</vt:lpstr>
      <vt:lpstr>Return_On_Equity</vt:lpstr>
      <vt:lpstr>Debt_Equity_Ratio</vt:lpstr>
      <vt:lpstr>Current_Ratio</vt:lpstr>
      <vt:lpstr>Quick_Ratio</vt:lpstr>
      <vt:lpstr>Interest_Coverage_Ratio</vt:lpstr>
      <vt:lpstr>Material_Consumed</vt:lpstr>
      <vt:lpstr>Defensive_Interval_Ratio</vt:lpstr>
      <vt:lpstr>Purchases_Per_Day</vt:lpstr>
      <vt:lpstr>Asset_TurnOver_Ratio</vt:lpstr>
      <vt:lpstr>Inventory_TurnOver_Ratio</vt:lpstr>
      <vt:lpstr>Debtors_TurnOver_Ratio</vt:lpstr>
      <vt:lpstr>Fixed_Assets_TurnOver_Ratio</vt:lpstr>
      <vt:lpstr>Payable_TurnOver_Ratio</vt:lpstr>
      <vt:lpstr>Inventory_Days</vt:lpstr>
      <vt:lpstr>Payable_Days</vt:lpstr>
      <vt:lpstr>Receivable_Days</vt:lpstr>
      <vt:lpstr>Operating_Cycle</vt:lpstr>
      <vt:lpstr>Cash_Conversion_Cycle_Days</vt:lpstr>
      <vt:lpstr>NetWorthVsTotalLiabilties</vt:lpstr>
      <vt:lpstr>PBDITvsPBIT</vt:lpstr>
      <vt:lpstr>CAvsCL</vt:lpstr>
      <vt:lpstr>Long_And_Short_Term_Provisions</vt:lpstr>
      <vt:lpstr>MaterialConsumed_DirectExpenses</vt:lpstr>
      <vt:lpstr>Gross_Sales_In_Total_Income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Net_Profit_CF_To_Balance_Sheet</vt:lpstr>
      <vt:lpstr>BS_Backup</vt:lpstr>
      <vt:lpstr>ISM_Backup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2022-07-03T11:17:45Z</dcterms:created>
  <dcterms:modified xsi:type="dcterms:W3CDTF">2022-07-04T08:11:09Z</dcterms:modified>
</cp:coreProperties>
</file>