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5A9C189D-A115-456F-B8A0-DCFAD09DBDC0}" xr6:coauthVersionLast="47" xr6:coauthVersionMax="47" xr10:uidLastSave="{00000000-0000-0000-0000-000000000000}"/>
  <bookViews>
    <workbookView xWindow="-120" yWindow="-120" windowWidth="20730" windowHeight="11160" firstSheet="2" activeTab="2" xr2:uid="{81A43ED9-C4F3-43FD-9C6B-238598D8CD34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L26" i="5" s="1"/>
  <c r="H47" i="3"/>
  <c r="I64" i="3"/>
  <c r="J64" i="3"/>
  <c r="K64" i="3"/>
  <c r="L64" i="3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K35" i="3"/>
  <c r="L35" i="3"/>
  <c r="L8" i="5" s="1"/>
  <c r="H35" i="3"/>
  <c r="I63" i="3"/>
  <c r="J63" i="3" s="1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L31" i="3"/>
  <c r="H31" i="3"/>
  <c r="I62" i="3"/>
  <c r="J62" i="3" s="1"/>
  <c r="K62" i="3" s="1"/>
  <c r="L62" i="3" s="1"/>
  <c r="H62" i="3"/>
  <c r="D62" i="3"/>
  <c r="E62" i="3"/>
  <c r="F62" i="3"/>
  <c r="G62" i="3"/>
  <c r="C62" i="3"/>
  <c r="H44" i="4"/>
  <c r="H45" i="4" s="1"/>
  <c r="J47" i="5"/>
  <c r="H46" i="5"/>
  <c r="H47" i="5" s="1"/>
  <c r="I46" i="5"/>
  <c r="I47" i="5" s="1"/>
  <c r="J46" i="5"/>
  <c r="K46" i="5"/>
  <c r="K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H9" i="5"/>
  <c r="I9" i="5"/>
  <c r="J9" i="5"/>
  <c r="K9" i="5"/>
  <c r="L9" i="5"/>
  <c r="H8" i="5"/>
  <c r="H10" i="5" s="1"/>
  <c r="I8" i="5"/>
  <c r="J8" i="5"/>
  <c r="K8" i="5"/>
  <c r="H7" i="5"/>
  <c r="I7" i="5"/>
  <c r="I10" i="5" s="1"/>
  <c r="J7" i="5"/>
  <c r="J10" i="5" s="1"/>
  <c r="K7" i="5"/>
  <c r="L7" i="5"/>
  <c r="L66" i="4"/>
  <c r="H66" i="4"/>
  <c r="I67" i="4"/>
  <c r="J67" i="4" s="1"/>
  <c r="K67" i="4" s="1"/>
  <c r="L67" i="4" s="1"/>
  <c r="H67" i="4"/>
  <c r="K64" i="4"/>
  <c r="L64" i="4"/>
  <c r="H64" i="4"/>
  <c r="I65" i="4"/>
  <c r="J65" i="4" s="1"/>
  <c r="K65" i="4" s="1"/>
  <c r="L65" i="4" s="1"/>
  <c r="H65" i="4"/>
  <c r="K62" i="4"/>
  <c r="L62" i="4"/>
  <c r="H62" i="4"/>
  <c r="I63" i="4"/>
  <c r="J63" i="4" s="1"/>
  <c r="K63" i="4" s="1"/>
  <c r="L63" i="4" s="1"/>
  <c r="H63" i="4"/>
  <c r="K58" i="4"/>
  <c r="L58" i="4"/>
  <c r="H58" i="4"/>
  <c r="I59" i="4"/>
  <c r="J59" i="4" s="1"/>
  <c r="K59" i="4" s="1"/>
  <c r="L59" i="4" s="1"/>
  <c r="H59" i="4"/>
  <c r="L56" i="4"/>
  <c r="H56" i="4"/>
  <c r="I57" i="4"/>
  <c r="J57" i="4" s="1"/>
  <c r="K57" i="4" s="1"/>
  <c r="L57" i="4" s="1"/>
  <c r="H57" i="4"/>
  <c r="H52" i="4"/>
  <c r="I53" i="4"/>
  <c r="I52" i="4" s="1"/>
  <c r="J53" i="4"/>
  <c r="J52" i="4" s="1"/>
  <c r="K53" i="4"/>
  <c r="L53" i="4" s="1"/>
  <c r="L52" i="4" s="1"/>
  <c r="H53" i="4"/>
  <c r="L50" i="4"/>
  <c r="H50" i="4"/>
  <c r="I51" i="4"/>
  <c r="J51" i="4" s="1"/>
  <c r="K51" i="4" s="1"/>
  <c r="L51" i="4" s="1"/>
  <c r="H51" i="4"/>
  <c r="L48" i="4"/>
  <c r="H48" i="4"/>
  <c r="I49" i="4"/>
  <c r="J49" i="4" s="1"/>
  <c r="K49" i="4" s="1"/>
  <c r="L49" i="4" s="1"/>
  <c r="H49" i="4"/>
  <c r="H46" i="4"/>
  <c r="H47" i="4" s="1"/>
  <c r="H42" i="4"/>
  <c r="I43" i="4"/>
  <c r="I42" i="4" s="1"/>
  <c r="H43" i="4"/>
  <c r="L40" i="4"/>
  <c r="H40" i="4"/>
  <c r="I41" i="4"/>
  <c r="J41" i="4" s="1"/>
  <c r="K41" i="4" s="1"/>
  <c r="L41" i="4" s="1"/>
  <c r="H41" i="4"/>
  <c r="L35" i="4"/>
  <c r="H35" i="4"/>
  <c r="I36" i="4"/>
  <c r="J36" i="4" s="1"/>
  <c r="K36" i="4" s="1"/>
  <c r="L36" i="4" s="1"/>
  <c r="H36" i="4"/>
  <c r="H31" i="4"/>
  <c r="I32" i="4"/>
  <c r="I31" i="4" s="1"/>
  <c r="J32" i="4"/>
  <c r="J31" i="4" s="1"/>
  <c r="K32" i="4"/>
  <c r="L32" i="4" s="1"/>
  <c r="L31" i="4" s="1"/>
  <c r="H32" i="4"/>
  <c r="H29" i="4"/>
  <c r="I30" i="4"/>
  <c r="I29" i="4" s="1"/>
  <c r="H30" i="4"/>
  <c r="H27" i="4"/>
  <c r="I28" i="4"/>
  <c r="J28" i="4" s="1"/>
  <c r="K28" i="4" s="1"/>
  <c r="L28" i="4" s="1"/>
  <c r="L27" i="4" s="1"/>
  <c r="H28" i="4"/>
  <c r="H25" i="4"/>
  <c r="I26" i="4"/>
  <c r="I25" i="4" s="1"/>
  <c r="H26" i="4"/>
  <c r="L23" i="4"/>
  <c r="H23" i="4"/>
  <c r="H33" i="4" s="1"/>
  <c r="H34" i="4" s="1"/>
  <c r="I24" i="4"/>
  <c r="J24" i="4" s="1"/>
  <c r="K24" i="4" s="1"/>
  <c r="L24" i="4" s="1"/>
  <c r="H24" i="4"/>
  <c r="H21" i="4"/>
  <c r="I22" i="4"/>
  <c r="I21" i="4" s="1"/>
  <c r="J22" i="4"/>
  <c r="J21" i="4" s="1"/>
  <c r="K22" i="4"/>
  <c r="L22" i="4" s="1"/>
  <c r="L21" i="4" s="1"/>
  <c r="H22" i="4"/>
  <c r="L19" i="4"/>
  <c r="H19" i="4"/>
  <c r="I20" i="4"/>
  <c r="J20" i="4" s="1"/>
  <c r="K20" i="4" s="1"/>
  <c r="L20" i="4" s="1"/>
  <c r="H20" i="4"/>
  <c r="L17" i="4"/>
  <c r="H17" i="4"/>
  <c r="I18" i="4"/>
  <c r="J18" i="4" s="1"/>
  <c r="K18" i="4" s="1"/>
  <c r="L18" i="4" s="1"/>
  <c r="H18" i="4"/>
  <c r="H15" i="4"/>
  <c r="I16" i="4"/>
  <c r="I15" i="4" s="1"/>
  <c r="H16" i="4"/>
  <c r="H13" i="4"/>
  <c r="H14" i="4" s="1"/>
  <c r="I13" i="4"/>
  <c r="J13" i="4"/>
  <c r="K13" i="4"/>
  <c r="K14" i="4" s="1"/>
  <c r="L13" i="4"/>
  <c r="L14" i="4" s="1"/>
  <c r="I14" i="4"/>
  <c r="J14" i="4"/>
  <c r="H9" i="4"/>
  <c r="I9" i="4"/>
  <c r="J9" i="4"/>
  <c r="K9" i="4"/>
  <c r="L9" i="4"/>
  <c r="H10" i="4"/>
  <c r="I10" i="4"/>
  <c r="J10" i="4"/>
  <c r="K10" i="4"/>
  <c r="L10" i="4"/>
  <c r="I7" i="4"/>
  <c r="J7" i="4" s="1"/>
  <c r="K7" i="4" s="1"/>
  <c r="L7" i="4" s="1"/>
  <c r="H7" i="4"/>
  <c r="I8" i="4"/>
  <c r="J8" i="4" s="1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H68" i="4"/>
  <c r="I69" i="4"/>
  <c r="J69" i="4" s="1"/>
  <c r="K69" i="4" s="1"/>
  <c r="L69" i="4" s="1"/>
  <c r="L68" i="4" s="1"/>
  <c r="H69" i="4"/>
  <c r="L53" i="3"/>
  <c r="H53" i="3"/>
  <c r="I54" i="3"/>
  <c r="J54" i="3" s="1"/>
  <c r="K54" i="3" s="1"/>
  <c r="L54" i="3" s="1"/>
  <c r="H54" i="3"/>
  <c r="L51" i="3"/>
  <c r="H51" i="3"/>
  <c r="I52" i="3"/>
  <c r="J52" i="3" s="1"/>
  <c r="K52" i="3" s="1"/>
  <c r="L52" i="3" s="1"/>
  <c r="H52" i="3"/>
  <c r="K43" i="3"/>
  <c r="L43" i="3"/>
  <c r="H43" i="3"/>
  <c r="I44" i="3"/>
  <c r="J44" i="3" s="1"/>
  <c r="K44" i="3" s="1"/>
  <c r="L44" i="3" s="1"/>
  <c r="H44" i="3"/>
  <c r="L39" i="3"/>
  <c r="H39" i="3"/>
  <c r="I40" i="3"/>
  <c r="J40" i="3" s="1"/>
  <c r="K40" i="3" s="1"/>
  <c r="L40" i="3" s="1"/>
  <c r="H40" i="3"/>
  <c r="H33" i="3"/>
  <c r="H34" i="3" s="1"/>
  <c r="I33" i="3"/>
  <c r="I37" i="3" s="1"/>
  <c r="J33" i="3"/>
  <c r="J37" i="3" s="1"/>
  <c r="K33" i="3"/>
  <c r="K34" i="3" s="1"/>
  <c r="L33" i="3"/>
  <c r="I34" i="3"/>
  <c r="J34" i="3"/>
  <c r="L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L25" i="3"/>
  <c r="H26" i="3"/>
  <c r="I26" i="3"/>
  <c r="J26" i="3"/>
  <c r="K26" i="3"/>
  <c r="L26" i="3"/>
  <c r="L23" i="3"/>
  <c r="H23" i="3"/>
  <c r="I24" i="3"/>
  <c r="J24" i="3" s="1"/>
  <c r="K24" i="3" s="1"/>
  <c r="L24" i="3" s="1"/>
  <c r="H24" i="3"/>
  <c r="H21" i="3"/>
  <c r="I22" i="3"/>
  <c r="I21" i="3" s="1"/>
  <c r="H22" i="3"/>
  <c r="K19" i="3"/>
  <c r="L19" i="3"/>
  <c r="H19" i="3"/>
  <c r="I20" i="3"/>
  <c r="J20" i="3" s="1"/>
  <c r="K20" i="3" s="1"/>
  <c r="L20" i="3" s="1"/>
  <c r="H20" i="3"/>
  <c r="L17" i="3"/>
  <c r="H17" i="3"/>
  <c r="I18" i="3"/>
  <c r="J18" i="3" s="1"/>
  <c r="K18" i="3" s="1"/>
  <c r="L18" i="3" s="1"/>
  <c r="H18" i="3"/>
  <c r="H15" i="3"/>
  <c r="I15" i="3"/>
  <c r="J15" i="3"/>
  <c r="K15" i="3"/>
  <c r="K16" i="3" s="1"/>
  <c r="L15" i="3"/>
  <c r="H16" i="3"/>
  <c r="I16" i="3"/>
  <c r="J16" i="3"/>
  <c r="L16" i="3"/>
  <c r="L13" i="3"/>
  <c r="H13" i="3"/>
  <c r="I14" i="3"/>
  <c r="J14" i="3" s="1"/>
  <c r="K14" i="3" s="1"/>
  <c r="L14" i="3" s="1"/>
  <c r="H14" i="3"/>
  <c r="L11" i="3"/>
  <c r="H11" i="3"/>
  <c r="I12" i="3"/>
  <c r="J12" i="3" s="1"/>
  <c r="K12" i="3" s="1"/>
  <c r="L12" i="3" s="1"/>
  <c r="H12" i="3"/>
  <c r="H9" i="3"/>
  <c r="I9" i="3"/>
  <c r="J9" i="3"/>
  <c r="K9" i="3"/>
  <c r="K10" i="3" s="1"/>
  <c r="L9" i="3"/>
  <c r="H10" i="3"/>
  <c r="I10" i="3"/>
  <c r="J10" i="3"/>
  <c r="L10" i="3"/>
  <c r="L7" i="3"/>
  <c r="H7" i="3"/>
  <c r="I8" i="3"/>
  <c r="J8" i="3" s="1"/>
  <c r="K8" i="3" s="1"/>
  <c r="L8" i="3" s="1"/>
  <c r="H8" i="3"/>
  <c r="H6" i="3"/>
  <c r="J6" i="3"/>
  <c r="I5" i="3"/>
  <c r="J5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G7" i="47"/>
  <c r="G10" i="47" s="1"/>
  <c r="G16" i="47" s="1"/>
  <c r="G17" i="47" s="1"/>
  <c r="G19" i="47" s="1"/>
  <c r="G21" i="47" s="1"/>
  <c r="G23" i="47" s="1"/>
  <c r="G25" i="47" s="1"/>
  <c r="G27" i="47" s="1"/>
  <c r="F7" i="47"/>
  <c r="F10" i="47" s="1"/>
  <c r="F16" i="47" s="1"/>
  <c r="F17" i="47" s="1"/>
  <c r="F19" i="47" s="1"/>
  <c r="F21" i="47" s="1"/>
  <c r="F23" i="47" s="1"/>
  <c r="F25" i="47" s="1"/>
  <c r="F27" i="47" s="1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C9" i="46"/>
  <c r="C21" i="46" s="1"/>
  <c r="G7" i="46"/>
  <c r="F7" i="46"/>
  <c r="E7" i="46"/>
  <c r="D7" i="46"/>
  <c r="C7" i="46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F7" i="5"/>
  <c r="G7" i="5"/>
  <c r="D7" i="5"/>
  <c r="D10" i="5" s="1"/>
  <c r="D33" i="4"/>
  <c r="E33" i="4"/>
  <c r="E68" i="6" s="1"/>
  <c r="F33" i="4"/>
  <c r="G33" i="4"/>
  <c r="G74" i="6" s="1"/>
  <c r="D21" i="4"/>
  <c r="E21" i="4"/>
  <c r="E52" i="6" s="1"/>
  <c r="F21" i="4"/>
  <c r="F52" i="6" s="1"/>
  <c r="G21" i="4"/>
  <c r="G7" i="15" s="1"/>
  <c r="D9" i="4"/>
  <c r="E9" i="4"/>
  <c r="F9" i="4"/>
  <c r="G9" i="4"/>
  <c r="C72" i="4"/>
  <c r="C46" i="4"/>
  <c r="C54" i="4" s="1"/>
  <c r="C33" i="4"/>
  <c r="C155" i="6" s="1"/>
  <c r="C156" i="6" s="1"/>
  <c r="C21" i="4"/>
  <c r="C9" i="4"/>
  <c r="C13" i="4" s="1"/>
  <c r="D25" i="3"/>
  <c r="D42" i="6" s="1"/>
  <c r="E25" i="3"/>
  <c r="E5" i="44" s="1"/>
  <c r="F25" i="3"/>
  <c r="F26" i="3" s="1"/>
  <c r="G25" i="3"/>
  <c r="G26" i="3" s="1"/>
  <c r="D9" i="3"/>
  <c r="D10" i="3" s="1"/>
  <c r="E9" i="3"/>
  <c r="E7" i="21" s="1"/>
  <c r="F9" i="3"/>
  <c r="G9" i="3"/>
  <c r="G10" i="3" s="1"/>
  <c r="C25" i="3"/>
  <c r="C26" i="3" s="1"/>
  <c r="C9" i="3"/>
  <c r="C10" i="3" s="1"/>
  <c r="L46" i="5" l="1"/>
  <c r="L47" i="5" s="1"/>
  <c r="L37" i="3"/>
  <c r="L10" i="5"/>
  <c r="K10" i="5"/>
  <c r="L41" i="3"/>
  <c r="L38" i="3"/>
  <c r="I38" i="3"/>
  <c r="I41" i="3"/>
  <c r="J38" i="3"/>
  <c r="J41" i="3"/>
  <c r="K37" i="3"/>
  <c r="H37" i="3"/>
  <c r="I44" i="4"/>
  <c r="H37" i="4"/>
  <c r="H38" i="4" s="1"/>
  <c r="H54" i="4"/>
  <c r="H55" i="4" s="1"/>
  <c r="I68" i="4"/>
  <c r="J68" i="4"/>
  <c r="K68" i="4"/>
  <c r="K66" i="4"/>
  <c r="J66" i="4"/>
  <c r="I66" i="4"/>
  <c r="J64" i="4"/>
  <c r="I64" i="4"/>
  <c r="J62" i="4"/>
  <c r="I62" i="4"/>
  <c r="J58" i="4"/>
  <c r="I58" i="4"/>
  <c r="K56" i="4"/>
  <c r="J56" i="4"/>
  <c r="I56" i="4"/>
  <c r="K52" i="4"/>
  <c r="K50" i="4"/>
  <c r="J50" i="4"/>
  <c r="I50" i="4"/>
  <c r="K48" i="4"/>
  <c r="J48" i="4"/>
  <c r="I48" i="4"/>
  <c r="J43" i="4"/>
  <c r="K40" i="4"/>
  <c r="J40" i="4"/>
  <c r="I40" i="4"/>
  <c r="K35" i="4"/>
  <c r="J35" i="4"/>
  <c r="I35" i="4"/>
  <c r="K31" i="4"/>
  <c r="J30" i="4"/>
  <c r="K27" i="4"/>
  <c r="J27" i="4"/>
  <c r="I27" i="4"/>
  <c r="J26" i="4"/>
  <c r="K23" i="4"/>
  <c r="J23" i="4"/>
  <c r="I23" i="4"/>
  <c r="I33" i="4" s="1"/>
  <c r="I34" i="4" s="1"/>
  <c r="K21" i="4"/>
  <c r="K19" i="4"/>
  <c r="J19" i="4"/>
  <c r="I19" i="4"/>
  <c r="K17" i="4"/>
  <c r="J17" i="4"/>
  <c r="I17" i="4"/>
  <c r="J16" i="4"/>
  <c r="K80" i="4"/>
  <c r="L80" i="4" s="1"/>
  <c r="K53" i="3"/>
  <c r="J53" i="3"/>
  <c r="I53" i="3"/>
  <c r="K51" i="3"/>
  <c r="J51" i="3"/>
  <c r="I51" i="3"/>
  <c r="J43" i="3"/>
  <c r="I43" i="3"/>
  <c r="K39" i="3"/>
  <c r="J39" i="3"/>
  <c r="I39" i="3"/>
  <c r="K23" i="3"/>
  <c r="J23" i="3"/>
  <c r="I23" i="3"/>
  <c r="J22" i="3"/>
  <c r="J19" i="3"/>
  <c r="I19" i="3"/>
  <c r="K17" i="3"/>
  <c r="J17" i="3"/>
  <c r="I17" i="3"/>
  <c r="K13" i="3"/>
  <c r="J13" i="3"/>
  <c r="I13" i="3"/>
  <c r="K11" i="3"/>
  <c r="J11" i="3"/>
  <c r="I11" i="3"/>
  <c r="K7" i="3"/>
  <c r="J7" i="3"/>
  <c r="I7" i="3"/>
  <c r="I6" i="3"/>
  <c r="K5" i="3"/>
  <c r="E26" i="3"/>
  <c r="G10" i="5"/>
  <c r="F10" i="5"/>
  <c r="E10" i="5"/>
  <c r="D26" i="3"/>
  <c r="E38" i="6"/>
  <c r="G38" i="6"/>
  <c r="F38" i="6"/>
  <c r="E8" i="12"/>
  <c r="E105" i="6"/>
  <c r="E110" i="6"/>
  <c r="E115" i="6"/>
  <c r="D125" i="6"/>
  <c r="G135" i="6"/>
  <c r="C135" i="6"/>
  <c r="G140" i="6"/>
  <c r="C140" i="6"/>
  <c r="F149" i="6"/>
  <c r="F10" i="3"/>
  <c r="F15" i="3" s="1"/>
  <c r="F16" i="3" s="1"/>
  <c r="E10" i="3"/>
  <c r="E15" i="3" s="1"/>
  <c r="E16" i="3" s="1"/>
  <c r="E8" i="25"/>
  <c r="E8" i="26"/>
  <c r="E8" i="27"/>
  <c r="D8" i="29"/>
  <c r="G8" i="31"/>
  <c r="C8" i="31"/>
  <c r="G8" i="32"/>
  <c r="C8" i="32"/>
  <c r="F8" i="33"/>
  <c r="D8" i="12"/>
  <c r="F8" i="12"/>
  <c r="G8" i="12"/>
  <c r="C8" i="22"/>
  <c r="D43" i="6"/>
  <c r="F8" i="25"/>
  <c r="F8" i="26"/>
  <c r="F8" i="27"/>
  <c r="E8" i="29"/>
  <c r="D8" i="31"/>
  <c r="D8" i="32"/>
  <c r="G8" i="33"/>
  <c r="D38" i="6"/>
  <c r="E84" i="6"/>
  <c r="E85" i="6" s="1"/>
  <c r="C8" i="12"/>
  <c r="C38" i="6"/>
  <c r="C90" i="6"/>
  <c r="G105" i="6"/>
  <c r="C105" i="6"/>
  <c r="G110" i="6"/>
  <c r="C110" i="6"/>
  <c r="G115" i="6"/>
  <c r="C115" i="6"/>
  <c r="F125" i="6"/>
  <c r="E135" i="6"/>
  <c r="E140" i="6"/>
  <c r="D149" i="6"/>
  <c r="E42" i="6"/>
  <c r="E43" i="6" s="1"/>
  <c r="F105" i="6"/>
  <c r="F110" i="6"/>
  <c r="F115" i="6"/>
  <c r="E125" i="6"/>
  <c r="D135" i="6"/>
  <c r="D140" i="6"/>
  <c r="G149" i="6"/>
  <c r="C149" i="6"/>
  <c r="G8" i="25"/>
  <c r="C8" i="25"/>
  <c r="G8" i="26"/>
  <c r="C8" i="26"/>
  <c r="G8" i="27"/>
  <c r="C8" i="27"/>
  <c r="F8" i="29"/>
  <c r="E8" i="31"/>
  <c r="E8" i="32"/>
  <c r="D8" i="33"/>
  <c r="C7" i="21"/>
  <c r="C8" i="21" s="1"/>
  <c r="C84" i="6"/>
  <c r="C85" i="6" s="1"/>
  <c r="F7" i="13"/>
  <c r="F8" i="13" s="1"/>
  <c r="F42" i="6"/>
  <c r="F43" i="6" s="1"/>
  <c r="C15" i="3"/>
  <c r="C16" i="3" s="1"/>
  <c r="C5" i="44"/>
  <c r="C7" i="13"/>
  <c r="C8" i="13" s="1"/>
  <c r="C42" i="6"/>
  <c r="C43" i="6" s="1"/>
  <c r="D7" i="21"/>
  <c r="D8" i="21" s="1"/>
  <c r="D84" i="6"/>
  <c r="D85" i="6" s="1"/>
  <c r="D15" i="3"/>
  <c r="D16" i="3" s="1"/>
  <c r="D5" i="44"/>
  <c r="D7" i="13"/>
  <c r="D8" i="13" s="1"/>
  <c r="E7" i="13"/>
  <c r="E8" i="13" s="1"/>
  <c r="E8" i="21"/>
  <c r="F5" i="44"/>
  <c r="F7" i="21"/>
  <c r="F8" i="21" s="1"/>
  <c r="F84" i="6"/>
  <c r="F85" i="6" s="1"/>
  <c r="G7" i="21"/>
  <c r="G8" i="21" s="1"/>
  <c r="G84" i="6"/>
  <c r="G85" i="6" s="1"/>
  <c r="G15" i="3"/>
  <c r="G16" i="3" s="1"/>
  <c r="G5" i="44"/>
  <c r="G7" i="13"/>
  <c r="G8" i="13" s="1"/>
  <c r="G42" i="6"/>
  <c r="G43" i="6" s="1"/>
  <c r="C8" i="33"/>
  <c r="D105" i="6"/>
  <c r="D110" i="6"/>
  <c r="D115" i="6"/>
  <c r="G125" i="6"/>
  <c r="C125" i="6"/>
  <c r="F135" i="6"/>
  <c r="F140" i="6"/>
  <c r="E149" i="6"/>
  <c r="D8" i="25"/>
  <c r="D8" i="26"/>
  <c r="D8" i="27"/>
  <c r="G8" i="29"/>
  <c r="C8" i="29"/>
  <c r="F8" i="31"/>
  <c r="F8" i="32"/>
  <c r="E8" i="33"/>
  <c r="E35" i="47"/>
  <c r="E30" i="47"/>
  <c r="F35" i="47"/>
  <c r="F30" i="47"/>
  <c r="C35" i="47"/>
  <c r="C30" i="47"/>
  <c r="G35" i="47"/>
  <c r="G30" i="47"/>
  <c r="D30" i="47"/>
  <c r="D35" i="47"/>
  <c r="E47" i="5"/>
  <c r="F44" i="4"/>
  <c r="E46" i="4"/>
  <c r="D46" i="4"/>
  <c r="G35" i="5"/>
  <c r="D47" i="5"/>
  <c r="F35" i="5"/>
  <c r="G47" i="5"/>
  <c r="E35" i="5"/>
  <c r="F47" i="5"/>
  <c r="C6" i="17"/>
  <c r="C6" i="40"/>
  <c r="C52" i="6"/>
  <c r="C7" i="15"/>
  <c r="C62" i="6"/>
  <c r="F10" i="32"/>
  <c r="F11" i="32" s="1"/>
  <c r="F6" i="41"/>
  <c r="F10" i="33"/>
  <c r="F11" i="33" s="1"/>
  <c r="F7" i="28"/>
  <c r="F8" i="28" s="1"/>
  <c r="F8" i="19"/>
  <c r="F155" i="6"/>
  <c r="F156" i="6" s="1"/>
  <c r="F129" i="6"/>
  <c r="F130" i="6" s="1"/>
  <c r="F68" i="6"/>
  <c r="F6" i="36"/>
  <c r="F14" i="33"/>
  <c r="F15" i="33" s="1"/>
  <c r="F7" i="30"/>
  <c r="F8" i="30" s="1"/>
  <c r="F142" i="6"/>
  <c r="F143" i="6" s="1"/>
  <c r="F7" i="18"/>
  <c r="D6" i="40"/>
  <c r="D7" i="15"/>
  <c r="D6" i="17"/>
  <c r="D52" i="6"/>
  <c r="D6" i="36"/>
  <c r="D14" i="33"/>
  <c r="D15" i="33" s="1"/>
  <c r="D7" i="30"/>
  <c r="D8" i="30" s="1"/>
  <c r="D7" i="18"/>
  <c r="D151" i="6"/>
  <c r="D152" i="6" s="1"/>
  <c r="D6" i="41"/>
  <c r="D10" i="32"/>
  <c r="D11" i="32" s="1"/>
  <c r="D155" i="6"/>
  <c r="D156" i="6" s="1"/>
  <c r="D119" i="6"/>
  <c r="D120" i="6" s="1"/>
  <c r="D74" i="6"/>
  <c r="D8" i="19"/>
  <c r="D10" i="33"/>
  <c r="D11" i="33" s="1"/>
  <c r="D7" i="28"/>
  <c r="D8" i="28" s="1"/>
  <c r="E62" i="6"/>
  <c r="E129" i="6"/>
  <c r="E130" i="6" s="1"/>
  <c r="C37" i="4"/>
  <c r="C5" i="34"/>
  <c r="C8" i="15"/>
  <c r="C7" i="17"/>
  <c r="C6" i="9"/>
  <c r="C7" i="16"/>
  <c r="C53" i="6"/>
  <c r="C74" i="4"/>
  <c r="C71" i="4" s="1"/>
  <c r="C6" i="42"/>
  <c r="G6" i="17"/>
  <c r="G52" i="6"/>
  <c r="G62" i="6"/>
  <c r="G6" i="40"/>
  <c r="G14" i="33"/>
  <c r="G15" i="33" s="1"/>
  <c r="G7" i="30"/>
  <c r="G8" i="30" s="1"/>
  <c r="G7" i="18"/>
  <c r="G151" i="6"/>
  <c r="G152" i="6" s="1"/>
  <c r="G10" i="32"/>
  <c r="G11" i="32" s="1"/>
  <c r="G10" i="33"/>
  <c r="G11" i="33" s="1"/>
  <c r="G7" i="28"/>
  <c r="G8" i="28" s="1"/>
  <c r="G6" i="41"/>
  <c r="G155" i="6"/>
  <c r="G156" i="6" s="1"/>
  <c r="G129" i="6"/>
  <c r="G130" i="6" s="1"/>
  <c r="G68" i="6"/>
  <c r="G6" i="36"/>
  <c r="G142" i="6"/>
  <c r="G143" i="6" s="1"/>
  <c r="D62" i="6"/>
  <c r="F74" i="6"/>
  <c r="G119" i="6"/>
  <c r="G120" i="6" s="1"/>
  <c r="D129" i="6"/>
  <c r="D130" i="6" s="1"/>
  <c r="F151" i="6"/>
  <c r="F152" i="6" s="1"/>
  <c r="F153" i="6" s="1"/>
  <c r="C16" i="6"/>
  <c r="C74" i="6"/>
  <c r="F119" i="6"/>
  <c r="F120" i="6" s="1"/>
  <c r="D142" i="6"/>
  <c r="D143" i="6" s="1"/>
  <c r="C6" i="43"/>
  <c r="C6" i="19"/>
  <c r="C67" i="6"/>
  <c r="C5" i="36"/>
  <c r="C72" i="6"/>
  <c r="C6" i="18"/>
  <c r="F62" i="6"/>
  <c r="F6" i="40"/>
  <c r="F6" i="17"/>
  <c r="F7" i="15"/>
  <c r="C14" i="33"/>
  <c r="C15" i="33" s="1"/>
  <c r="C7" i="30"/>
  <c r="C8" i="30" s="1"/>
  <c r="C7" i="18"/>
  <c r="C151" i="6"/>
  <c r="C152" i="6" s="1"/>
  <c r="C10" i="32"/>
  <c r="C11" i="32" s="1"/>
  <c r="C6" i="36"/>
  <c r="C8" i="19"/>
  <c r="C129" i="6"/>
  <c r="C130" i="6" s="1"/>
  <c r="C68" i="6"/>
  <c r="C10" i="33"/>
  <c r="C11" i="33" s="1"/>
  <c r="C7" i="28"/>
  <c r="C8" i="28" s="1"/>
  <c r="C142" i="6"/>
  <c r="C143" i="6" s="1"/>
  <c r="C6" i="41"/>
  <c r="E6" i="40"/>
  <c r="E7" i="15"/>
  <c r="E6" i="17"/>
  <c r="E6" i="41"/>
  <c r="E10" i="33"/>
  <c r="E11" i="33" s="1"/>
  <c r="E12" i="33" s="1"/>
  <c r="E7" i="28"/>
  <c r="E8" i="28" s="1"/>
  <c r="E8" i="19"/>
  <c r="E155" i="6"/>
  <c r="E156" i="6" s="1"/>
  <c r="E6" i="36"/>
  <c r="E14" i="33"/>
  <c r="E15" i="33" s="1"/>
  <c r="E7" i="30"/>
  <c r="E8" i="30" s="1"/>
  <c r="E142" i="6"/>
  <c r="E143" i="6" s="1"/>
  <c r="E10" i="32"/>
  <c r="E11" i="32" s="1"/>
  <c r="E7" i="18"/>
  <c r="E119" i="6"/>
  <c r="E120" i="6" s="1"/>
  <c r="E74" i="6"/>
  <c r="E151" i="6"/>
  <c r="E152" i="6" s="1"/>
  <c r="E153" i="6" s="1"/>
  <c r="D35" i="5"/>
  <c r="C58" i="6"/>
  <c r="C63" i="6"/>
  <c r="D68" i="6"/>
  <c r="C119" i="6"/>
  <c r="C120" i="6" s="1"/>
  <c r="G8" i="19"/>
  <c r="E25" i="46"/>
  <c r="K38" i="3" l="1"/>
  <c r="K41" i="3"/>
  <c r="I45" i="3"/>
  <c r="I42" i="3"/>
  <c r="L45" i="3"/>
  <c r="L42" i="3"/>
  <c r="J45" i="3"/>
  <c r="J42" i="3"/>
  <c r="H41" i="3"/>
  <c r="H38" i="3"/>
  <c r="I45" i="4"/>
  <c r="J44" i="4"/>
  <c r="I46" i="4"/>
  <c r="I47" i="4"/>
  <c r="I54" i="4"/>
  <c r="I55" i="4" s="1"/>
  <c r="I37" i="4"/>
  <c r="I38" i="4" s="1"/>
  <c r="J42" i="4"/>
  <c r="K43" i="4"/>
  <c r="K30" i="4"/>
  <c r="J29" i="4"/>
  <c r="K26" i="4"/>
  <c r="J25" i="4"/>
  <c r="J33" i="4" s="1"/>
  <c r="K16" i="4"/>
  <c r="J15" i="4"/>
  <c r="J21" i="3"/>
  <c r="K22" i="3"/>
  <c r="L5" i="3"/>
  <c r="L6" i="3" s="1"/>
  <c r="K6" i="3"/>
  <c r="G144" i="6"/>
  <c r="C12" i="32"/>
  <c r="C144" i="6"/>
  <c r="E144" i="6"/>
  <c r="D12" i="33"/>
  <c r="G12" i="32"/>
  <c r="E12" i="32"/>
  <c r="F27" i="3"/>
  <c r="F6" i="44"/>
  <c r="F6" i="39"/>
  <c r="C153" i="6"/>
  <c r="C157" i="6" s="1"/>
  <c r="D12" i="32"/>
  <c r="D144" i="6"/>
  <c r="F12" i="33"/>
  <c r="F16" i="33" s="1"/>
  <c r="G12" i="33"/>
  <c r="G16" i="33" s="1"/>
  <c r="D153" i="6"/>
  <c r="D157" i="6" s="1"/>
  <c r="G153" i="6"/>
  <c r="D6" i="44"/>
  <c r="D27" i="3"/>
  <c r="D6" i="39"/>
  <c r="F12" i="32"/>
  <c r="F144" i="6"/>
  <c r="E6" i="39"/>
  <c r="E6" i="44"/>
  <c r="E27" i="3"/>
  <c r="C12" i="33"/>
  <c r="C16" i="33" s="1"/>
  <c r="G6" i="44"/>
  <c r="G6" i="39"/>
  <c r="G27" i="3"/>
  <c r="C6" i="44"/>
  <c r="C6" i="39"/>
  <c r="C27" i="3"/>
  <c r="C73" i="4"/>
  <c r="C67" i="4"/>
  <c r="C69" i="4"/>
  <c r="C63" i="4"/>
  <c r="C65" i="4"/>
  <c r="C59" i="4"/>
  <c r="C61" i="4"/>
  <c r="C55" i="4"/>
  <c r="C57" i="4"/>
  <c r="C51" i="4"/>
  <c r="C53" i="4"/>
  <c r="C47" i="4"/>
  <c r="C49" i="4"/>
  <c r="D54" i="4"/>
  <c r="E54" i="4"/>
  <c r="C38" i="4"/>
  <c r="C43" i="4"/>
  <c r="C45" i="4"/>
  <c r="G44" i="4"/>
  <c r="C36" i="4"/>
  <c r="C41" i="4"/>
  <c r="C34" i="4"/>
  <c r="C30" i="4"/>
  <c r="C32" i="4"/>
  <c r="C26" i="4"/>
  <c r="C28" i="4"/>
  <c r="F46" i="4"/>
  <c r="C22" i="4"/>
  <c r="C24" i="4"/>
  <c r="C18" i="4"/>
  <c r="C20" i="4"/>
  <c r="C14" i="4"/>
  <c r="C16" i="4"/>
  <c r="C10" i="4"/>
  <c r="C12" i="4"/>
  <c r="C6" i="4"/>
  <c r="C8" i="4"/>
  <c r="E157" i="6"/>
  <c r="C8" i="18"/>
  <c r="C9" i="19"/>
  <c r="C75" i="6"/>
  <c r="E16" i="33"/>
  <c r="C5" i="41"/>
  <c r="C6" i="34"/>
  <c r="C5" i="40"/>
  <c r="F157" i="6"/>
  <c r="C5" i="42"/>
  <c r="C7" i="14"/>
  <c r="C5" i="43"/>
  <c r="C7" i="24"/>
  <c r="C8" i="24" s="1"/>
  <c r="C99" i="6"/>
  <c r="C100" i="6" s="1"/>
  <c r="C47" i="6"/>
  <c r="C69" i="6"/>
  <c r="C64" i="6"/>
  <c r="C8" i="17"/>
  <c r="G157" i="6"/>
  <c r="D16" i="33"/>
  <c r="E26" i="46"/>
  <c r="E30" i="46" s="1"/>
  <c r="F25" i="46"/>
  <c r="J5" i="5" l="1"/>
  <c r="J27" i="5" s="1"/>
  <c r="J48" i="5" s="1"/>
  <c r="J49" i="3"/>
  <c r="J46" i="3"/>
  <c r="I49" i="3"/>
  <c r="I46" i="3"/>
  <c r="I5" i="5"/>
  <c r="I27" i="5" s="1"/>
  <c r="I48" i="5" s="1"/>
  <c r="K42" i="3"/>
  <c r="K45" i="3"/>
  <c r="J46" i="4"/>
  <c r="L46" i="3"/>
  <c r="L5" i="5"/>
  <c r="L27" i="5" s="1"/>
  <c r="L48" i="5" s="1"/>
  <c r="L49" i="3"/>
  <c r="H45" i="3"/>
  <c r="H42" i="3"/>
  <c r="K44" i="4"/>
  <c r="J45" i="4"/>
  <c r="J34" i="4"/>
  <c r="J37" i="4"/>
  <c r="J38" i="4" s="1"/>
  <c r="J47" i="4"/>
  <c r="J54" i="4"/>
  <c r="J55" i="4" s="1"/>
  <c r="L43" i="4"/>
  <c r="L42" i="4" s="1"/>
  <c r="K42" i="4"/>
  <c r="L30" i="4"/>
  <c r="L29" i="4" s="1"/>
  <c r="K29" i="4"/>
  <c r="L26" i="4"/>
  <c r="L25" i="4" s="1"/>
  <c r="K25" i="4"/>
  <c r="L16" i="4"/>
  <c r="L15" i="4" s="1"/>
  <c r="K15" i="4"/>
  <c r="L22" i="3"/>
  <c r="L21" i="3" s="1"/>
  <c r="K21" i="3"/>
  <c r="F29" i="3"/>
  <c r="F30" i="3" s="1"/>
  <c r="F28" i="3"/>
  <c r="G29" i="3"/>
  <c r="G30" i="3" s="1"/>
  <c r="G28" i="3"/>
  <c r="E29" i="3"/>
  <c r="E30" i="3" s="1"/>
  <c r="E28" i="3"/>
  <c r="D29" i="3"/>
  <c r="D28" i="3"/>
  <c r="C29" i="3"/>
  <c r="C30" i="3" s="1"/>
  <c r="C28" i="3"/>
  <c r="D33" i="3"/>
  <c r="D34" i="3" s="1"/>
  <c r="G33" i="3"/>
  <c r="G34" i="3" s="1"/>
  <c r="E5" i="35"/>
  <c r="E6" i="42"/>
  <c r="D6" i="42"/>
  <c r="F54" i="4"/>
  <c r="G46" i="4"/>
  <c r="F26" i="46"/>
  <c r="F30" i="46" s="1"/>
  <c r="G25" i="46"/>
  <c r="G26" i="46" s="1"/>
  <c r="G30" i="46" s="1"/>
  <c r="I55" i="3" l="1"/>
  <c r="I56" i="3" s="1"/>
  <c r="I50" i="3"/>
  <c r="J55" i="3"/>
  <c r="J56" i="3" s="1"/>
  <c r="J50" i="3"/>
  <c r="L55" i="3"/>
  <c r="L56" i="3" s="1"/>
  <c r="L50" i="3"/>
  <c r="K5" i="5"/>
  <c r="K27" i="5" s="1"/>
  <c r="K48" i="5" s="1"/>
  <c r="K49" i="3"/>
  <c r="K46" i="3"/>
  <c r="L44" i="4"/>
  <c r="L45" i="4" s="1"/>
  <c r="K45" i="4"/>
  <c r="K46" i="4"/>
  <c r="K47" i="4" s="1"/>
  <c r="H5" i="5"/>
  <c r="H27" i="5" s="1"/>
  <c r="H48" i="5" s="1"/>
  <c r="H70" i="4" s="1"/>
  <c r="H49" i="3"/>
  <c r="H46" i="3"/>
  <c r="K33" i="4"/>
  <c r="L33" i="4"/>
  <c r="C33" i="3"/>
  <c r="C34" i="3" s="1"/>
  <c r="C5" i="35"/>
  <c r="E33" i="3"/>
  <c r="E34" i="3" s="1"/>
  <c r="G5" i="35"/>
  <c r="D5" i="35"/>
  <c r="D30" i="3"/>
  <c r="F5" i="35"/>
  <c r="F33" i="3"/>
  <c r="F34" i="3" s="1"/>
  <c r="C6" i="35"/>
  <c r="C51" i="6"/>
  <c r="C54" i="6" s="1"/>
  <c r="C6" i="20"/>
  <c r="C8" i="20" s="1"/>
  <c r="C78" i="6"/>
  <c r="C80" i="6" s="1"/>
  <c r="C37" i="3"/>
  <c r="E6" i="35"/>
  <c r="E51" i="6"/>
  <c r="E54" i="6" s="1"/>
  <c r="D6" i="35"/>
  <c r="D6" i="15"/>
  <c r="D9" i="15" s="1"/>
  <c r="D51" i="6"/>
  <c r="D54" i="6" s="1"/>
  <c r="D6" i="20"/>
  <c r="D8" i="20" s="1"/>
  <c r="D78" i="6"/>
  <c r="D80" i="6" s="1"/>
  <c r="D37" i="3"/>
  <c r="G6" i="35"/>
  <c r="G6" i="15"/>
  <c r="G9" i="15" s="1"/>
  <c r="G51" i="6"/>
  <c r="G54" i="6" s="1"/>
  <c r="G6" i="20"/>
  <c r="G8" i="20" s="1"/>
  <c r="G78" i="6"/>
  <c r="G80" i="6" s="1"/>
  <c r="G37" i="3"/>
  <c r="F6" i="42"/>
  <c r="G54" i="4"/>
  <c r="K54" i="4" l="1"/>
  <c r="K55" i="4" s="1"/>
  <c r="K55" i="3"/>
  <c r="K56" i="3" s="1"/>
  <c r="K50" i="3"/>
  <c r="L46" i="4"/>
  <c r="H50" i="3"/>
  <c r="H55" i="3"/>
  <c r="H56" i="3" s="1"/>
  <c r="I70" i="4"/>
  <c r="H71" i="4"/>
  <c r="H72" i="4"/>
  <c r="H73" i="4" s="1"/>
  <c r="L34" i="4"/>
  <c r="L37" i="4"/>
  <c r="L38" i="4" s="1"/>
  <c r="K34" i="4"/>
  <c r="K37" i="4"/>
  <c r="K38" i="4" s="1"/>
  <c r="C6" i="15"/>
  <c r="C9" i="15" s="1"/>
  <c r="E6" i="20"/>
  <c r="E8" i="20" s="1"/>
  <c r="E37" i="3"/>
  <c r="E6" i="15"/>
  <c r="E9" i="15" s="1"/>
  <c r="E78" i="6"/>
  <c r="E80" i="6" s="1"/>
  <c r="D41" i="3"/>
  <c r="D38" i="3"/>
  <c r="C41" i="3"/>
  <c r="C38" i="3"/>
  <c r="G41" i="3"/>
  <c r="G38" i="3"/>
  <c r="E41" i="3"/>
  <c r="E38" i="3"/>
  <c r="F37" i="3"/>
  <c r="F6" i="35"/>
  <c r="F6" i="20"/>
  <c r="F8" i="20" s="1"/>
  <c r="F51" i="6"/>
  <c r="F54" i="6" s="1"/>
  <c r="F78" i="6"/>
  <c r="F80" i="6" s="1"/>
  <c r="F6" i="15"/>
  <c r="F9" i="15" s="1"/>
  <c r="G6" i="42"/>
  <c r="L47" i="4" l="1"/>
  <c r="L54" i="4"/>
  <c r="L55" i="4" s="1"/>
  <c r="J70" i="4"/>
  <c r="I71" i="4"/>
  <c r="I72" i="4"/>
  <c r="I73" i="4" s="1"/>
  <c r="E45" i="3"/>
  <c r="E46" i="3" s="1"/>
  <c r="E42" i="3"/>
  <c r="C45" i="3"/>
  <c r="C42" i="3"/>
  <c r="G45" i="3"/>
  <c r="G46" i="3" s="1"/>
  <c r="G42" i="3"/>
  <c r="D45" i="3"/>
  <c r="D46" i="3" s="1"/>
  <c r="D42" i="3"/>
  <c r="F41" i="3"/>
  <c r="F38" i="3"/>
  <c r="K70" i="4" l="1"/>
  <c r="J71" i="4"/>
  <c r="J72" i="4"/>
  <c r="J73" i="4" s="1"/>
  <c r="C49" i="3"/>
  <c r="C50" i="3" s="1"/>
  <c r="C46" i="3"/>
  <c r="D49" i="3"/>
  <c r="D50" i="3" s="1"/>
  <c r="D5" i="5"/>
  <c r="D27" i="5" s="1"/>
  <c r="D48" i="5" s="1"/>
  <c r="C6" i="45"/>
  <c r="C9" i="10"/>
  <c r="C55" i="3"/>
  <c r="C5" i="45" s="1"/>
  <c r="C6" i="14"/>
  <c r="C8" i="14" s="1"/>
  <c r="C57" i="6"/>
  <c r="C59" i="6" s="1"/>
  <c r="C6" i="6"/>
  <c r="C46" i="6"/>
  <c r="C48" i="6" s="1"/>
  <c r="C6" i="7"/>
  <c r="C24" i="6"/>
  <c r="C6" i="16"/>
  <c r="C8" i="16" s="1"/>
  <c r="C61" i="3"/>
  <c r="F45" i="3"/>
  <c r="F42" i="3"/>
  <c r="G49" i="3"/>
  <c r="G50" i="3" s="1"/>
  <c r="G5" i="5"/>
  <c r="G27" i="5" s="1"/>
  <c r="G48" i="5" s="1"/>
  <c r="E5" i="5"/>
  <c r="E27" i="5" s="1"/>
  <c r="E48" i="5" s="1"/>
  <c r="E49" i="3"/>
  <c r="E50" i="3" s="1"/>
  <c r="L70" i="4" l="1"/>
  <c r="K71" i="4"/>
  <c r="K72" i="4"/>
  <c r="K73" i="4" s="1"/>
  <c r="F5" i="5"/>
  <c r="F27" i="5" s="1"/>
  <c r="F48" i="5" s="1"/>
  <c r="F46" i="3"/>
  <c r="F49" i="3"/>
  <c r="G6" i="16"/>
  <c r="G6" i="7"/>
  <c r="G6" i="45"/>
  <c r="G9" i="10"/>
  <c r="G55" i="3"/>
  <c r="G5" i="45" s="1"/>
  <c r="G24" i="6"/>
  <c r="G6" i="14"/>
  <c r="G57" i="6"/>
  <c r="G61" i="3"/>
  <c r="G46" i="6"/>
  <c r="G6" i="6"/>
  <c r="E6" i="14"/>
  <c r="E61" i="3"/>
  <c r="E9" i="10"/>
  <c r="E6" i="6"/>
  <c r="E6" i="16"/>
  <c r="E57" i="6"/>
  <c r="E6" i="7"/>
  <c r="E46" i="6"/>
  <c r="E55" i="3"/>
  <c r="E5" i="45" s="1"/>
  <c r="E24" i="6"/>
  <c r="E6" i="45"/>
  <c r="D70" i="4"/>
  <c r="D38" i="46"/>
  <c r="C7" i="11"/>
  <c r="C8" i="11" s="1"/>
  <c r="C9" i="11" s="1"/>
  <c r="C7" i="9"/>
  <c r="C8" i="9" s="1"/>
  <c r="C22" i="6"/>
  <c r="C23" i="6" s="1"/>
  <c r="C25" i="6"/>
  <c r="C26" i="6" s="1"/>
  <c r="C7" i="7"/>
  <c r="C8" i="7" s="1"/>
  <c r="C7" i="6"/>
  <c r="C8" i="6" s="1"/>
  <c r="C17" i="6"/>
  <c r="C18" i="6" s="1"/>
  <c r="C7" i="8"/>
  <c r="C8" i="8" s="1"/>
  <c r="C31" i="6"/>
  <c r="C32" i="6" s="1"/>
  <c r="C33" i="6" s="1"/>
  <c r="C7" i="10"/>
  <c r="C8" i="10" s="1"/>
  <c r="C12" i="6"/>
  <c r="C13" i="6" s="1"/>
  <c r="C10" i="10"/>
  <c r="C11" i="10" s="1"/>
  <c r="D6" i="14"/>
  <c r="D6" i="6"/>
  <c r="D24" i="6"/>
  <c r="D46" i="6"/>
  <c r="D61" i="3"/>
  <c r="D6" i="45"/>
  <c r="D55" i="3"/>
  <c r="D6" i="7"/>
  <c r="D6" i="16"/>
  <c r="D57" i="6"/>
  <c r="D9" i="10"/>
  <c r="F46" i="6"/>
  <c r="F6" i="16"/>
  <c r="L71" i="4" l="1"/>
  <c r="L72" i="4"/>
  <c r="L73" i="4" s="1"/>
  <c r="F6" i="45"/>
  <c r="F50" i="3"/>
  <c r="F55" i="3"/>
  <c r="F5" i="45" s="1"/>
  <c r="F57" i="6"/>
  <c r="F24" i="6"/>
  <c r="F6" i="6"/>
  <c r="F6" i="7"/>
  <c r="F9" i="10"/>
  <c r="F6" i="14"/>
  <c r="F61" i="3"/>
  <c r="C27" i="6"/>
  <c r="C12" i="10"/>
  <c r="D5" i="45"/>
  <c r="D8" i="46"/>
  <c r="D11" i="4"/>
  <c r="D39" i="46"/>
  <c r="D40" i="46" s="1"/>
  <c r="E38" i="46"/>
  <c r="E17" i="6"/>
  <c r="E7" i="7"/>
  <c r="E8" i="7" s="1"/>
  <c r="E7" i="6"/>
  <c r="E8" i="6" s="1"/>
  <c r="E7" i="10"/>
  <c r="E8" i="10" s="1"/>
  <c r="E10" i="10"/>
  <c r="E11" i="10" s="1"/>
  <c r="E12" i="6"/>
  <c r="E13" i="6" s="1"/>
  <c r="E7" i="9"/>
  <c r="E7" i="8"/>
  <c r="E8" i="8" s="1"/>
  <c r="E31" i="6"/>
  <c r="E32" i="6" s="1"/>
  <c r="E33" i="6" s="1"/>
  <c r="E25" i="6"/>
  <c r="E26" i="6" s="1"/>
  <c r="E22" i="6"/>
  <c r="E23" i="6" s="1"/>
  <c r="E27" i="6" s="1"/>
  <c r="E7" i="11"/>
  <c r="E8" i="11" s="1"/>
  <c r="E9" i="11" s="1"/>
  <c r="D7" i="11"/>
  <c r="D8" i="11" s="1"/>
  <c r="D9" i="11" s="1"/>
  <c r="D17" i="6"/>
  <c r="D25" i="6"/>
  <c r="D26" i="6" s="1"/>
  <c r="D7" i="10"/>
  <c r="D8" i="10" s="1"/>
  <c r="D7" i="7"/>
  <c r="D8" i="7" s="1"/>
  <c r="D12" i="6"/>
  <c r="D13" i="6" s="1"/>
  <c r="D7" i="8"/>
  <c r="D8" i="8" s="1"/>
  <c r="D31" i="6"/>
  <c r="D32" i="6" s="1"/>
  <c r="D33" i="6" s="1"/>
  <c r="D7" i="9"/>
  <c r="D7" i="6"/>
  <c r="D8" i="6" s="1"/>
  <c r="D22" i="6"/>
  <c r="D23" i="6" s="1"/>
  <c r="D10" i="10"/>
  <c r="D11" i="10" s="1"/>
  <c r="E70" i="4"/>
  <c r="D6" i="22"/>
  <c r="D8" i="22" s="1"/>
  <c r="D72" i="4"/>
  <c r="D88" i="6"/>
  <c r="D90" i="6" s="1"/>
  <c r="D6" i="23"/>
  <c r="D8" i="23" s="1"/>
  <c r="D93" i="6"/>
  <c r="D95" i="6" s="1"/>
  <c r="G10" i="10"/>
  <c r="G11" i="10" s="1"/>
  <c r="G12" i="6"/>
  <c r="G13" i="6" s="1"/>
  <c r="G25" i="6"/>
  <c r="G26" i="6" s="1"/>
  <c r="G7" i="11"/>
  <c r="G8" i="11" s="1"/>
  <c r="G9" i="11" s="1"/>
  <c r="G7" i="9"/>
  <c r="G7" i="10"/>
  <c r="G8" i="10" s="1"/>
  <c r="G7" i="7"/>
  <c r="G8" i="7" s="1"/>
  <c r="G22" i="6"/>
  <c r="G23" i="6" s="1"/>
  <c r="G17" i="6"/>
  <c r="G31" i="6"/>
  <c r="G32" i="6" s="1"/>
  <c r="G33" i="6" s="1"/>
  <c r="G7" i="6"/>
  <c r="G8" i="6" s="1"/>
  <c r="G7" i="8"/>
  <c r="G8" i="8" s="1"/>
  <c r="G27" i="6" l="1"/>
  <c r="F25" i="6"/>
  <c r="F26" i="6" s="1"/>
  <c r="F7" i="10"/>
  <c r="F8" i="10" s="1"/>
  <c r="F12" i="10" s="1"/>
  <c r="F22" i="6"/>
  <c r="F23" i="6" s="1"/>
  <c r="F7" i="7"/>
  <c r="F8" i="7" s="1"/>
  <c r="F10" i="10"/>
  <c r="F11" i="10" s="1"/>
  <c r="F31" i="6"/>
  <c r="F32" i="6" s="1"/>
  <c r="F33" i="6" s="1"/>
  <c r="F12" i="6"/>
  <c r="F13" i="6" s="1"/>
  <c r="F7" i="9"/>
  <c r="F7" i="8"/>
  <c r="F8" i="8" s="1"/>
  <c r="F7" i="11"/>
  <c r="F8" i="11" s="1"/>
  <c r="F9" i="11" s="1"/>
  <c r="F17" i="6"/>
  <c r="F7" i="6"/>
  <c r="F8" i="6" s="1"/>
  <c r="E12" i="10"/>
  <c r="G12" i="10"/>
  <c r="F70" i="4"/>
  <c r="E72" i="4"/>
  <c r="E6" i="22"/>
  <c r="E8" i="22" s="1"/>
  <c r="E93" i="6"/>
  <c r="E95" i="6" s="1"/>
  <c r="E88" i="6"/>
  <c r="E90" i="6" s="1"/>
  <c r="E6" i="23"/>
  <c r="E8" i="23" s="1"/>
  <c r="D12" i="10"/>
  <c r="E39" i="46"/>
  <c r="E40" i="46" s="1"/>
  <c r="F38" i="46"/>
  <c r="E11" i="4"/>
  <c r="D13" i="4"/>
  <c r="D6" i="43"/>
  <c r="D72" i="6"/>
  <c r="D75" i="6" s="1"/>
  <c r="D6" i="19"/>
  <c r="D9" i="19" s="1"/>
  <c r="D67" i="6"/>
  <c r="D69" i="6" s="1"/>
  <c r="D5" i="36"/>
  <c r="D6" i="18"/>
  <c r="D8" i="18" s="1"/>
  <c r="D74" i="4"/>
  <c r="D27" i="6"/>
  <c r="E8" i="46"/>
  <c r="D9" i="46"/>
  <c r="D21" i="46" s="1"/>
  <c r="F27" i="6" l="1"/>
  <c r="D63" i="6"/>
  <c r="D64" i="6" s="1"/>
  <c r="D16" i="6"/>
  <c r="D18" i="6" s="1"/>
  <c r="D8" i="15"/>
  <c r="D6" i="9"/>
  <c r="D8" i="9" s="1"/>
  <c r="D5" i="34"/>
  <c r="D14" i="4"/>
  <c r="D37" i="4"/>
  <c r="D7" i="16"/>
  <c r="D8" i="16" s="1"/>
  <c r="D58" i="6"/>
  <c r="D59" i="6" s="1"/>
  <c r="D7" i="17"/>
  <c r="D8" i="17" s="1"/>
  <c r="D53" i="6"/>
  <c r="D73" i="4"/>
  <c r="D57" i="4"/>
  <c r="D6" i="4"/>
  <c r="D59" i="4"/>
  <c r="D24" i="4"/>
  <c r="D7" i="24"/>
  <c r="D8" i="24" s="1"/>
  <c r="D43" i="4"/>
  <c r="D10" i="4"/>
  <c r="D71" i="4"/>
  <c r="D47" i="4"/>
  <c r="D5" i="43"/>
  <c r="D49" i="4"/>
  <c r="D16" i="4"/>
  <c r="D69" i="4"/>
  <c r="D34" i="4"/>
  <c r="D99" i="6"/>
  <c r="D100" i="6" s="1"/>
  <c r="D45" i="4"/>
  <c r="D12" i="4"/>
  <c r="D75" i="4"/>
  <c r="D30" i="4"/>
  <c r="D7" i="14"/>
  <c r="D8" i="14" s="1"/>
  <c r="D41" i="4"/>
  <c r="D8" i="4"/>
  <c r="D61" i="4"/>
  <c r="D26" i="4"/>
  <c r="D63" i="4"/>
  <c r="D36" i="4"/>
  <c r="D53" i="4"/>
  <c r="D65" i="4"/>
  <c r="D22" i="4"/>
  <c r="D67" i="4"/>
  <c r="D32" i="4"/>
  <c r="D5" i="42"/>
  <c r="D51" i="4"/>
  <c r="D18" i="4"/>
  <c r="D55" i="4"/>
  <c r="D28" i="4"/>
  <c r="D20" i="4"/>
  <c r="D47" i="6"/>
  <c r="D48" i="6" s="1"/>
  <c r="F11" i="4"/>
  <c r="E13" i="4"/>
  <c r="E74" i="4"/>
  <c r="E12" i="4" s="1"/>
  <c r="E67" i="6"/>
  <c r="E69" i="6" s="1"/>
  <c r="E6" i="19"/>
  <c r="E9" i="19" s="1"/>
  <c r="E6" i="18"/>
  <c r="E8" i="18" s="1"/>
  <c r="E72" i="6"/>
  <c r="E75" i="6" s="1"/>
  <c r="E6" i="43"/>
  <c r="E5" i="36"/>
  <c r="G38" i="46"/>
  <c r="G39" i="46" s="1"/>
  <c r="G40" i="46" s="1"/>
  <c r="F39" i="46"/>
  <c r="F40" i="46" s="1"/>
  <c r="F93" i="6"/>
  <c r="F95" i="6" s="1"/>
  <c r="F72" i="4"/>
  <c r="F6" i="22"/>
  <c r="F8" i="22" s="1"/>
  <c r="F6" i="23"/>
  <c r="F8" i="23" s="1"/>
  <c r="G70" i="4"/>
  <c r="F88" i="6"/>
  <c r="F90" i="6" s="1"/>
  <c r="E9" i="46"/>
  <c r="E21" i="46" s="1"/>
  <c r="F8" i="46"/>
  <c r="G72" i="4" l="1"/>
  <c r="G93" i="6"/>
  <c r="G95" i="6" s="1"/>
  <c r="G6" i="23"/>
  <c r="G8" i="23" s="1"/>
  <c r="G6" i="22"/>
  <c r="G8" i="22" s="1"/>
  <c r="G88" i="6"/>
  <c r="G90" i="6" s="1"/>
  <c r="G11" i="4"/>
  <c r="F13" i="4"/>
  <c r="G8" i="46"/>
  <c r="G9" i="46" s="1"/>
  <c r="G21" i="46" s="1"/>
  <c r="F9" i="46"/>
  <c r="F21" i="46" s="1"/>
  <c r="E73" i="4"/>
  <c r="D5" i="41"/>
  <c r="D38" i="4"/>
  <c r="D6" i="34"/>
  <c r="D5" i="40"/>
  <c r="E61" i="4"/>
  <c r="E28" i="4"/>
  <c r="E55" i="4"/>
  <c r="E6" i="4"/>
  <c r="E16" i="4"/>
  <c r="E41" i="4"/>
  <c r="E67" i="4"/>
  <c r="E34" i="4"/>
  <c r="E7" i="14"/>
  <c r="E8" i="14" s="1"/>
  <c r="E71" i="4"/>
  <c r="E53" i="4"/>
  <c r="E20" i="4"/>
  <c r="E47" i="4"/>
  <c r="E99" i="6"/>
  <c r="E100" i="6" s="1"/>
  <c r="E47" i="6"/>
  <c r="E48" i="6" s="1"/>
  <c r="E24" i="4"/>
  <c r="E59" i="4"/>
  <c r="E26" i="4"/>
  <c r="E5" i="42"/>
  <c r="E75" i="4"/>
  <c r="E45" i="4"/>
  <c r="E5" i="43"/>
  <c r="E30" i="4"/>
  <c r="E57" i="4"/>
  <c r="E65" i="4"/>
  <c r="E8" i="4"/>
  <c r="E51" i="4"/>
  <c r="E18" i="4"/>
  <c r="E69" i="4"/>
  <c r="E36" i="4"/>
  <c r="E63" i="4"/>
  <c r="E22" i="4"/>
  <c r="E32" i="4"/>
  <c r="E49" i="4"/>
  <c r="E7" i="24"/>
  <c r="E8" i="24" s="1"/>
  <c r="E43" i="4"/>
  <c r="E10" i="4"/>
  <c r="F72" i="6"/>
  <c r="F75" i="6" s="1"/>
  <c r="F6" i="18"/>
  <c r="F8" i="18" s="1"/>
  <c r="F67" i="6"/>
  <c r="F69" i="6" s="1"/>
  <c r="F5" i="36"/>
  <c r="F6" i="43"/>
  <c r="F6" i="19"/>
  <c r="F9" i="19" s="1"/>
  <c r="F74" i="4"/>
  <c r="F12" i="4" s="1"/>
  <c r="E58" i="6"/>
  <c r="E59" i="6" s="1"/>
  <c r="E5" i="34"/>
  <c r="E37" i="4"/>
  <c r="E6" i="9"/>
  <c r="E8" i="9" s="1"/>
  <c r="E7" i="17"/>
  <c r="E8" i="17" s="1"/>
  <c r="E14" i="4"/>
  <c r="E16" i="6"/>
  <c r="E18" i="6" s="1"/>
  <c r="E63" i="6"/>
  <c r="E64" i="6" s="1"/>
  <c r="E7" i="16"/>
  <c r="E8" i="16" s="1"/>
  <c r="E8" i="15"/>
  <c r="E53" i="6"/>
  <c r="F73" i="4" l="1"/>
  <c r="F61" i="4"/>
  <c r="F28" i="4"/>
  <c r="F63" i="4"/>
  <c r="F65" i="4"/>
  <c r="F32" i="4"/>
  <c r="F47" i="6"/>
  <c r="F48" i="6" s="1"/>
  <c r="F43" i="4"/>
  <c r="F10" i="4"/>
  <c r="F5" i="42"/>
  <c r="F20" i="4"/>
  <c r="F24" i="4"/>
  <c r="F34" i="4"/>
  <c r="F7" i="24"/>
  <c r="F8" i="24" s="1"/>
  <c r="F71" i="4"/>
  <c r="F53" i="4"/>
  <c r="F55" i="4"/>
  <c r="F57" i="4"/>
  <c r="F67" i="4"/>
  <c r="F7" i="14"/>
  <c r="F8" i="14" s="1"/>
  <c r="F75" i="4"/>
  <c r="F45" i="4"/>
  <c r="F5" i="43"/>
  <c r="F47" i="4"/>
  <c r="F49" i="4"/>
  <c r="F16" i="4"/>
  <c r="F59" i="4"/>
  <c r="F26" i="4"/>
  <c r="F99" i="6"/>
  <c r="F100" i="6" s="1"/>
  <c r="F69" i="4"/>
  <c r="F36" i="4"/>
  <c r="F22" i="4"/>
  <c r="F30" i="4"/>
  <c r="F41" i="4"/>
  <c r="F8" i="4"/>
  <c r="F51" i="4"/>
  <c r="F18" i="4"/>
  <c r="F6" i="4"/>
  <c r="F7" i="17"/>
  <c r="F8" i="17" s="1"/>
  <c r="F8" i="15"/>
  <c r="F37" i="4"/>
  <c r="F53" i="6"/>
  <c r="F7" i="16"/>
  <c r="F8" i="16" s="1"/>
  <c r="F5" i="34"/>
  <c r="F58" i="6"/>
  <c r="F59" i="6" s="1"/>
  <c r="F63" i="6"/>
  <c r="F64" i="6" s="1"/>
  <c r="F16" i="6"/>
  <c r="F18" i="6" s="1"/>
  <c r="F6" i="9"/>
  <c r="F8" i="9" s="1"/>
  <c r="F14" i="4"/>
  <c r="E38" i="4"/>
  <c r="E6" i="34"/>
  <c r="E5" i="41"/>
  <c r="E5" i="40"/>
  <c r="G13" i="4"/>
  <c r="G6" i="19"/>
  <c r="G9" i="19" s="1"/>
  <c r="G67" i="6"/>
  <c r="G69" i="6" s="1"/>
  <c r="G6" i="18"/>
  <c r="G8" i="18" s="1"/>
  <c r="G6" i="43"/>
  <c r="G5" i="36"/>
  <c r="G72" i="6"/>
  <c r="G75" i="6" s="1"/>
  <c r="G74" i="4"/>
  <c r="G73" i="4" l="1"/>
  <c r="G71" i="4"/>
  <c r="G51" i="4"/>
  <c r="G18" i="4"/>
  <c r="G69" i="4"/>
  <c r="G36" i="4"/>
  <c r="G47" i="6"/>
  <c r="G48" i="6" s="1"/>
  <c r="G30" i="4"/>
  <c r="G57" i="4"/>
  <c r="G65" i="4"/>
  <c r="G8" i="4"/>
  <c r="G63" i="4"/>
  <c r="G41" i="4"/>
  <c r="G75" i="4"/>
  <c r="G43" i="4"/>
  <c r="G10" i="4"/>
  <c r="G61" i="4"/>
  <c r="G28" i="4"/>
  <c r="G22" i="4"/>
  <c r="G49" i="4"/>
  <c r="G67" i="4"/>
  <c r="G34" i="4"/>
  <c r="G5" i="42"/>
  <c r="G53" i="4"/>
  <c r="G20" i="4"/>
  <c r="G55" i="4"/>
  <c r="G6" i="4"/>
  <c r="G24" i="4"/>
  <c r="G32" i="4"/>
  <c r="G7" i="14"/>
  <c r="G8" i="14" s="1"/>
  <c r="G59" i="4"/>
  <c r="G26" i="4"/>
  <c r="G99" i="6"/>
  <c r="G100" i="6" s="1"/>
  <c r="G45" i="4"/>
  <c r="G5" i="43"/>
  <c r="G47" i="4"/>
  <c r="G7" i="24"/>
  <c r="G8" i="24" s="1"/>
  <c r="G16" i="4"/>
  <c r="G12" i="4"/>
  <c r="G58" i="6"/>
  <c r="G59" i="6" s="1"/>
  <c r="G7" i="16"/>
  <c r="G8" i="16" s="1"/>
  <c r="G14" i="4"/>
  <c r="G6" i="9"/>
  <c r="G8" i="9" s="1"/>
  <c r="G5" i="34"/>
  <c r="G53" i="6"/>
  <c r="G8" i="15"/>
  <c r="G37" i="4"/>
  <c r="G63" i="6"/>
  <c r="G64" i="6" s="1"/>
  <c r="G16" i="6"/>
  <c r="G18" i="6" s="1"/>
  <c r="G7" i="17"/>
  <c r="G8" i="17" s="1"/>
  <c r="F6" i="34"/>
  <c r="F38" i="4"/>
  <c r="F5" i="41"/>
  <c r="F5" i="40"/>
  <c r="G5" i="40" l="1"/>
  <c r="G38" i="4"/>
  <c r="G5" i="41"/>
  <c r="G6" i="34"/>
</calcChain>
</file>

<file path=xl/sharedStrings.xml><?xml version="1.0" encoding="utf-8"?>
<sst xmlns="http://schemas.openxmlformats.org/spreadsheetml/2006/main" count="720" uniqueCount="288">
  <si>
    <t>Balance Sheet of Asian Star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</si>
  <si>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</si>
  <si>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</si>
  <si>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</si>
  <si>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</si>
  <si>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</si>
  <si>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</si>
  <si>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</si>
  <si>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</si>
  <si>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</si>
  <si>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</si>
  <si>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</si>
  <si>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</si>
  <si>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</si>
  <si>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</si>
  <si>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</si>
  <si>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</si>
  <si>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</si>
  <si>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</si>
  <si>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</si>
  <si>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</si>
  <si>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</si>
  <si>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</si>
  <si>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</si>
  <si>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</si>
  <si>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</si>
  <si>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</si>
  <si>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</si>
  <si>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</si>
  <si>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</si>
  <si>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</si>
  <si>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</si>
  <si>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</si>
  <si>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</si>
  <si>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</si>
  <si>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</si>
  <si>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</si>
  <si>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</si>
  <si>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</si>
  <si>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</si>
  <si>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</si>
  <si>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</si>
  <si>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</si>
  <si>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</si>
  <si>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</si>
  <si>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</si>
  <si>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</si>
  <si>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</si>
  <si>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</si>
  <si>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</si>
  <si>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</si>
  <si>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</si>
  <si>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</si>
  <si>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</si>
  <si>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</si>
  <si>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Asian Star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</si>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</sst>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0" fontId="1" fillId="8" borderId="0" xfId="0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2" fillId="8" borderId="0" xfId="0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4" fontId="1" fillId="8" borderId="0" xfId="0" applyNumberFormat="1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C06-4690-9185-63F9AC717FA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C06-4690-9185-63F9AC717FA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C06-4690-9185-63F9AC717F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68</c:v>
                </c:pt>
                <c:pt idx="1">
                  <c:v>72</c:v>
                </c:pt>
                <c:pt idx="2">
                  <c:v>40</c:v>
                </c:pt>
                <c:pt idx="3">
                  <c:v>40</c:v>
                </c:pt>
                <c:pt idx="4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C06-4690-9185-63F9AC717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463112"/>
        <c:axId val="555458192"/>
      </c:lineChart>
      <c:catAx>
        <c:axId val="555463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8192"/>
        <c:crosses val="autoZero"/>
        <c:auto val="0"/>
        <c:lblAlgn val="ctr"/>
        <c:lblOffset val="100"/>
        <c:noMultiLvlLbl val="0"/>
      </c:catAx>
      <c:valAx>
        <c:axId val="555458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54631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0.71</c:v>
                </c:pt>
                <c:pt idx="1">
                  <c:v>0.3</c:v>
                </c:pt>
                <c:pt idx="2">
                  <c:v>0.18</c:v>
                </c:pt>
                <c:pt idx="3">
                  <c:v>0.14000000000000001</c:v>
                </c:pt>
                <c:pt idx="4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01F-47BC-B2A9-CB12E76D5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772864"/>
        <c:axId val="560414856"/>
      </c:lineChart>
      <c:catAx>
        <c:axId val="55877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4856"/>
        <c:crosses val="autoZero"/>
        <c:auto val="0"/>
        <c:lblAlgn val="ctr"/>
        <c:lblOffset val="100"/>
        <c:noMultiLvlLbl val="0"/>
      </c:catAx>
      <c:valAx>
        <c:axId val="560414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8772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F63-455A-B055-C385F66A8F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0.91</c:v>
                </c:pt>
                <c:pt idx="1">
                  <c:v>0.31</c:v>
                </c:pt>
                <c:pt idx="2">
                  <c:v>0.19</c:v>
                </c:pt>
                <c:pt idx="3">
                  <c:v>0.11</c:v>
                </c:pt>
                <c:pt idx="4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63-455A-B055-C385F66A8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4728"/>
        <c:axId val="364049320"/>
      </c:lineChart>
      <c:catAx>
        <c:axId val="36404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9320"/>
        <c:crosses val="autoZero"/>
        <c:auto val="0"/>
        <c:lblAlgn val="ctr"/>
        <c:lblOffset val="100"/>
        <c:noMultiLvlLbl val="0"/>
      </c:catAx>
      <c:valAx>
        <c:axId val="364049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4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3D0-4634-A62C-914606EE3E0D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3D0-4634-A62C-914606EE3E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4.4400000000000004</c:v>
                </c:pt>
                <c:pt idx="1">
                  <c:v>12.37</c:v>
                </c:pt>
                <c:pt idx="2">
                  <c:v>27.49</c:v>
                </c:pt>
                <c:pt idx="3">
                  <c:v>23.12</c:v>
                </c:pt>
                <c:pt idx="4">
                  <c:v>15.67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3D0-4634-A62C-914606EE3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6576"/>
        <c:axId val="104320384"/>
      </c:lineChart>
      <c:catAx>
        <c:axId val="44076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20384"/>
        <c:crosses val="autoZero"/>
        <c:auto val="0"/>
        <c:lblAlgn val="ctr"/>
        <c:lblOffset val="100"/>
        <c:noMultiLvlLbl val="0"/>
      </c:catAx>
      <c:valAx>
        <c:axId val="104320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076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C03-4C71-A6DB-E35D1520C773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C03-4C71-A6DB-E35D1520C77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3.17</c:v>
                </c:pt>
                <c:pt idx="1">
                  <c:v>10.07</c:v>
                </c:pt>
                <c:pt idx="2">
                  <c:v>23.98</c:v>
                </c:pt>
                <c:pt idx="3">
                  <c:v>21.2</c:v>
                </c:pt>
                <c:pt idx="4">
                  <c:v>14.25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03-4C71-A6DB-E35D1520C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6368"/>
        <c:axId val="364048664"/>
      </c:lineChart>
      <c:catAx>
        <c:axId val="36404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664"/>
        <c:crosses val="autoZero"/>
        <c:auto val="0"/>
        <c:lblAlgn val="ctr"/>
        <c:lblOffset val="100"/>
        <c:noMultiLvlLbl val="0"/>
      </c:catAx>
      <c:valAx>
        <c:axId val="364048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6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8C3-46A0-8BD7-28E3BD1F6404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8C3-46A0-8BD7-28E3BD1F640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8C3-46A0-8BD7-28E3BD1F64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47.24</c:v>
                </c:pt>
                <c:pt idx="1">
                  <c:v>55.55</c:v>
                </c:pt>
                <c:pt idx="2">
                  <c:v>71.95</c:v>
                </c:pt>
                <c:pt idx="3">
                  <c:v>424.74</c:v>
                </c:pt>
                <c:pt idx="4">
                  <c:v>17.559999999999999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C3-46A0-8BD7-28E3BD1F6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16168"/>
        <c:axId val="560417480"/>
      </c:lineChart>
      <c:catAx>
        <c:axId val="560416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7480"/>
        <c:crosses val="autoZero"/>
        <c:auto val="0"/>
        <c:lblAlgn val="ctr"/>
        <c:lblOffset val="100"/>
        <c:noMultiLvlLbl val="0"/>
      </c:catAx>
      <c:valAx>
        <c:axId val="560417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4161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F9E-4CDE-872D-C26EBA5511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0.53</c:v>
                </c:pt>
                <c:pt idx="1">
                  <c:v>0.49</c:v>
                </c:pt>
                <c:pt idx="2">
                  <c:v>0.4</c:v>
                </c:pt>
                <c:pt idx="3">
                  <c:v>0.28999999999999998</c:v>
                </c:pt>
                <c:pt idx="4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F9E-4CDE-872D-C26EBA551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984"/>
        <c:axId val="449421408"/>
      </c:lineChart>
      <c:catAx>
        <c:axId val="44942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1408"/>
        <c:crosses val="autoZero"/>
        <c:auto val="0"/>
        <c:lblAlgn val="ctr"/>
        <c:lblOffset val="100"/>
        <c:noMultiLvlLbl val="0"/>
      </c:catAx>
      <c:valAx>
        <c:axId val="449421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69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F5B-40AC-BF42-2BE21EE817E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F5B-40AC-BF42-2BE21EE817E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F5B-40AC-BF42-2BE21EE817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71.27</c:v>
                </c:pt>
                <c:pt idx="1">
                  <c:v>338.76</c:v>
                </c:pt>
                <c:pt idx="2">
                  <c:v>902.8</c:v>
                </c:pt>
                <c:pt idx="3">
                  <c:v>2192.4499999999998</c:v>
                </c:pt>
                <c:pt idx="4">
                  <c:v>418.02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F5B-40AC-BF42-2BE21EE81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129528"/>
        <c:axId val="547131824"/>
      </c:lineChart>
      <c:catAx>
        <c:axId val="547129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131824"/>
        <c:crosses val="autoZero"/>
        <c:auto val="0"/>
        <c:lblAlgn val="ctr"/>
        <c:lblOffset val="100"/>
        <c:noMultiLvlLbl val="0"/>
      </c:catAx>
      <c:valAx>
        <c:axId val="547131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71295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2EF-45CF-9454-7B509859B110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EF-45CF-9454-7B509859B110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2EF-45CF-9454-7B509859B1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404.85</c:v>
                </c:pt>
                <c:pt idx="1">
                  <c:v>1652.48</c:v>
                </c:pt>
                <c:pt idx="2">
                  <c:v>2985.66</c:v>
                </c:pt>
                <c:pt idx="3">
                  <c:v>4453.99</c:v>
                </c:pt>
                <c:pt idx="4">
                  <c:v>4402.79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EF-45CF-9454-7B509859B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131168"/>
        <c:axId val="547130840"/>
      </c:lineChart>
      <c:catAx>
        <c:axId val="54713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130840"/>
        <c:crosses val="autoZero"/>
        <c:auto val="0"/>
        <c:lblAlgn val="ctr"/>
        <c:lblOffset val="100"/>
        <c:noMultiLvlLbl val="0"/>
      </c:catAx>
      <c:valAx>
        <c:axId val="547130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71311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E2E-4E23-8B74-041C4EFCEC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1.69</c:v>
                </c:pt>
                <c:pt idx="1">
                  <c:v>1.08</c:v>
                </c:pt>
                <c:pt idx="2">
                  <c:v>0.66</c:v>
                </c:pt>
                <c:pt idx="3">
                  <c:v>0.42</c:v>
                </c:pt>
                <c:pt idx="4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2E-4E23-8B74-041C4EFCE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17104"/>
        <c:axId val="555258568"/>
      </c:lineChart>
      <c:catAx>
        <c:axId val="10431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258568"/>
        <c:crosses val="autoZero"/>
        <c:auto val="0"/>
        <c:lblAlgn val="ctr"/>
        <c:lblOffset val="100"/>
        <c:noMultiLvlLbl val="0"/>
      </c:catAx>
      <c:valAx>
        <c:axId val="555258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3171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C47-439B-8213-15FAF604DD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6.98</c:v>
                </c:pt>
                <c:pt idx="1">
                  <c:v>6.43</c:v>
                </c:pt>
                <c:pt idx="2">
                  <c:v>5.51</c:v>
                </c:pt>
                <c:pt idx="3">
                  <c:v>5.24</c:v>
                </c:pt>
                <c:pt idx="4">
                  <c:v>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47-439B-8213-15FAF604D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248"/>
        <c:axId val="553596576"/>
      </c:lineChart>
      <c:catAx>
        <c:axId val="553596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576"/>
        <c:crosses val="autoZero"/>
        <c:auto val="0"/>
        <c:lblAlgn val="ctr"/>
        <c:lblOffset val="100"/>
        <c:noMultiLvlLbl val="0"/>
      </c:catAx>
      <c:valAx>
        <c:axId val="553596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6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992-4DCA-A2B9-291D03F36A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0.12</c:v>
                </c:pt>
                <c:pt idx="1">
                  <c:v>0.12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2-4DCA-A2B9-291D03F36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461144"/>
        <c:axId val="555461472"/>
      </c:lineChart>
      <c:catAx>
        <c:axId val="55546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61472"/>
        <c:crosses val="autoZero"/>
        <c:auto val="0"/>
        <c:lblAlgn val="ctr"/>
        <c:lblOffset val="100"/>
        <c:noMultiLvlLbl val="0"/>
      </c:catAx>
      <c:valAx>
        <c:axId val="555461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54611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DB1-401C-82D2-4A655338126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DB1-401C-82D2-4A65533812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4.22</c:v>
                </c:pt>
                <c:pt idx="1">
                  <c:v>4.76</c:v>
                </c:pt>
                <c:pt idx="2">
                  <c:v>4.58</c:v>
                </c:pt>
                <c:pt idx="3">
                  <c:v>3.16</c:v>
                </c:pt>
                <c:pt idx="4">
                  <c:v>4.22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DB1-401C-82D2-4A6553381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4688"/>
        <c:axId val="449426000"/>
      </c:lineChart>
      <c:catAx>
        <c:axId val="44942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6000"/>
        <c:crosses val="autoZero"/>
        <c:auto val="0"/>
        <c:lblAlgn val="ctr"/>
        <c:lblOffset val="100"/>
        <c:noMultiLvlLbl val="0"/>
      </c:catAx>
      <c:valAx>
        <c:axId val="449426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46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E3F-4188-8F63-9B5F46886A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13.41</c:v>
                </c:pt>
                <c:pt idx="1">
                  <c:v>13.06</c:v>
                </c:pt>
                <c:pt idx="2">
                  <c:v>11.42</c:v>
                </c:pt>
                <c:pt idx="3">
                  <c:v>10.06</c:v>
                </c:pt>
                <c:pt idx="4">
                  <c:v>19.41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3F-4188-8F63-9B5F46886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1368"/>
        <c:axId val="548323136"/>
      </c:lineChart>
      <c:catAx>
        <c:axId val="54954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3136"/>
        <c:crosses val="autoZero"/>
        <c:auto val="0"/>
        <c:lblAlgn val="ctr"/>
        <c:lblOffset val="100"/>
        <c:noMultiLvlLbl val="0"/>
      </c:catAx>
      <c:valAx>
        <c:axId val="548323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1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D32-4968-B1F7-DFECC815517B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D32-4968-B1F7-DFECC815517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D32-4968-B1F7-DFECC81551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4.7</c:v>
                </c:pt>
                <c:pt idx="1">
                  <c:v>7.23</c:v>
                </c:pt>
                <c:pt idx="2">
                  <c:v>7.64</c:v>
                </c:pt>
                <c:pt idx="3">
                  <c:v>2.94</c:v>
                </c:pt>
                <c:pt idx="4">
                  <c:v>9.68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32-4968-B1F7-DFECC8155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9608"/>
        <c:axId val="449423048"/>
      </c:lineChart>
      <c:catAx>
        <c:axId val="44942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3048"/>
        <c:crosses val="autoZero"/>
        <c:auto val="0"/>
        <c:lblAlgn val="ctr"/>
        <c:lblOffset val="100"/>
        <c:noMultiLvlLbl val="0"/>
      </c:catAx>
      <c:valAx>
        <c:axId val="4494230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9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980-4FE4-8981-BD768BE6559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980-4FE4-8981-BD768BE6559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C980-4FE4-8981-BD768BE65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52.29</c:v>
                </c:pt>
                <c:pt idx="1">
                  <c:v>56.74</c:v>
                </c:pt>
                <c:pt idx="2">
                  <c:v>66.22</c:v>
                </c:pt>
                <c:pt idx="3">
                  <c:v>69.61</c:v>
                </c:pt>
                <c:pt idx="4">
                  <c:v>46.6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80-4FE4-8981-BD768BE65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811584"/>
        <c:axId val="560812240"/>
      </c:lineChart>
      <c:catAx>
        <c:axId val="56081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2240"/>
        <c:crosses val="autoZero"/>
        <c:auto val="0"/>
        <c:lblAlgn val="ctr"/>
        <c:lblOffset val="100"/>
        <c:noMultiLvlLbl val="0"/>
      </c:catAx>
      <c:valAx>
        <c:axId val="560812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8115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FD2-4AC2-8420-FD56B1BE2A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77.72</c:v>
                </c:pt>
                <c:pt idx="1">
                  <c:v>50.51</c:v>
                </c:pt>
                <c:pt idx="2">
                  <c:v>47.79</c:v>
                </c:pt>
                <c:pt idx="3">
                  <c:v>124.12</c:v>
                </c:pt>
                <c:pt idx="4">
                  <c:v>37.69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D2-4AC2-8420-FD56B1BE2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328"/>
        <c:axId val="449426656"/>
      </c:lineChart>
      <c:catAx>
        <c:axId val="449426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6656"/>
        <c:crosses val="autoZero"/>
        <c:auto val="0"/>
        <c:lblAlgn val="ctr"/>
        <c:lblOffset val="100"/>
        <c:noMultiLvlLbl val="0"/>
      </c:catAx>
      <c:valAx>
        <c:axId val="449426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63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442-4ECD-AB62-94E34BCEFD8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442-4ECD-AB62-94E34BCEFD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86.44</c:v>
                </c:pt>
                <c:pt idx="1">
                  <c:v>76.7</c:v>
                </c:pt>
                <c:pt idx="2">
                  <c:v>79.760000000000005</c:v>
                </c:pt>
                <c:pt idx="3">
                  <c:v>115.69</c:v>
                </c:pt>
                <c:pt idx="4">
                  <c:v>86.49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42-4ECD-AB62-94E34BCEF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7224"/>
        <c:axId val="553646896"/>
      </c:lineChart>
      <c:catAx>
        <c:axId val="553647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896"/>
        <c:crosses val="autoZero"/>
        <c:auto val="0"/>
        <c:lblAlgn val="ctr"/>
        <c:lblOffset val="100"/>
        <c:noMultiLvlLbl val="0"/>
      </c:catAx>
      <c:valAx>
        <c:axId val="553646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72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168-4C17-B856-112D661A7CE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168-4C17-B856-112D661A7CE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130.01</c:v>
                </c:pt>
                <c:pt idx="1">
                  <c:v>107.25</c:v>
                </c:pt>
                <c:pt idx="2">
                  <c:v>114.01</c:v>
                </c:pt>
                <c:pt idx="3">
                  <c:v>193.73</c:v>
                </c:pt>
                <c:pt idx="4">
                  <c:v>84.29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68-4C17-B856-112D661A7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8624"/>
        <c:axId val="449430264"/>
      </c:lineChart>
      <c:catAx>
        <c:axId val="44942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264"/>
        <c:crosses val="autoZero"/>
        <c:auto val="0"/>
        <c:lblAlgn val="ctr"/>
        <c:lblOffset val="100"/>
        <c:noMultiLvlLbl val="0"/>
      </c:catAx>
      <c:valAx>
        <c:axId val="449430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9428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BFE-426E-993C-96BDB2C5CE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-52.29</c:v>
                </c:pt>
                <c:pt idx="1">
                  <c:v>-56.74</c:v>
                </c:pt>
                <c:pt idx="2">
                  <c:v>-66.22</c:v>
                </c:pt>
                <c:pt idx="3">
                  <c:v>-69.61</c:v>
                </c:pt>
                <c:pt idx="4">
                  <c:v>-46.6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FE-426E-993C-96BDB2C5C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459176"/>
        <c:axId val="555448352"/>
      </c:lineChart>
      <c:catAx>
        <c:axId val="55545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48352"/>
        <c:crosses val="autoZero"/>
        <c:auto val="0"/>
        <c:lblAlgn val="ctr"/>
        <c:lblOffset val="100"/>
        <c:noMultiLvlLbl val="0"/>
      </c:catAx>
      <c:valAx>
        <c:axId val="555448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5459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983.81999999999994</c:v>
                </c:pt>
                <c:pt idx="1">
                  <c:v>2396.5312492483918</c:v>
                </c:pt>
                <c:pt idx="2">
                  <c:v>3774.4299717912518</c:v>
                </c:pt>
                <c:pt idx="3">
                  <c:v>5285.8169872252065</c:v>
                </c:pt>
                <c:pt idx="4">
                  <c:v>5348.7187486285402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E9-4E27-926D-C15813418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288176"/>
        <c:axId val="626292440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2316.89</c:v>
                </c:pt>
                <c:pt idx="1">
                  <c:v>3381.9512492483918</c:v>
                </c:pt>
                <c:pt idx="2">
                  <c:v>4645.3299717912523</c:v>
                </c:pt>
                <c:pt idx="3">
                  <c:v>6120.2069872252059</c:v>
                </c:pt>
                <c:pt idx="4">
                  <c:v>6468.3587486285405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E9-4E27-926D-C15813418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6288176"/>
        <c:axId val="626292440"/>
      </c:lineChart>
      <c:catAx>
        <c:axId val="62628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92440"/>
        <c:crosses val="autoZero"/>
        <c:auto val="1"/>
        <c:lblAlgn val="ctr"/>
        <c:lblOffset val="100"/>
        <c:noMultiLvlLbl val="0"/>
      </c:catAx>
      <c:valAx>
        <c:axId val="626292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881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1460.9221075382266</c:v>
                </c:pt>
                <c:pt idx="1">
                  <c:v>1483.2512492483916</c:v>
                </c:pt>
                <c:pt idx="2">
                  <c:v>1430.5187225428604</c:v>
                </c:pt>
                <c:pt idx="3">
                  <c:v>1531.1770154339545</c:v>
                </c:pt>
                <c:pt idx="4">
                  <c:v>106.61176140333373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68-4FD3-BC42-DE17AC12266E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1443.5221075382265</c:v>
                </c:pt>
                <c:pt idx="1">
                  <c:v>1466.0412492483915</c:v>
                </c:pt>
                <c:pt idx="2">
                  <c:v>1414.5487225428603</c:v>
                </c:pt>
                <c:pt idx="3">
                  <c:v>1516.3270154339546</c:v>
                </c:pt>
                <c:pt idx="4">
                  <c:v>92.561761403333733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68-4FD3-BC42-DE17AC122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292112"/>
        <c:axId val="626293096"/>
      </c:barChart>
      <c:catAx>
        <c:axId val="62629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93096"/>
        <c:crosses val="autoZero"/>
        <c:auto val="1"/>
        <c:lblAlgn val="ctr"/>
        <c:lblOffset val="100"/>
        <c:noMultiLvlLbl val="0"/>
      </c:catAx>
      <c:valAx>
        <c:axId val="6262930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921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44-4953-81FB-929D95931AE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F44-4953-81FB-929D95931AE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F44-4953-81FB-929D95931AE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48.11</c:v>
                </c:pt>
                <c:pt idx="1">
                  <c:v>121.93</c:v>
                </c:pt>
                <c:pt idx="2">
                  <c:v>109.38</c:v>
                </c:pt>
                <c:pt idx="3">
                  <c:v>139.66999999999999</c:v>
                </c:pt>
                <c:pt idx="4">
                  <c:v>5016.9399999999996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44-4953-81FB-929D95931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775160"/>
        <c:axId val="558771552"/>
      </c:lineChart>
      <c:catAx>
        <c:axId val="558775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771552"/>
        <c:crosses val="autoZero"/>
        <c:auto val="0"/>
        <c:lblAlgn val="ctr"/>
        <c:lblOffset val="100"/>
        <c:noMultiLvlLbl val="0"/>
      </c:catAx>
      <c:valAx>
        <c:axId val="558771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7751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1960.58</c:v>
                </c:pt>
                <c:pt idx="1">
                  <c:v>3048.5712492483908</c:v>
                </c:pt>
                <c:pt idx="2">
                  <c:v>4344.7199717912517</c:v>
                </c:pt>
                <c:pt idx="3">
                  <c:v>5830.4669872252052</c:v>
                </c:pt>
                <c:pt idx="4">
                  <c:v>6219.4487486285398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41-488F-B7D6-4B6BF0579BE9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441.51</c:v>
                </c:pt>
                <c:pt idx="1">
                  <c:v>246.41</c:v>
                </c:pt>
                <c:pt idx="2">
                  <c:v>158.06</c:v>
                </c:pt>
                <c:pt idx="3">
                  <c:v>252.16000000000003</c:v>
                </c:pt>
                <c:pt idx="4">
                  <c:v>396.96000000000004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41-488F-B7D6-4B6BF0579B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455896"/>
        <c:axId val="555450320"/>
      </c:barChart>
      <c:catAx>
        <c:axId val="55545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0320"/>
        <c:crosses val="autoZero"/>
        <c:auto val="1"/>
        <c:lblAlgn val="ctr"/>
        <c:lblOffset val="100"/>
        <c:noMultiLvlLbl val="0"/>
      </c:catAx>
      <c:valAx>
        <c:axId val="555450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58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8.3800000000000008</c:v>
                </c:pt>
                <c:pt idx="1">
                  <c:v>8.92</c:v>
                </c:pt>
                <c:pt idx="2">
                  <c:v>7.31</c:v>
                </c:pt>
                <c:pt idx="3">
                  <c:v>12.71</c:v>
                </c:pt>
                <c:pt idx="4">
                  <c:v>13.6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BB-44BF-BD7A-E49F58C6E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813224"/>
        <c:axId val="560814208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BB-44BF-BD7A-E49F58C6E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582824"/>
        <c:axId val="448582496"/>
      </c:lineChart>
      <c:catAx>
        <c:axId val="560813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0814208"/>
        <c:crosses val="autoZero"/>
        <c:auto val="1"/>
        <c:lblAlgn val="ctr"/>
        <c:lblOffset val="100"/>
        <c:noMultiLvlLbl val="0"/>
      </c:catAx>
      <c:valAx>
        <c:axId val="560814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3224"/>
        <c:crosses val="autoZero"/>
        <c:crossBetween val="between"/>
      </c:valAx>
      <c:valAx>
        <c:axId val="44858249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8582824"/>
        <c:crosses val="max"/>
        <c:crossBetween val="between"/>
      </c:valAx>
      <c:catAx>
        <c:axId val="448582824"/>
        <c:scaling>
          <c:orientation val="minMax"/>
        </c:scaling>
        <c:delete val="1"/>
        <c:axPos val="b"/>
        <c:majorTickMark val="out"/>
        <c:minorTickMark val="none"/>
        <c:tickLblPos val="nextTo"/>
        <c:crossAx val="44858249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2073.46</c:v>
                </c:pt>
                <c:pt idx="1">
                  <c:v>1780.46</c:v>
                </c:pt>
                <c:pt idx="2">
                  <c:v>1207.0999999999999</c:v>
                </c:pt>
                <c:pt idx="3">
                  <c:v>741.5</c:v>
                </c:pt>
                <c:pt idx="4">
                  <c:v>3844.36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94-4D8F-8FD1-913C2B2F7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618856"/>
        <c:axId val="446617544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243.01</c:v>
                </c:pt>
                <c:pt idx="1">
                  <c:v>260.26</c:v>
                </c:pt>
                <c:pt idx="2">
                  <c:v>292.81</c:v>
                </c:pt>
                <c:pt idx="3">
                  <c:v>198.24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94-4D8F-8FD1-913C2B2F7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621808"/>
        <c:axId val="446616888"/>
      </c:lineChart>
      <c:catAx>
        <c:axId val="446618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6617544"/>
        <c:crosses val="autoZero"/>
        <c:auto val="1"/>
        <c:lblAlgn val="ctr"/>
        <c:lblOffset val="100"/>
        <c:noMultiLvlLbl val="0"/>
      </c:catAx>
      <c:valAx>
        <c:axId val="446617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18856"/>
        <c:crosses val="autoZero"/>
        <c:crossBetween val="between"/>
      </c:valAx>
      <c:valAx>
        <c:axId val="44661688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6621808"/>
        <c:crosses val="max"/>
        <c:crossBetween val="between"/>
      </c:valAx>
      <c:catAx>
        <c:axId val="446621808"/>
        <c:scaling>
          <c:orientation val="minMax"/>
        </c:scaling>
        <c:delete val="1"/>
        <c:axPos val="b"/>
        <c:majorTickMark val="out"/>
        <c:minorTickMark val="none"/>
        <c:tickLblPos val="nextTo"/>
        <c:crossAx val="44661688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3905.03</c:v>
                </c:pt>
                <c:pt idx="1">
                  <c:v>3642.19</c:v>
                </c:pt>
                <c:pt idx="2">
                  <c:v>3052.94</c:v>
                </c:pt>
                <c:pt idx="3">
                  <c:v>2544.39</c:v>
                </c:pt>
                <c:pt idx="4">
                  <c:v>4422.6099999999997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F2-41B6-8799-A58D03EF4665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3914.2621075382267</c:v>
                </c:pt>
                <c:pt idx="1">
                  <c:v>3647.7412492483918</c:v>
                </c:pt>
                <c:pt idx="2">
                  <c:v>3050.0387225428603</c:v>
                </c:pt>
                <c:pt idx="3">
                  <c:v>2563.2470154339544</c:v>
                </c:pt>
                <c:pt idx="4">
                  <c:v>4431.4017614033337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F2-41B6-8799-A58D03EF4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788464"/>
        <c:axId val="450789120"/>
      </c:barChart>
      <c:catAx>
        <c:axId val="45078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9120"/>
        <c:crosses val="autoZero"/>
        <c:auto val="1"/>
        <c:lblAlgn val="ctr"/>
        <c:lblOffset val="100"/>
        <c:noMultiLvlLbl val="0"/>
      </c:catAx>
      <c:valAx>
        <c:axId val="450789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846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2316.89</c:v>
                </c:pt>
                <c:pt idx="1">
                  <c:v>3381.9512492483918</c:v>
                </c:pt>
                <c:pt idx="2">
                  <c:v>4645.3299717912523</c:v>
                </c:pt>
                <c:pt idx="3">
                  <c:v>6120.2069872252059</c:v>
                </c:pt>
                <c:pt idx="4">
                  <c:v>6468.3587486285405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71-4E6D-9E26-D3A47FEC1FAF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891.56</c:v>
                </c:pt>
                <c:pt idx="1">
                  <c:v>739.01</c:v>
                </c:pt>
                <c:pt idx="2">
                  <c:v>712.84</c:v>
                </c:pt>
                <c:pt idx="3">
                  <c:v>584.06999999999994</c:v>
                </c:pt>
                <c:pt idx="4">
                  <c:v>722.68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71-4E6D-9E26-D3A47FEC1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2147296"/>
        <c:axId val="452148280"/>
      </c:barChart>
      <c:catAx>
        <c:axId val="45214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148280"/>
        <c:crosses val="autoZero"/>
        <c:auto val="1"/>
        <c:lblAlgn val="ctr"/>
        <c:lblOffset val="100"/>
        <c:noMultiLvlLbl val="0"/>
      </c:catAx>
      <c:valAx>
        <c:axId val="452148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1472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2316.89</c:v>
                </c:pt>
                <c:pt idx="1">
                  <c:v>3381.9512492483918</c:v>
                </c:pt>
                <c:pt idx="2">
                  <c:v>4645.3299717912523</c:v>
                </c:pt>
                <c:pt idx="3">
                  <c:v>6120.2069872252059</c:v>
                </c:pt>
                <c:pt idx="4">
                  <c:v>6468.3587486285405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20-4C62-BF42-780AC4A3F113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441.51</c:v>
                </c:pt>
                <c:pt idx="1">
                  <c:v>246.41</c:v>
                </c:pt>
                <c:pt idx="2">
                  <c:v>158.06</c:v>
                </c:pt>
                <c:pt idx="3">
                  <c:v>252.16000000000003</c:v>
                </c:pt>
                <c:pt idx="4">
                  <c:v>396.96000000000004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20-4C62-BF42-780AC4A3F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478096"/>
        <c:axId val="453471864"/>
      </c:barChart>
      <c:catAx>
        <c:axId val="45347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1864"/>
        <c:crosses val="autoZero"/>
        <c:auto val="1"/>
        <c:lblAlgn val="ctr"/>
        <c:lblOffset val="100"/>
        <c:noMultiLvlLbl val="0"/>
      </c:catAx>
      <c:valAx>
        <c:axId val="453471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80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2316.89</c:v>
                </c:pt>
                <c:pt idx="1">
                  <c:v>3381.9512492483909</c:v>
                </c:pt>
                <c:pt idx="2">
                  <c:v>4645.3299717912514</c:v>
                </c:pt>
                <c:pt idx="3">
                  <c:v>6120.206987225205</c:v>
                </c:pt>
                <c:pt idx="4">
                  <c:v>6468.3587486285396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60-4211-8EB2-5B0B526B830C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356.31</c:v>
                </c:pt>
                <c:pt idx="1">
                  <c:v>333.38000000000005</c:v>
                </c:pt>
                <c:pt idx="2">
                  <c:v>300.61</c:v>
                </c:pt>
                <c:pt idx="3">
                  <c:v>289.74</c:v>
                </c:pt>
                <c:pt idx="4">
                  <c:v>248.91000000000003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60-4211-8EB2-5B0B526B8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159888"/>
        <c:axId val="549156936"/>
      </c:barChart>
      <c:catAx>
        <c:axId val="54915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156936"/>
        <c:crosses val="autoZero"/>
        <c:auto val="1"/>
        <c:lblAlgn val="ctr"/>
        <c:lblOffset val="100"/>
        <c:noMultiLvlLbl val="0"/>
      </c:catAx>
      <c:valAx>
        <c:axId val="549156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15988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2316.89</c:v>
                </c:pt>
                <c:pt idx="1">
                  <c:v>3381.9512492483909</c:v>
                </c:pt>
                <c:pt idx="2">
                  <c:v>4645.3299717912514</c:v>
                </c:pt>
                <c:pt idx="3">
                  <c:v>6120.206987225205</c:v>
                </c:pt>
                <c:pt idx="4">
                  <c:v>6468.3587486285396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D7-492A-98D2-1C5E6C94C4A9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1960.58</c:v>
                </c:pt>
                <c:pt idx="1">
                  <c:v>3048.5712492483908</c:v>
                </c:pt>
                <c:pt idx="2">
                  <c:v>4344.7199717912517</c:v>
                </c:pt>
                <c:pt idx="3">
                  <c:v>5830.4669872252052</c:v>
                </c:pt>
                <c:pt idx="4">
                  <c:v>6219.4487486285398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D7-492A-98D2-1C5E6C94C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2344552"/>
        <c:axId val="442352752"/>
      </c:barChart>
      <c:catAx>
        <c:axId val="44234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352752"/>
        <c:crosses val="autoZero"/>
        <c:auto val="1"/>
        <c:lblAlgn val="ctr"/>
        <c:lblOffset val="100"/>
        <c:noMultiLvlLbl val="0"/>
      </c:catAx>
      <c:valAx>
        <c:axId val="442352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3445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2453.34</c:v>
                </c:pt>
                <c:pt idx="1">
                  <c:v>2164.4900000000002</c:v>
                </c:pt>
                <c:pt idx="2">
                  <c:v>1619.52</c:v>
                </c:pt>
                <c:pt idx="3">
                  <c:v>1032.07</c:v>
                </c:pt>
                <c:pt idx="4">
                  <c:v>4324.79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62-4F50-92E8-E36B8F9A5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340944"/>
        <c:axId val="62490768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3914.2621075382267</c:v>
                </c:pt>
                <c:pt idx="1">
                  <c:v>3647.7412492483918</c:v>
                </c:pt>
                <c:pt idx="2">
                  <c:v>3050.0387225428603</c:v>
                </c:pt>
                <c:pt idx="3">
                  <c:v>2563.2470154339544</c:v>
                </c:pt>
                <c:pt idx="4">
                  <c:v>4431.4017614033337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62-4F50-92E8-E36B8F9A5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905720"/>
        <c:axId val="624902440"/>
      </c:lineChart>
      <c:catAx>
        <c:axId val="44234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7688"/>
        <c:crosses val="autoZero"/>
        <c:auto val="1"/>
        <c:lblAlgn val="ctr"/>
        <c:lblOffset val="100"/>
        <c:noMultiLvlLbl val="0"/>
      </c:catAx>
      <c:valAx>
        <c:axId val="624907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340944"/>
        <c:crosses val="autoZero"/>
        <c:crossBetween val="between"/>
      </c:valAx>
      <c:valAx>
        <c:axId val="62490244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4905720"/>
        <c:crosses val="max"/>
        <c:crossBetween val="between"/>
      </c:valAx>
      <c:catAx>
        <c:axId val="624905720"/>
        <c:scaling>
          <c:orientation val="minMax"/>
        </c:scaling>
        <c:delete val="1"/>
        <c:axPos val="b"/>
        <c:majorTickMark val="out"/>
        <c:minorTickMark val="none"/>
        <c:tickLblPos val="nextTo"/>
        <c:crossAx val="624902440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1388.0721075382264</c:v>
                </c:pt>
                <c:pt idx="1">
                  <c:v>1412.7112492483914</c:v>
                </c:pt>
                <c:pt idx="2">
                  <c:v>1377.89872254286</c:v>
                </c:pt>
                <c:pt idx="3">
                  <c:v>1511.3870154339545</c:v>
                </c:pt>
                <c:pt idx="4">
                  <c:v>62.901761403333737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7B-4974-93D7-3FEBE16FA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899488"/>
        <c:axId val="624902768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1390.4721075382265</c:v>
                </c:pt>
                <c:pt idx="1">
                  <c:v>1415.1112492483915</c:v>
                </c:pt>
                <c:pt idx="2">
                  <c:v>1380.2987225428601</c:v>
                </c:pt>
                <c:pt idx="3">
                  <c:v>1513.7870154339546</c:v>
                </c:pt>
                <c:pt idx="4">
                  <c:v>62.901761403333737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7B-4974-93D7-3FEBE16FA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907360"/>
        <c:axId val="624906704"/>
      </c:lineChart>
      <c:catAx>
        <c:axId val="62489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2768"/>
        <c:crosses val="autoZero"/>
        <c:auto val="1"/>
        <c:lblAlgn val="ctr"/>
        <c:lblOffset val="100"/>
        <c:noMultiLvlLbl val="0"/>
      </c:catAx>
      <c:valAx>
        <c:axId val="624902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899488"/>
        <c:crosses val="autoZero"/>
        <c:crossBetween val="between"/>
      </c:valAx>
      <c:valAx>
        <c:axId val="6249067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4907360"/>
        <c:crosses val="max"/>
        <c:crossBetween val="between"/>
      </c:valAx>
      <c:catAx>
        <c:axId val="624907360"/>
        <c:scaling>
          <c:orientation val="minMax"/>
        </c:scaling>
        <c:delete val="1"/>
        <c:axPos val="b"/>
        <c:majorTickMark val="out"/>
        <c:minorTickMark val="none"/>
        <c:tickLblPos val="nextTo"/>
        <c:crossAx val="62490670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B32-48FE-85A4-99891D330E40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B32-48FE-85A4-99891D330E40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B32-48FE-85A4-99891D330E4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B32-48FE-85A4-99891D330E4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B32-48FE-85A4-99891D330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8208"/>
        <c:axId val="553649192"/>
      </c:lineChart>
      <c:catAx>
        <c:axId val="55364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9192"/>
        <c:crosses val="autoZero"/>
        <c:auto val="0"/>
        <c:lblAlgn val="ctr"/>
        <c:lblOffset val="100"/>
        <c:noMultiLvlLbl val="0"/>
      </c:catAx>
      <c:valAx>
        <c:axId val="553649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8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06D-4058-BA62-F6B4D2B7A678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06D-4058-BA62-F6B4D2B7A67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06D-4058-BA62-F6B4D2B7A67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06D-4058-BA62-F6B4D2B7A6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0.88</c:v>
                </c:pt>
                <c:pt idx="1">
                  <c:v>0.88</c:v>
                </c:pt>
                <c:pt idx="2">
                  <c:v>0.92999999999999994</c:v>
                </c:pt>
                <c:pt idx="3">
                  <c:v>0.94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06D-4058-BA62-F6B4D2B7A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568"/>
        <c:axId val="553814256"/>
      </c:lineChart>
      <c:catAx>
        <c:axId val="55381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4256"/>
        <c:crosses val="autoZero"/>
        <c:auto val="0"/>
        <c:lblAlgn val="ctr"/>
        <c:lblOffset val="100"/>
        <c:noMultiLvlLbl val="0"/>
      </c:catAx>
      <c:valAx>
        <c:axId val="553814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815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B6B-4036-8A52-F3F40B0B27A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1831.57</c:v>
                </c:pt>
                <c:pt idx="1">
                  <c:v>1861.73</c:v>
                </c:pt>
                <c:pt idx="2">
                  <c:v>1845.84</c:v>
                </c:pt>
                <c:pt idx="3">
                  <c:v>1802.89</c:v>
                </c:pt>
                <c:pt idx="4">
                  <c:v>578.25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6B-4036-8A52-F3F40B0B2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773848"/>
        <c:axId val="558773520"/>
      </c:lineChart>
      <c:catAx>
        <c:axId val="558773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773520"/>
        <c:crosses val="autoZero"/>
        <c:auto val="0"/>
        <c:lblAlgn val="ctr"/>
        <c:lblOffset val="100"/>
        <c:noMultiLvlLbl val="0"/>
      </c:catAx>
      <c:valAx>
        <c:axId val="558773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8773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4CB-4AE1-B8D7-236EAA82FB20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4CB-4AE1-B8D7-236EAA82FB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1451.69</c:v>
                </c:pt>
                <c:pt idx="1">
                  <c:v>1477.7</c:v>
                </c:pt>
                <c:pt idx="2">
                  <c:v>1433.42</c:v>
                </c:pt>
                <c:pt idx="3">
                  <c:v>1512.32</c:v>
                </c:pt>
                <c:pt idx="4">
                  <c:v>97.82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CB-4AE1-B8D7-236EAA82F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176512"/>
        <c:axId val="621172904"/>
      </c:lineChart>
      <c:catAx>
        <c:axId val="62117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172904"/>
        <c:crosses val="autoZero"/>
        <c:auto val="0"/>
        <c:lblAlgn val="ctr"/>
        <c:lblOffset val="100"/>
        <c:noMultiLvlLbl val="0"/>
      </c:catAx>
      <c:valAx>
        <c:axId val="621172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1176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0.6</c:v>
                </c:pt>
                <c:pt idx="1">
                  <c:v>0.42</c:v>
                </c:pt>
                <c:pt idx="2">
                  <c:v>0.3</c:v>
                </c:pt>
                <c:pt idx="3">
                  <c:v>0.25</c:v>
                </c:pt>
                <c:pt idx="4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24-42E7-AA95-24EAF1D50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4200"/>
        <c:axId val="449430920"/>
      </c:lineChart>
      <c:catAx>
        <c:axId val="449434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920"/>
        <c:crosses val="autoZero"/>
        <c:auto val="0"/>
        <c:lblAlgn val="ctr"/>
        <c:lblOffset val="100"/>
        <c:noMultiLvlLbl val="0"/>
      </c:catAx>
      <c:valAx>
        <c:axId val="449430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342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E4F-4E9F-9870-3511867DB2E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E4F-4E9F-9870-3511867DB2E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E4F-4E9F-9870-3511867DB2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0.81</c:v>
                </c:pt>
                <c:pt idx="1">
                  <c:v>0.99</c:v>
                </c:pt>
                <c:pt idx="2">
                  <c:v>0.99</c:v>
                </c:pt>
                <c:pt idx="3">
                  <c:v>1.3</c:v>
                </c:pt>
                <c:pt idx="4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E4F-4E9F-9870-3511867DB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3744"/>
        <c:axId val="364044400"/>
      </c:lineChart>
      <c:catAx>
        <c:axId val="36404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4400"/>
        <c:crosses val="autoZero"/>
        <c:auto val="0"/>
        <c:lblAlgn val="ctr"/>
        <c:lblOffset val="100"/>
        <c:noMultiLvlLbl val="0"/>
      </c:catAx>
      <c:valAx>
        <c:axId val="364044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3640437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7014E8-0D39-D85E-EAD8-646B2069B9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153463-347C-5BB5-9A9F-4815F6F591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D9F8C8-5B0D-9A1D-2EC6-0BB09310A8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F6C524-758F-77C9-3BF4-B6AA322ECD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D6C2FF-73EC-EBCE-C25C-BB95753E8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478C98-5A86-BC65-D19D-296DEBEDAA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098A65-1482-C039-9155-C3175D2496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1E36C2-A44C-CCC5-0C88-FAB4D9477D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8B4719-4BC9-FC5C-D776-3DF763216F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3BDA87-4134-D10C-098F-1280E4CA93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09F9E1-559D-F4BE-FAFE-DE2290FF11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F6736F-0219-4F96-3302-B1C8BFBD60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01AB73-D7C1-2F6E-8155-F004B9497A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7871F0-B66C-EFDB-D4C4-ECDF447A95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4A39CD-911A-418E-6B95-09A38D4373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BDAEE9-CA47-78BF-D90C-D02F632B9D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DE8183-221E-B0F3-E204-A365122FF3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1393A5-2758-11D1-D1C3-DC07D9EE2D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FB8605-CBE4-BACF-0647-BC401180A2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87B64E-5747-92B9-6171-0656422257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01503E66-BF1C-6C38-0760-59110EAF34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276AD7D6-D898-3FE0-A960-22F3C55E5B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9EBA96-6E45-223A-B191-05CC16C1D2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0E7A8D29-1018-4E2C-AEC3-6284B2ED6F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AB43BA71-37CB-02D0-06A3-AA4A002752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A2A4ADEF-F84C-333D-FC51-8E1E9CCF82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15D34F6C-A19F-F15B-D778-3E86B43BF0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6EE5BB59-4B57-645F-2B66-31D21B1A63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190A10F3-D8F2-DBCE-31CD-772194895D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14F8F82F-C302-E6BE-8D4D-606C8FED16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9FD5FD9A-0CE1-F2FA-B4A9-4198CC4116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0B565001-EC14-8AF5-0816-71D766C4A8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24E880AD-2993-6050-BF10-3C2E15CF93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B1D0EB-7AFA-1939-840B-FF8ADB387A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DBBA84-A1D1-A6A3-A48A-54CE6A4BF4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33DDF2-8F9C-8424-B623-FA7CEE984B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0EB780-B796-49AA-9ECD-16FA27C199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FEA672-9BA6-8BBB-4ED7-ABE4CCEBE1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54855D-BC8C-1430-2394-3CDB046629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8046A-55AF-4FCA-A2C6-8C07B52C2EB3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>
        <v>16.010000000000002</v>
      </c>
      <c r="D6">
        <v>16.010000000000002</v>
      </c>
      <c r="E6">
        <v>16.010000000000002</v>
      </c>
      <c r="F6">
        <v>16.010000000000002</v>
      </c>
      <c r="G6">
        <v>16.010000000000002</v>
      </c>
      <c r="H6" t="s">
        <v>1</v>
      </c>
    </row>
    <row r="7" spans="1:15" x14ac:dyDescent="0.25">
      <c r="B7" t="s">
        <v>6</v>
      </c>
      <c r="C7">
        <v>16.010000000000002</v>
      </c>
      <c r="D7">
        <v>16.010000000000002</v>
      </c>
      <c r="E7">
        <v>16.010000000000002</v>
      </c>
      <c r="F7">
        <v>16.010000000000002</v>
      </c>
      <c r="G7">
        <v>16.010000000000002</v>
      </c>
      <c r="H7" t="s">
        <v>1</v>
      </c>
    </row>
    <row r="8" spans="1:15" x14ac:dyDescent="0.25">
      <c r="A8" t="s">
        <v>90</v>
      </c>
      <c r="B8" t="s">
        <v>7</v>
      </c>
      <c r="C8" s="2">
        <v>967.81</v>
      </c>
      <c r="D8" s="2">
        <v>1057.51</v>
      </c>
      <c r="E8" s="2">
        <v>1147.04</v>
      </c>
      <c r="F8" s="2">
        <v>1197.73</v>
      </c>
      <c r="G8">
        <v>1297.3900000000001</v>
      </c>
      <c r="H8" t="s">
        <v>1</v>
      </c>
    </row>
    <row r="9" spans="1:15" x14ac:dyDescent="0.25">
      <c r="B9" t="s">
        <v>8</v>
      </c>
      <c r="C9" s="2">
        <v>967.81</v>
      </c>
      <c r="D9" s="2">
        <v>1057.51</v>
      </c>
      <c r="E9" s="2">
        <v>1147.04</v>
      </c>
      <c r="F9" s="2">
        <v>1197.73</v>
      </c>
      <c r="G9">
        <v>1297.3900000000001</v>
      </c>
      <c r="H9" t="s">
        <v>1</v>
      </c>
    </row>
    <row r="10" spans="1:15" x14ac:dyDescent="0.25">
      <c r="B10" t="s">
        <v>9</v>
      </c>
      <c r="C10" s="2">
        <v>983.81</v>
      </c>
      <c r="D10" s="2">
        <v>1073.51</v>
      </c>
      <c r="E10" s="2">
        <v>1163.05</v>
      </c>
      <c r="F10" s="2">
        <v>1213.74</v>
      </c>
      <c r="G10">
        <v>1313.4</v>
      </c>
      <c r="H10" t="s">
        <v>1</v>
      </c>
    </row>
    <row r="11" spans="1:15" x14ac:dyDescent="0.25">
      <c r="A11" t="s">
        <v>10</v>
      </c>
      <c r="B11" t="s">
        <v>10</v>
      </c>
      <c r="C11">
        <v>0</v>
      </c>
      <c r="D11">
        <v>0</v>
      </c>
      <c r="E11">
        <v>0</v>
      </c>
      <c r="F11">
        <v>-1.84</v>
      </c>
      <c r="G11">
        <v>0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>
        <v>22.61</v>
      </c>
      <c r="D13">
        <v>51.65</v>
      </c>
      <c r="E13">
        <v>50.84</v>
      </c>
      <c r="F13">
        <v>51.24</v>
      </c>
      <c r="G13">
        <v>49.89</v>
      </c>
      <c r="H13" t="s">
        <v>1</v>
      </c>
    </row>
    <row r="14" spans="1:15" x14ac:dyDescent="0.25">
      <c r="A14" t="s">
        <v>91</v>
      </c>
      <c r="B14" t="s">
        <v>13</v>
      </c>
      <c r="C14">
        <v>47.19</v>
      </c>
      <c r="D14">
        <v>48.69</v>
      </c>
      <c r="E14">
        <v>49.5</v>
      </c>
      <c r="F14">
        <v>35.01</v>
      </c>
      <c r="G14">
        <v>31.49</v>
      </c>
      <c r="H14" t="s">
        <v>1</v>
      </c>
    </row>
    <row r="15" spans="1:15" x14ac:dyDescent="0.25">
      <c r="A15" t="s">
        <v>92</v>
      </c>
      <c r="B15" t="s">
        <v>14</v>
      </c>
      <c r="C15">
        <v>7.81</v>
      </c>
      <c r="D15">
        <v>5.61</v>
      </c>
      <c r="E15">
        <v>7.58</v>
      </c>
      <c r="F15">
        <v>5.09</v>
      </c>
      <c r="G15">
        <v>6.75</v>
      </c>
      <c r="H15" t="s">
        <v>1</v>
      </c>
    </row>
    <row r="16" spans="1:15" x14ac:dyDescent="0.25">
      <c r="A16" t="s">
        <v>93</v>
      </c>
      <c r="B16" t="s">
        <v>15</v>
      </c>
      <c r="C16">
        <v>8.3800000000000008</v>
      </c>
      <c r="D16">
        <v>8.92</v>
      </c>
      <c r="E16">
        <v>7.31</v>
      </c>
      <c r="F16">
        <v>12.71</v>
      </c>
      <c r="G16">
        <v>13.6</v>
      </c>
      <c r="H16" t="s">
        <v>1</v>
      </c>
    </row>
    <row r="17" spans="1:8" x14ac:dyDescent="0.25">
      <c r="B17" t="s">
        <v>16</v>
      </c>
      <c r="C17">
        <v>85.99</v>
      </c>
      <c r="D17">
        <v>114.86</v>
      </c>
      <c r="E17">
        <v>115.24</v>
      </c>
      <c r="F17">
        <v>104.04</v>
      </c>
      <c r="G17">
        <v>101.75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>
        <v>821.76</v>
      </c>
      <c r="D19">
        <v>638.66999999999996</v>
      </c>
      <c r="E19">
        <v>612.5</v>
      </c>
      <c r="F19">
        <v>497.82</v>
      </c>
      <c r="G19">
        <v>641.29999999999995</v>
      </c>
      <c r="H19" t="s">
        <v>1</v>
      </c>
    </row>
    <row r="20" spans="1:8" x14ac:dyDescent="0.25">
      <c r="A20" t="s">
        <v>92</v>
      </c>
      <c r="B20" t="s">
        <v>19</v>
      </c>
      <c r="C20">
        <v>229.01</v>
      </c>
      <c r="D20">
        <v>201.28</v>
      </c>
      <c r="E20">
        <v>130.22</v>
      </c>
      <c r="F20">
        <v>219.08</v>
      </c>
      <c r="G20">
        <v>353.61</v>
      </c>
      <c r="H20" t="s">
        <v>1</v>
      </c>
    </row>
    <row r="21" spans="1:8" x14ac:dyDescent="0.25">
      <c r="A21" t="s">
        <v>92</v>
      </c>
      <c r="B21" t="s">
        <v>20</v>
      </c>
      <c r="C21">
        <v>196.31</v>
      </c>
      <c r="D21">
        <v>30.6</v>
      </c>
      <c r="E21">
        <v>12.95</v>
      </c>
      <c r="F21">
        <v>15.28</v>
      </c>
      <c r="G21">
        <v>23</v>
      </c>
      <c r="H21" t="s">
        <v>1</v>
      </c>
    </row>
    <row r="22" spans="1:8" x14ac:dyDescent="0.25">
      <c r="A22" t="s">
        <v>93</v>
      </c>
      <c r="B22" t="s">
        <v>21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22</v>
      </c>
      <c r="C23" s="2">
        <v>1247.08</v>
      </c>
      <c r="D23">
        <v>870.55</v>
      </c>
      <c r="E23">
        <v>755.67</v>
      </c>
      <c r="F23">
        <v>732.17</v>
      </c>
      <c r="G23" s="2">
        <v>1017.9</v>
      </c>
      <c r="H23" t="s">
        <v>1</v>
      </c>
    </row>
    <row r="24" spans="1:8" x14ac:dyDescent="0.25">
      <c r="B24" t="s">
        <v>23</v>
      </c>
      <c r="C24" s="2">
        <v>2316.88</v>
      </c>
      <c r="D24" s="2">
        <v>2058.92</v>
      </c>
      <c r="E24" s="2">
        <v>2033.96</v>
      </c>
      <c r="F24" s="2">
        <v>2048.11</v>
      </c>
      <c r="G24" s="2">
        <v>2433.0500000000002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>
        <v>291.19</v>
      </c>
      <c r="D27">
        <v>278.81</v>
      </c>
      <c r="E27">
        <v>267.35000000000002</v>
      </c>
      <c r="F27">
        <v>253.03</v>
      </c>
      <c r="G27">
        <v>227.88</v>
      </c>
      <c r="H27" t="s">
        <v>1</v>
      </c>
    </row>
    <row r="28" spans="1:8" x14ac:dyDescent="0.25">
      <c r="A28" t="s">
        <v>29</v>
      </c>
      <c r="B28" t="s">
        <v>27</v>
      </c>
      <c r="C28">
        <v>0.22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0</v>
      </c>
      <c r="D29">
        <v>0</v>
      </c>
      <c r="E29">
        <v>0</v>
      </c>
      <c r="F29">
        <v>0</v>
      </c>
      <c r="G29">
        <v>0</v>
      </c>
      <c r="H29" t="s">
        <v>1</v>
      </c>
    </row>
    <row r="30" spans="1:8" x14ac:dyDescent="0.25">
      <c r="B30" t="s">
        <v>29</v>
      </c>
      <c r="C30">
        <v>291.41000000000003</v>
      </c>
      <c r="D30">
        <v>278.81</v>
      </c>
      <c r="E30">
        <v>267.35000000000002</v>
      </c>
      <c r="F30">
        <v>253.03</v>
      </c>
      <c r="G30">
        <v>227.88</v>
      </c>
      <c r="H30" t="s">
        <v>1</v>
      </c>
    </row>
    <row r="31" spans="1:8" x14ac:dyDescent="0.25">
      <c r="A31" t="s">
        <v>94</v>
      </c>
      <c r="B31" t="s">
        <v>30</v>
      </c>
      <c r="C31">
        <v>40.159999999999997</v>
      </c>
      <c r="D31">
        <v>45.74</v>
      </c>
      <c r="E31">
        <v>48.54</v>
      </c>
      <c r="F31">
        <v>50.74</v>
      </c>
      <c r="G31">
        <v>42.9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>
        <v>0</v>
      </c>
      <c r="E32">
        <v>0</v>
      </c>
      <c r="F32">
        <v>0</v>
      </c>
      <c r="G32">
        <v>2.91</v>
      </c>
      <c r="H32" t="s">
        <v>1</v>
      </c>
    </row>
    <row r="33" spans="1:8" x14ac:dyDescent="0.25">
      <c r="A33" t="s">
        <v>95</v>
      </c>
      <c r="B33" t="s">
        <v>32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A34" t="s">
        <v>95</v>
      </c>
      <c r="B34" t="s">
        <v>33</v>
      </c>
      <c r="C34">
        <v>7.91</v>
      </c>
      <c r="D34">
        <v>9.99</v>
      </c>
      <c r="E34">
        <v>13.25</v>
      </c>
      <c r="F34">
        <v>3.05</v>
      </c>
      <c r="G34">
        <v>3.22</v>
      </c>
      <c r="H34" t="s">
        <v>1</v>
      </c>
    </row>
    <row r="35" spans="1:8" x14ac:dyDescent="0.25">
      <c r="B35" t="s">
        <v>34</v>
      </c>
      <c r="C35">
        <v>339.48</v>
      </c>
      <c r="D35">
        <v>334.55</v>
      </c>
      <c r="E35">
        <v>329.13</v>
      </c>
      <c r="F35">
        <v>306.81</v>
      </c>
      <c r="G35">
        <v>276.91000000000003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24.71</v>
      </c>
      <c r="D37">
        <v>26.04</v>
      </c>
      <c r="E37">
        <v>17.899999999999999</v>
      </c>
      <c r="F37">
        <v>34</v>
      </c>
      <c r="G37">
        <v>40.21</v>
      </c>
      <c r="H37" t="s">
        <v>1</v>
      </c>
    </row>
    <row r="38" spans="1:8" x14ac:dyDescent="0.25">
      <c r="A38" t="s">
        <v>96</v>
      </c>
      <c r="B38" t="s">
        <v>37</v>
      </c>
      <c r="C38">
        <v>559.4</v>
      </c>
      <c r="D38">
        <v>566.15</v>
      </c>
      <c r="E38">
        <v>553.86</v>
      </c>
      <c r="F38">
        <v>485.27</v>
      </c>
      <c r="G38">
        <v>564.65</v>
      </c>
      <c r="H38" t="s">
        <v>1</v>
      </c>
    </row>
    <row r="39" spans="1:8" x14ac:dyDescent="0.25">
      <c r="A39" t="s">
        <v>96</v>
      </c>
      <c r="B39" t="s">
        <v>38</v>
      </c>
      <c r="C39" s="2">
        <v>924.85</v>
      </c>
      <c r="D39">
        <v>765.39</v>
      </c>
      <c r="E39">
        <v>667.11</v>
      </c>
      <c r="F39">
        <v>806.45</v>
      </c>
      <c r="G39">
        <v>1048.01</v>
      </c>
      <c r="H39" t="s">
        <v>1</v>
      </c>
    </row>
    <row r="40" spans="1:8" x14ac:dyDescent="0.25">
      <c r="A40" t="s">
        <v>96</v>
      </c>
      <c r="B40" t="s">
        <v>39</v>
      </c>
      <c r="C40">
        <v>404.85</v>
      </c>
      <c r="D40">
        <v>312.24</v>
      </c>
      <c r="E40">
        <v>341.1</v>
      </c>
      <c r="F40">
        <v>333.88</v>
      </c>
      <c r="G40">
        <v>305.39999999999998</v>
      </c>
      <c r="H40" t="s">
        <v>1</v>
      </c>
    </row>
    <row r="41" spans="1:8" x14ac:dyDescent="0.25">
      <c r="A41" t="s">
        <v>95</v>
      </c>
      <c r="B41" t="s">
        <v>40</v>
      </c>
      <c r="C41">
        <v>61.06</v>
      </c>
      <c r="D41">
        <v>54.47</v>
      </c>
      <c r="E41">
        <v>122.19</v>
      </c>
      <c r="F41">
        <v>81.709999999999994</v>
      </c>
      <c r="G41">
        <v>196.74</v>
      </c>
      <c r="H41" t="s">
        <v>1</v>
      </c>
    </row>
    <row r="42" spans="1:8" x14ac:dyDescent="0.25">
      <c r="A42" t="s">
        <v>95</v>
      </c>
      <c r="B42" t="s">
        <v>41</v>
      </c>
      <c r="C42">
        <v>2.5099999999999998</v>
      </c>
      <c r="D42">
        <v>0.09</v>
      </c>
      <c r="E42">
        <v>2.65</v>
      </c>
      <c r="F42">
        <v>0</v>
      </c>
      <c r="G42">
        <v>1.1299999999999999</v>
      </c>
      <c r="H42" t="s">
        <v>1</v>
      </c>
    </row>
    <row r="43" spans="1:8" x14ac:dyDescent="0.25">
      <c r="B43" t="s">
        <v>42</v>
      </c>
      <c r="C43" s="2">
        <v>1977.4</v>
      </c>
      <c r="D43" s="2">
        <v>1724.37</v>
      </c>
      <c r="E43" s="2">
        <v>1704.83</v>
      </c>
      <c r="F43" s="2">
        <v>1741.3</v>
      </c>
      <c r="G43" s="2">
        <v>2156.14</v>
      </c>
      <c r="H43" t="s">
        <v>1</v>
      </c>
    </row>
    <row r="44" spans="1:8" x14ac:dyDescent="0.25">
      <c r="B44" t="s">
        <v>43</v>
      </c>
      <c r="C44" s="2">
        <v>2316.88</v>
      </c>
      <c r="D44" s="2">
        <v>2058.92</v>
      </c>
      <c r="E44" s="2">
        <v>2033.96</v>
      </c>
      <c r="F44" s="2">
        <v>2048.11</v>
      </c>
      <c r="G44" s="2">
        <v>2433.0500000000002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0</v>
      </c>
      <c r="D47">
        <v>0</v>
      </c>
      <c r="E47">
        <v>0</v>
      </c>
      <c r="F47">
        <v>0</v>
      </c>
      <c r="G47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5.34</v>
      </c>
      <c r="D49">
        <v>5.34</v>
      </c>
      <c r="E49">
        <v>5.34</v>
      </c>
      <c r="F49">
        <v>5.34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0</v>
      </c>
      <c r="D51">
        <v>0</v>
      </c>
      <c r="E51">
        <v>0</v>
      </c>
      <c r="F51">
        <v>0</v>
      </c>
      <c r="G51">
        <v>0</v>
      </c>
      <c r="H51" t="s">
        <v>1</v>
      </c>
    </row>
    <row r="52" spans="2:8" x14ac:dyDescent="0.25">
      <c r="B52" t="s">
        <v>51</v>
      </c>
      <c r="C52">
        <v>40.159999999999997</v>
      </c>
      <c r="D52">
        <v>45.74</v>
      </c>
      <c r="E52">
        <v>48.54</v>
      </c>
      <c r="F52">
        <v>50.74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24.71</v>
      </c>
      <c r="D55">
        <v>26.04</v>
      </c>
      <c r="E55">
        <v>17.899999999999999</v>
      </c>
      <c r="F55">
        <v>34</v>
      </c>
      <c r="G55">
        <v>0</v>
      </c>
      <c r="H55" t="s">
        <v>1</v>
      </c>
    </row>
  </sheetData>
  <hyperlinks>
    <hyperlink ref="F1" location="Index_Data!A1" tooltip="Hi click here To return Index page" display="Index_Data!A1" xr:uid="{20E8A8F9-05A8-4FDB-A18F-B29F253A597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B8CAD-C91A-48B6-9AA8-DCE19100894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0" bestFit="1" customWidth="1"/>
    <col min="4" max="6" width="11.5703125" bestFit="1" customWidth="1"/>
    <col min="7" max="7" width="12.28515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149</v>
      </c>
      <c r="C5" s="44"/>
      <c r="D5" s="44"/>
      <c r="E5" s="44"/>
      <c r="F5" s="44"/>
      <c r="G5" s="44"/>
    </row>
    <row r="6" spans="2:15" ht="18.75" x14ac:dyDescent="0.25">
      <c r="B6" s="12" t="str">
        <f>Balance_Sheet!B13</f>
        <v>Net Worth</v>
      </c>
      <c r="C6" s="13">
        <f>Balance_Sheet!C13</f>
        <v>983.81999999999994</v>
      </c>
      <c r="D6" s="13">
        <f>Balance_Sheet!D13</f>
        <v>2396.5312492483918</v>
      </c>
      <c r="E6" s="13">
        <f>Balance_Sheet!E13</f>
        <v>3774.4299717912518</v>
      </c>
      <c r="F6" s="13">
        <f>Balance_Sheet!F13</f>
        <v>5285.8169872252065</v>
      </c>
      <c r="G6" s="13">
        <f>Balance_Sheet!G13</f>
        <v>5348.7187486285402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20.44811922850333</v>
      </c>
      <c r="D7" s="13">
        <f>Income_Statement!D61</f>
        <v>19.654322906227659</v>
      </c>
      <c r="E7" s="13">
        <f>Income_Statement!E61</f>
        <v>34.507468063571501</v>
      </c>
      <c r="F7" s="13">
        <f>Income_Statement!F61</f>
        <v>37.844675385848866</v>
      </c>
      <c r="G7" s="13">
        <f>Income_Statement!G61</f>
        <v>1.0661315492090464</v>
      </c>
    </row>
    <row r="8" spans="2:15" ht="18.75" x14ac:dyDescent="0.25">
      <c r="B8" s="14" t="s">
        <v>150</v>
      </c>
      <c r="C8" s="14">
        <f>ROUND(C6/C7, 2)</f>
        <v>48.11</v>
      </c>
      <c r="D8" s="14">
        <f t="shared" ref="D8:G8" si="0">ROUND(D6/D7, 2)</f>
        <v>121.93</v>
      </c>
      <c r="E8" s="14">
        <f t="shared" si="0"/>
        <v>109.38</v>
      </c>
      <c r="F8" s="14">
        <f t="shared" si="0"/>
        <v>139.66999999999999</v>
      </c>
      <c r="G8" s="14">
        <f t="shared" si="0"/>
        <v>5016.9399999999996</v>
      </c>
    </row>
  </sheetData>
  <mergeCells count="1">
    <mergeCell ref="B5:G5"/>
  </mergeCells>
  <hyperlinks>
    <hyperlink ref="F1" location="Index_Data!A1" tooltip="Hi click here To return Index page" display="Index_Data!A1" xr:uid="{A4A15AF9-EF7A-4BB9-AF46-6B829F888267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5F2CF-1EF3-48D6-8C39-DD381CF1CC33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8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151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2.4</v>
      </c>
      <c r="D6" s="13">
        <f>Income_Statement!D51</f>
        <v>2.4</v>
      </c>
      <c r="E6" s="13">
        <f>Income_Statement!E51</f>
        <v>2.4</v>
      </c>
      <c r="F6" s="13">
        <f>Income_Statement!F51</f>
        <v>2.4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20.44811922850333</v>
      </c>
      <c r="D7" s="13">
        <f>Income_Statement!D61</f>
        <v>19.654322906227659</v>
      </c>
      <c r="E7" s="13">
        <f>Income_Statement!E61</f>
        <v>34.507468063571501</v>
      </c>
      <c r="F7" s="13">
        <f>Income_Statement!F61</f>
        <v>37.844675385848866</v>
      </c>
      <c r="G7" s="13">
        <f>Income_Statement!G61</f>
        <v>1.0661315492090464</v>
      </c>
    </row>
    <row r="8" spans="2:15" ht="18.75" x14ac:dyDescent="0.25">
      <c r="B8" s="12" t="s">
        <v>148</v>
      </c>
      <c r="C8" s="13">
        <f>ROUND(C6/C7, 2)</f>
        <v>0.12</v>
      </c>
      <c r="D8" s="13">
        <f t="shared" ref="D8:G8" si="0">ROUND(D6/D7, 2)</f>
        <v>0.12</v>
      </c>
      <c r="E8" s="13">
        <f t="shared" si="0"/>
        <v>7.0000000000000007E-2</v>
      </c>
      <c r="F8" s="13">
        <f t="shared" si="0"/>
        <v>0.06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1390.4721075382265</v>
      </c>
      <c r="D9" s="13">
        <f>Income_Statement!D49</f>
        <v>1415.1112492483915</v>
      </c>
      <c r="E9" s="13">
        <f>Income_Statement!E49</f>
        <v>1380.2987225428601</v>
      </c>
      <c r="F9" s="13">
        <f>Income_Statement!F49</f>
        <v>1513.7870154339546</v>
      </c>
      <c r="G9" s="13">
        <f>Income_Statement!G49</f>
        <v>62.901761403333737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20.44811922850333</v>
      </c>
      <c r="D10" s="13">
        <f>Income_Statement!D61</f>
        <v>19.654322906227659</v>
      </c>
      <c r="E10" s="13">
        <f>Income_Statement!E61</f>
        <v>34.507468063571501</v>
      </c>
      <c r="F10" s="13">
        <f>Income_Statement!F61</f>
        <v>37.844675385848866</v>
      </c>
      <c r="G10" s="13">
        <f>Income_Statement!G61</f>
        <v>1.0661315492090464</v>
      </c>
    </row>
    <row r="11" spans="2:15" ht="18.75" x14ac:dyDescent="0.25">
      <c r="B11" s="12" t="s">
        <v>146</v>
      </c>
      <c r="C11" s="13">
        <f>C9/C10</f>
        <v>68</v>
      </c>
      <c r="D11" s="13">
        <f t="shared" ref="D11:G11" si="1">D9/D10</f>
        <v>72</v>
      </c>
      <c r="E11" s="13">
        <f t="shared" si="1"/>
        <v>40</v>
      </c>
      <c r="F11" s="13">
        <f t="shared" si="1"/>
        <v>40</v>
      </c>
      <c r="G11" s="13">
        <f t="shared" si="1"/>
        <v>59</v>
      </c>
    </row>
    <row r="12" spans="2:15" ht="18.75" x14ac:dyDescent="0.25">
      <c r="B12" s="14" t="s">
        <v>152</v>
      </c>
      <c r="C12" s="14">
        <f>ROUND(C8/C11, 2)</f>
        <v>0</v>
      </c>
      <c r="D12" s="14">
        <f t="shared" ref="D12:G12" si="2">ROUND(D8/D11, 2)</f>
        <v>0</v>
      </c>
      <c r="E12" s="14">
        <f t="shared" si="2"/>
        <v>0</v>
      </c>
      <c r="F12" s="14">
        <f t="shared" si="2"/>
        <v>0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D1E04C49-7D08-454A-8931-2FF9D5B600F5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A8996-B5CC-4FA5-A1C0-3E48BAD1AD1A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6" width="10.85546875" bestFit="1" customWidth="1"/>
    <col min="7" max="7" width="12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153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2.4</v>
      </c>
      <c r="D6" s="13">
        <f>Income_Statement!D51</f>
        <v>2.4</v>
      </c>
      <c r="E6" s="13">
        <f>Income_Statement!E51</f>
        <v>2.4</v>
      </c>
      <c r="F6" s="13">
        <f>Income_Statement!F51</f>
        <v>2.4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20.44811922850333</v>
      </c>
      <c r="D7" s="13">
        <f>Income_Statement!D61</f>
        <v>19.654322906227659</v>
      </c>
      <c r="E7" s="13">
        <f>Income_Statement!E61</f>
        <v>34.507468063571501</v>
      </c>
      <c r="F7" s="13">
        <f>Income_Statement!F61</f>
        <v>37.844675385848866</v>
      </c>
      <c r="G7" s="13">
        <f>Income_Statement!G61</f>
        <v>1.0661315492090464</v>
      </c>
    </row>
    <row r="8" spans="2:15" ht="18.75" x14ac:dyDescent="0.25">
      <c r="B8" s="12" t="s">
        <v>154</v>
      </c>
      <c r="C8" s="13">
        <f>ROUND(C6/C7, 2)</f>
        <v>0.12</v>
      </c>
      <c r="D8" s="13">
        <f t="shared" ref="D8:G8" si="0">ROUND(D6/D7, 2)</f>
        <v>0.12</v>
      </c>
      <c r="E8" s="13">
        <f t="shared" si="0"/>
        <v>7.0000000000000007E-2</v>
      </c>
      <c r="F8" s="13">
        <f t="shared" si="0"/>
        <v>0.06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0.88</v>
      </c>
      <c r="D9" s="15">
        <f t="shared" ref="D9:G9" si="1">1-D8</f>
        <v>0.88</v>
      </c>
      <c r="E9" s="15">
        <f t="shared" si="1"/>
        <v>0.92999999999999994</v>
      </c>
      <c r="F9" s="15">
        <f t="shared" si="1"/>
        <v>0.94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5D1A35CE-0875-457E-8E8F-D9AEE65B93E4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2D602-02F3-4BC4-91F7-8BC34214166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156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3905.03</v>
      </c>
      <c r="D6" s="13">
        <f>Income_Statement!D5</f>
        <v>3642.19</v>
      </c>
      <c r="E6" s="13">
        <f>Income_Statement!E5</f>
        <v>3052.94</v>
      </c>
      <c r="F6" s="13">
        <f>Income_Statement!F5</f>
        <v>2544.39</v>
      </c>
      <c r="G6" s="13">
        <f>Income_Statement!G5</f>
        <v>4422.6099999999997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2073.46</v>
      </c>
      <c r="D7" s="13">
        <f>Income_Statement!D17</f>
        <v>1780.46</v>
      </c>
      <c r="E7" s="13">
        <f>Income_Statement!E17</f>
        <v>1207.0999999999999</v>
      </c>
      <c r="F7" s="13">
        <f>Income_Statement!F17</f>
        <v>741.5</v>
      </c>
      <c r="G7" s="13">
        <f>Income_Statement!G17</f>
        <v>3844.36</v>
      </c>
    </row>
    <row r="8" spans="2:15" ht="18.75" x14ac:dyDescent="0.25">
      <c r="B8" s="14" t="s">
        <v>157</v>
      </c>
      <c r="C8" s="16">
        <f>ROUND(C6- C7, 2)</f>
        <v>1831.57</v>
      </c>
      <c r="D8" s="16">
        <f t="shared" ref="D8:G8" si="0">ROUND(D6- D7, 2)</f>
        <v>1861.73</v>
      </c>
      <c r="E8" s="16">
        <f t="shared" si="0"/>
        <v>1845.84</v>
      </c>
      <c r="F8" s="16">
        <f t="shared" si="0"/>
        <v>1802.89</v>
      </c>
      <c r="G8" s="16">
        <f t="shared" si="0"/>
        <v>578.25</v>
      </c>
    </row>
  </sheetData>
  <mergeCells count="1">
    <mergeCell ref="B5:G5"/>
  </mergeCells>
  <hyperlinks>
    <hyperlink ref="F1" location="Index_Data!A1" tooltip="Hi click here To return Index page" display="Index_Data!A1" xr:uid="{6D6AC180-463D-4900-BB80-9A9B4BC96E4D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EBCD7-5885-4830-8264-ADD5FE80095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158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3905.03</v>
      </c>
      <c r="D6" s="13">
        <f>Income_Statement!D5</f>
        <v>3642.19</v>
      </c>
      <c r="E6" s="13">
        <f>Income_Statement!E5</f>
        <v>3052.94</v>
      </c>
      <c r="F6" s="13">
        <f>Income_Statement!F5</f>
        <v>2544.39</v>
      </c>
      <c r="G6" s="13">
        <f>Income_Statement!G5</f>
        <v>4422.6099999999997</v>
      </c>
    </row>
    <row r="7" spans="2:15" ht="18.75" x14ac:dyDescent="0.25">
      <c r="B7" s="12" t="str">
        <f>Income_Statement!B25</f>
        <v>Total Expenditure</v>
      </c>
      <c r="C7" s="13">
        <f>Income_Statement!C25</f>
        <v>2453.34</v>
      </c>
      <c r="D7" s="13">
        <f>Income_Statement!D25</f>
        <v>2164.4900000000002</v>
      </c>
      <c r="E7" s="13">
        <f>Income_Statement!E25</f>
        <v>1619.52</v>
      </c>
      <c r="F7" s="13">
        <f>Income_Statement!F25</f>
        <v>1032.07</v>
      </c>
      <c r="G7" s="13">
        <f>Income_Statement!G25</f>
        <v>4324.79</v>
      </c>
    </row>
    <row r="8" spans="2:15" ht="18.75" x14ac:dyDescent="0.25">
      <c r="B8" s="14" t="s">
        <v>159</v>
      </c>
      <c r="C8" s="16">
        <f>ROUND(C6- C7, 2)</f>
        <v>1451.69</v>
      </c>
      <c r="D8" s="16">
        <f t="shared" ref="D8:G8" si="0">ROUND(D6- D7, 2)</f>
        <v>1477.7</v>
      </c>
      <c r="E8" s="16">
        <f t="shared" si="0"/>
        <v>1433.42</v>
      </c>
      <c r="F8" s="16">
        <f t="shared" si="0"/>
        <v>1512.32</v>
      </c>
      <c r="G8" s="16">
        <f t="shared" si="0"/>
        <v>97.82</v>
      </c>
    </row>
  </sheetData>
  <mergeCells count="1">
    <mergeCell ref="B5:G5"/>
  </mergeCells>
  <hyperlinks>
    <hyperlink ref="F1" location="Index_Data!A1" tooltip="Hi click here To return Index page" display="Index_Data!A1" xr:uid="{27D6D686-DD33-413C-B6D1-6AC7E7DE8127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6F476-8483-4163-BE12-1B8579FA3055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160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1390.4721075382265</v>
      </c>
      <c r="D6" s="13">
        <f>Income_Statement!D49</f>
        <v>1415.1112492483915</v>
      </c>
      <c r="E6" s="13">
        <f>Income_Statement!E49</f>
        <v>1380.2987225428601</v>
      </c>
      <c r="F6" s="13">
        <f>Income_Statement!F49</f>
        <v>1513.7870154339546</v>
      </c>
      <c r="G6" s="13">
        <f>Income_Statement!G49</f>
        <v>62.901761403333737</v>
      </c>
    </row>
    <row r="7" spans="2:15" ht="18.75" x14ac:dyDescent="0.25">
      <c r="B7" s="12" t="str">
        <f>Balance_Sheet!B74</f>
        <v>Total Assets</v>
      </c>
      <c r="C7" s="13">
        <f>Balance_Sheet!C74</f>
        <v>2316.89</v>
      </c>
      <c r="D7" s="13">
        <f>Balance_Sheet!D74</f>
        <v>3381.9512492483909</v>
      </c>
      <c r="E7" s="13">
        <f>Balance_Sheet!E74</f>
        <v>4645.3299717912514</v>
      </c>
      <c r="F7" s="13">
        <f>Balance_Sheet!F74</f>
        <v>6120.206987225205</v>
      </c>
      <c r="G7" s="13">
        <f>Balance_Sheet!G74</f>
        <v>6468.3587486285396</v>
      </c>
    </row>
    <row r="8" spans="2:15" ht="18.75" x14ac:dyDescent="0.25">
      <c r="B8" s="14" t="s">
        <v>161</v>
      </c>
      <c r="C8" s="15">
        <f>ROUND(C6/ C7, 2)</f>
        <v>0.6</v>
      </c>
      <c r="D8" s="15">
        <f t="shared" ref="D8:G8" si="0">ROUND(D6/ D7, 2)</f>
        <v>0.42</v>
      </c>
      <c r="E8" s="15">
        <f t="shared" si="0"/>
        <v>0.3</v>
      </c>
      <c r="F8" s="15">
        <f t="shared" si="0"/>
        <v>0.25</v>
      </c>
      <c r="G8" s="15">
        <f t="shared" si="0"/>
        <v>0.01</v>
      </c>
    </row>
  </sheetData>
  <mergeCells count="1">
    <mergeCell ref="B5:G5"/>
  </mergeCells>
  <hyperlinks>
    <hyperlink ref="F1" location="Index_Data!A1" tooltip="Hi click here To return Index page" display="Index_Data!A1" xr:uid="{205ABF31-96E3-4E8A-9B62-CA47D8C0DEEB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1A021-FBFF-4830-9D3E-12068B0E98A0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5" width="11.5703125" bestFit="1" customWidth="1"/>
    <col min="6" max="6" width="12.42578125" bestFit="1" customWidth="1"/>
    <col min="7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1443.5221075382265</v>
      </c>
      <c r="D6" s="13">
        <f>Income_Statement!D33</f>
        <v>1466.0412492483915</v>
      </c>
      <c r="E6" s="13">
        <f>Income_Statement!E33</f>
        <v>1414.5487225428603</v>
      </c>
      <c r="F6" s="13">
        <f>Income_Statement!F33</f>
        <v>1516.3270154339546</v>
      </c>
      <c r="G6" s="13">
        <f>Income_Statement!G33</f>
        <v>92.561761403333733</v>
      </c>
    </row>
    <row r="7" spans="2:15" ht="18.75" x14ac:dyDescent="0.25">
      <c r="B7" s="12" t="str">
        <f>Balance_Sheet!B21</f>
        <v>Total Debt</v>
      </c>
      <c r="C7" s="13">
        <f>Balance_Sheet!C21</f>
        <v>891.56</v>
      </c>
      <c r="D7" s="13">
        <f>Balance_Sheet!D21</f>
        <v>739.01</v>
      </c>
      <c r="E7" s="13">
        <f>Balance_Sheet!E21</f>
        <v>712.84</v>
      </c>
      <c r="F7" s="13">
        <f>Balance_Sheet!F21</f>
        <v>584.06999999999994</v>
      </c>
      <c r="G7" s="13">
        <f>Balance_Sheet!G21</f>
        <v>722.68</v>
      </c>
    </row>
    <row r="8" spans="2:15" ht="18.75" x14ac:dyDescent="0.25">
      <c r="B8" s="12" t="str">
        <f>Balance_Sheet!B13</f>
        <v>Net Worth</v>
      </c>
      <c r="C8" s="13">
        <f>Balance_Sheet!C13</f>
        <v>983.81999999999994</v>
      </c>
      <c r="D8" s="13">
        <f>Balance_Sheet!D13</f>
        <v>2396.5312492483918</v>
      </c>
      <c r="E8" s="13">
        <f>Balance_Sheet!E13</f>
        <v>3774.4299717912518</v>
      </c>
      <c r="F8" s="13">
        <f>Balance_Sheet!F13</f>
        <v>5285.8169872252065</v>
      </c>
      <c r="G8" s="13">
        <f>Balance_Sheet!G13</f>
        <v>5348.7187486285402</v>
      </c>
    </row>
    <row r="9" spans="2:15" ht="18.75" x14ac:dyDescent="0.25">
      <c r="B9" s="14" t="s">
        <v>163</v>
      </c>
      <c r="C9" s="15">
        <f>ROUND(C6/ (C7+ C7), 2)</f>
        <v>0.81</v>
      </c>
      <c r="D9" s="15">
        <f t="shared" ref="D9:G9" si="0">ROUND(D6/ (D7+ D7), 2)</f>
        <v>0.99</v>
      </c>
      <c r="E9" s="15">
        <f t="shared" si="0"/>
        <v>0.99</v>
      </c>
      <c r="F9" s="15">
        <f t="shared" si="0"/>
        <v>1.3</v>
      </c>
      <c r="G9" s="15">
        <f t="shared" si="0"/>
        <v>0.06</v>
      </c>
    </row>
  </sheetData>
  <mergeCells count="1">
    <mergeCell ref="B5:G5"/>
  </mergeCells>
  <hyperlinks>
    <hyperlink ref="F1" location="Index_Data!A1" tooltip="Hi click here To return Index page" display="Index_Data!A1" xr:uid="{A31EAF48-52D5-4F76-9A0D-943B669E80B1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42639-D062-4DDC-8BEE-950A7AF98E4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164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1390.4721075382265</v>
      </c>
      <c r="D6" s="13">
        <f>Income_Statement!D49</f>
        <v>1415.1112492483915</v>
      </c>
      <c r="E6" s="13">
        <f>Income_Statement!E49</f>
        <v>1380.2987225428601</v>
      </c>
      <c r="F6" s="13">
        <f>Income_Statement!F49</f>
        <v>1513.7870154339546</v>
      </c>
      <c r="G6" s="13">
        <f>Income_Statement!G49</f>
        <v>62.901761403333737</v>
      </c>
    </row>
    <row r="7" spans="2:15" ht="18.75" x14ac:dyDescent="0.25">
      <c r="B7" s="12" t="str">
        <f>Balance_Sheet!B13</f>
        <v>Net Worth</v>
      </c>
      <c r="C7" s="13">
        <f>Balance_Sheet!C13</f>
        <v>983.81999999999994</v>
      </c>
      <c r="D7" s="13">
        <f>Balance_Sheet!D13</f>
        <v>2396.5312492483918</v>
      </c>
      <c r="E7" s="13">
        <f>Balance_Sheet!E13</f>
        <v>3774.4299717912518</v>
      </c>
      <c r="F7" s="13">
        <f>Balance_Sheet!F13</f>
        <v>5285.8169872252065</v>
      </c>
      <c r="G7" s="13">
        <f>Balance_Sheet!G13</f>
        <v>5348.7187486285402</v>
      </c>
    </row>
    <row r="8" spans="2:15" ht="18.75" x14ac:dyDescent="0.25">
      <c r="B8" s="14" t="s">
        <v>165</v>
      </c>
      <c r="C8" s="15">
        <f>ROUND(C6/ (C7+ C7), 2)</f>
        <v>0.71</v>
      </c>
      <c r="D8" s="15">
        <f t="shared" ref="D8:G8" si="0">ROUND(D6/ (D7+ D7), 2)</f>
        <v>0.3</v>
      </c>
      <c r="E8" s="15">
        <f t="shared" si="0"/>
        <v>0.18</v>
      </c>
      <c r="F8" s="15">
        <f t="shared" si="0"/>
        <v>0.14000000000000001</v>
      </c>
      <c r="G8" s="15">
        <f t="shared" si="0"/>
        <v>0.01</v>
      </c>
    </row>
  </sheetData>
  <mergeCells count="1">
    <mergeCell ref="B5:G5"/>
  </mergeCells>
  <hyperlinks>
    <hyperlink ref="F1" location="Index_Data!A1" tooltip="Hi click here To return Index page" display="Index_Data!A1" xr:uid="{843F595A-5E3B-4CF0-9D87-012C3F3CDA89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3D852-C5AB-4286-85AB-813CD694B55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3" width="10" bestFit="1" customWidth="1"/>
    <col min="4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166</v>
      </c>
      <c r="C5" s="44"/>
      <c r="D5" s="44"/>
      <c r="E5" s="44"/>
      <c r="F5" s="44"/>
      <c r="G5" s="44"/>
    </row>
    <row r="6" spans="2:15" ht="18.75" x14ac:dyDescent="0.25">
      <c r="B6" s="12" t="str">
        <f>Balance_Sheet!B21</f>
        <v>Total Debt</v>
      </c>
      <c r="C6" s="13">
        <f>Balance_Sheet!C21</f>
        <v>891.56</v>
      </c>
      <c r="D6" s="13">
        <f>Balance_Sheet!D21</f>
        <v>739.01</v>
      </c>
      <c r="E6" s="13">
        <f>Balance_Sheet!E21</f>
        <v>712.84</v>
      </c>
      <c r="F6" s="13">
        <f>Balance_Sheet!F21</f>
        <v>584.06999999999994</v>
      </c>
      <c r="G6" s="13">
        <f>Balance_Sheet!G21</f>
        <v>722.68</v>
      </c>
    </row>
    <row r="7" spans="2:15" ht="18.75" x14ac:dyDescent="0.25">
      <c r="B7" s="12" t="str">
        <f>Balance_Sheet!B13</f>
        <v>Net Worth</v>
      </c>
      <c r="C7" s="13">
        <f>Balance_Sheet!C13</f>
        <v>983.81999999999994</v>
      </c>
      <c r="D7" s="13">
        <f>Balance_Sheet!D13</f>
        <v>2396.5312492483918</v>
      </c>
      <c r="E7" s="13">
        <f>Balance_Sheet!E13</f>
        <v>3774.4299717912518</v>
      </c>
      <c r="F7" s="13">
        <f>Balance_Sheet!F13</f>
        <v>5285.8169872252065</v>
      </c>
      <c r="G7" s="13">
        <f>Balance_Sheet!G13</f>
        <v>5348.7187486285402</v>
      </c>
    </row>
    <row r="8" spans="2:15" ht="18.75" x14ac:dyDescent="0.25">
      <c r="B8" s="14" t="s">
        <v>167</v>
      </c>
      <c r="C8" s="14">
        <f>ROUND(C6/ C7, 2)</f>
        <v>0.91</v>
      </c>
      <c r="D8" s="14">
        <f t="shared" ref="D8:G8" si="0">ROUND(D6/ D7, 2)</f>
        <v>0.31</v>
      </c>
      <c r="E8" s="14">
        <f t="shared" si="0"/>
        <v>0.19</v>
      </c>
      <c r="F8" s="14">
        <f t="shared" si="0"/>
        <v>0.11</v>
      </c>
      <c r="G8" s="14">
        <f t="shared" si="0"/>
        <v>0.14000000000000001</v>
      </c>
    </row>
  </sheetData>
  <mergeCells count="1">
    <mergeCell ref="B5:G5"/>
  </mergeCells>
  <hyperlinks>
    <hyperlink ref="F1" location="Index_Data!A1" tooltip="Hi click here To return Index page" display="Index_Data!A1" xr:uid="{E142A9C0-E222-4DC9-9CD4-2F1EE57474D1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1A362-8562-455E-B565-44B931A1C9C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168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1960.58</v>
      </c>
      <c r="D6" s="13">
        <f>Balance_Sheet!D72</f>
        <v>3048.5712492483908</v>
      </c>
      <c r="E6" s="13">
        <f>Balance_Sheet!E72</f>
        <v>4344.7199717912517</v>
      </c>
      <c r="F6" s="13">
        <f>Balance_Sheet!F72</f>
        <v>5830.4669872252052</v>
      </c>
      <c r="G6" s="13">
        <f>Balance_Sheet!G72</f>
        <v>6219.4487486285398</v>
      </c>
    </row>
    <row r="7" spans="2:15" ht="18.75" x14ac:dyDescent="0.25">
      <c r="B7" s="12" t="str">
        <f>Balance_Sheet!B33</f>
        <v>Total Current Liabilities</v>
      </c>
      <c r="C7" s="13">
        <f>Balance_Sheet!C33</f>
        <v>441.51</v>
      </c>
      <c r="D7" s="13">
        <f>Balance_Sheet!D33</f>
        <v>246.41</v>
      </c>
      <c r="E7" s="13">
        <f>Balance_Sheet!E33</f>
        <v>158.06</v>
      </c>
      <c r="F7" s="13">
        <f>Balance_Sheet!F33</f>
        <v>252.16000000000003</v>
      </c>
      <c r="G7" s="13">
        <f>Balance_Sheet!G33</f>
        <v>396.96000000000004</v>
      </c>
    </row>
    <row r="8" spans="2:15" ht="18.75" x14ac:dyDescent="0.25">
      <c r="B8" s="14" t="s">
        <v>169</v>
      </c>
      <c r="C8" s="14">
        <f>ROUND(C6/ C7, 2)</f>
        <v>4.4400000000000004</v>
      </c>
      <c r="D8" s="14">
        <f t="shared" ref="D8:G8" si="0">ROUND(D6/ D7, 2)</f>
        <v>12.37</v>
      </c>
      <c r="E8" s="14">
        <f t="shared" si="0"/>
        <v>27.49</v>
      </c>
      <c r="F8" s="14">
        <f t="shared" si="0"/>
        <v>23.12</v>
      </c>
      <c r="G8" s="14">
        <f t="shared" si="0"/>
        <v>15.67</v>
      </c>
    </row>
  </sheetData>
  <mergeCells count="1">
    <mergeCell ref="B5:G5"/>
  </mergeCells>
  <hyperlinks>
    <hyperlink ref="F1" location="Index_Data!A1" tooltip="Hi click here To return Index page" display="Index_Data!A1" xr:uid="{B1437070-A324-4FE2-A6B5-56A7C2BEE847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E6E5D-FF2A-4A1C-891A-7FF3ADFD166F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3905.03</v>
      </c>
      <c r="D5" s="2">
        <v>3642.19</v>
      </c>
      <c r="E5" s="2">
        <v>3052.94</v>
      </c>
      <c r="F5" s="2">
        <v>2544.39</v>
      </c>
      <c r="G5" s="2">
        <v>4422.6099999999997</v>
      </c>
      <c r="H5" t="s">
        <v>1</v>
      </c>
    </row>
    <row r="6" spans="1:15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15" x14ac:dyDescent="0.25">
      <c r="B7" t="s">
        <v>57</v>
      </c>
      <c r="C7" s="2">
        <v>3905.03</v>
      </c>
      <c r="D7" s="2">
        <v>3642.19</v>
      </c>
      <c r="E7" s="2">
        <v>3052.94</v>
      </c>
      <c r="F7" s="2">
        <v>2544.39</v>
      </c>
      <c r="G7" s="2">
        <v>4422.6099999999997</v>
      </c>
      <c r="H7" t="s">
        <v>1</v>
      </c>
    </row>
    <row r="8" spans="1:15" x14ac:dyDescent="0.25">
      <c r="B8" t="s">
        <v>58</v>
      </c>
      <c r="C8" s="2">
        <v>3905.03</v>
      </c>
      <c r="D8" s="2">
        <v>3642.19</v>
      </c>
      <c r="E8" s="2">
        <v>3052.94</v>
      </c>
      <c r="F8" s="2">
        <v>2544.39</v>
      </c>
      <c r="G8" s="2">
        <v>4422.6099999999997</v>
      </c>
      <c r="H8" t="s">
        <v>1</v>
      </c>
    </row>
    <row r="9" spans="1:15" x14ac:dyDescent="0.25">
      <c r="A9" t="s">
        <v>59</v>
      </c>
      <c r="B9" t="s">
        <v>59</v>
      </c>
      <c r="C9">
        <v>8.23</v>
      </c>
      <c r="D9">
        <v>4.55</v>
      </c>
      <c r="E9">
        <v>-3.9</v>
      </c>
      <c r="F9">
        <v>17.850000000000001</v>
      </c>
      <c r="G9">
        <v>7.79</v>
      </c>
      <c r="H9" t="s">
        <v>1</v>
      </c>
    </row>
    <row r="10" spans="1:15" x14ac:dyDescent="0.25">
      <c r="B10" t="s">
        <v>60</v>
      </c>
      <c r="C10" s="2">
        <v>3913.26</v>
      </c>
      <c r="D10" s="2">
        <v>3646.75</v>
      </c>
      <c r="E10" s="2">
        <v>3049.03</v>
      </c>
      <c r="F10" s="2">
        <v>2562.2399999999998</v>
      </c>
      <c r="G10" s="2">
        <v>4430.3999999999996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 s="2">
        <v>2073.46</v>
      </c>
      <c r="D12">
        <v>1780.46</v>
      </c>
      <c r="E12" s="2">
        <v>1207.0999999999999</v>
      </c>
      <c r="F12" s="2">
        <v>741.5</v>
      </c>
      <c r="G12" s="2">
        <v>3844.36</v>
      </c>
      <c r="H12" t="s">
        <v>1</v>
      </c>
    </row>
    <row r="13" spans="1:15" x14ac:dyDescent="0.25">
      <c r="B13" t="s">
        <v>63</v>
      </c>
      <c r="C13">
        <v>1270.5</v>
      </c>
      <c r="D13" s="2">
        <v>1334.98</v>
      </c>
      <c r="E13" s="2">
        <v>1264.94</v>
      </c>
      <c r="F13" s="2">
        <v>1316.07</v>
      </c>
      <c r="G13" s="2">
        <v>0</v>
      </c>
      <c r="H13" t="s">
        <v>1</v>
      </c>
    </row>
    <row r="14" spans="1:15" x14ac:dyDescent="0.25">
      <c r="A14" t="s">
        <v>99</v>
      </c>
      <c r="B14" t="s">
        <v>64</v>
      </c>
      <c r="C14">
        <v>243.01</v>
      </c>
      <c r="D14">
        <v>260.26</v>
      </c>
      <c r="E14">
        <v>292.81</v>
      </c>
      <c r="F14">
        <v>198.24</v>
      </c>
      <c r="G14">
        <v>0</v>
      </c>
      <c r="H14" t="s">
        <v>1</v>
      </c>
    </row>
    <row r="15" spans="1:15" x14ac:dyDescent="0.25">
      <c r="B15" t="s">
        <v>65</v>
      </c>
      <c r="C15">
        <v>9.7799999999999994</v>
      </c>
      <c r="D15">
        <v>-36.67</v>
      </c>
      <c r="E15">
        <v>51.2</v>
      </c>
      <c r="F15">
        <v>132.68</v>
      </c>
      <c r="G15">
        <v>-32.159999999999997</v>
      </c>
      <c r="H15" t="s">
        <v>1</v>
      </c>
    </row>
    <row r="16" spans="1:15" x14ac:dyDescent="0.25">
      <c r="A16" t="s">
        <v>99</v>
      </c>
      <c r="B16" t="s">
        <v>66</v>
      </c>
      <c r="C16">
        <v>72.92</v>
      </c>
      <c r="D16">
        <v>67.47</v>
      </c>
      <c r="E16">
        <v>65.73</v>
      </c>
      <c r="F16">
        <v>55.13</v>
      </c>
      <c r="G16">
        <v>69.88</v>
      </c>
      <c r="H16" t="s">
        <v>1</v>
      </c>
    </row>
    <row r="17" spans="1:8" x14ac:dyDescent="0.25">
      <c r="A17" t="s">
        <v>100</v>
      </c>
      <c r="B17" t="s">
        <v>67</v>
      </c>
      <c r="C17">
        <v>30.56</v>
      </c>
      <c r="D17">
        <v>26.39</v>
      </c>
      <c r="E17">
        <v>19.66</v>
      </c>
      <c r="F17">
        <v>3.57</v>
      </c>
      <c r="G17">
        <v>5.27</v>
      </c>
      <c r="H17" t="s">
        <v>1</v>
      </c>
    </row>
    <row r="18" spans="1:8" x14ac:dyDescent="0.25">
      <c r="A18" t="s">
        <v>101</v>
      </c>
      <c r="B18" t="s">
        <v>68</v>
      </c>
      <c r="C18">
        <v>17.399999999999999</v>
      </c>
      <c r="D18">
        <v>17.21</v>
      </c>
      <c r="E18">
        <v>15.97</v>
      </c>
      <c r="F18">
        <v>14.85</v>
      </c>
      <c r="G18">
        <v>14.05</v>
      </c>
      <c r="H18" t="s">
        <v>1</v>
      </c>
    </row>
    <row r="19" spans="1:8" x14ac:dyDescent="0.25">
      <c r="A19" t="s">
        <v>99</v>
      </c>
      <c r="B19" t="s">
        <v>69</v>
      </c>
      <c r="C19">
        <v>63.95</v>
      </c>
      <c r="D19">
        <v>56.3</v>
      </c>
      <c r="E19">
        <v>53.88</v>
      </c>
      <c r="F19">
        <v>37.200000000000003</v>
      </c>
      <c r="G19">
        <v>410.55</v>
      </c>
      <c r="H19" t="s">
        <v>1</v>
      </c>
    </row>
    <row r="20" spans="1:8" x14ac:dyDescent="0.25">
      <c r="B20" t="s">
        <v>70</v>
      </c>
      <c r="C20" s="2">
        <v>3781.57</v>
      </c>
      <c r="D20" s="2">
        <v>3506.38</v>
      </c>
      <c r="E20" s="2">
        <v>2971.28</v>
      </c>
      <c r="F20" s="2">
        <v>2499.2399999999998</v>
      </c>
      <c r="G20" s="2">
        <v>4311.96</v>
      </c>
      <c r="H20" t="s">
        <v>1</v>
      </c>
    </row>
    <row r="21" spans="1:8" x14ac:dyDescent="0.25">
      <c r="B21" t="s">
        <v>71</v>
      </c>
      <c r="C21">
        <v>131.68</v>
      </c>
      <c r="D21">
        <v>140.37</v>
      </c>
      <c r="E21">
        <v>77.75</v>
      </c>
      <c r="F21">
        <v>63</v>
      </c>
      <c r="G21">
        <v>118.44</v>
      </c>
      <c r="H21" t="s">
        <v>1</v>
      </c>
    </row>
    <row r="22" spans="1:8" x14ac:dyDescent="0.25">
      <c r="A22" t="s">
        <v>102</v>
      </c>
      <c r="B22" t="s">
        <v>72</v>
      </c>
      <c r="C22">
        <v>-5.03</v>
      </c>
      <c r="D22">
        <v>-3.47</v>
      </c>
      <c r="E22">
        <v>-0.14000000000000001</v>
      </c>
      <c r="F22">
        <v>-3.65</v>
      </c>
      <c r="G22">
        <v>-5.3</v>
      </c>
      <c r="H22" t="s">
        <v>1</v>
      </c>
    </row>
    <row r="23" spans="1:8" x14ac:dyDescent="0.25">
      <c r="B23" t="s">
        <v>73</v>
      </c>
      <c r="C23">
        <v>126.65</v>
      </c>
      <c r="D23">
        <v>136.9</v>
      </c>
      <c r="E23">
        <v>77.61</v>
      </c>
      <c r="F23">
        <v>59.35</v>
      </c>
      <c r="G23">
        <v>113.14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>
        <v>21.09</v>
      </c>
      <c r="D25">
        <v>19.57</v>
      </c>
      <c r="E25">
        <v>13.63</v>
      </c>
      <c r="F25">
        <v>9.81</v>
      </c>
      <c r="G25">
        <v>19.09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-3.63</v>
      </c>
      <c r="D27">
        <v>1.5</v>
      </c>
      <c r="E27">
        <v>0.81</v>
      </c>
      <c r="F27">
        <v>-14.5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>
        <v>17.46</v>
      </c>
      <c r="D29">
        <v>21.07</v>
      </c>
      <c r="E29">
        <v>14.45</v>
      </c>
      <c r="F29">
        <v>-4.68</v>
      </c>
      <c r="G29">
        <v>19.09</v>
      </c>
      <c r="H29" t="s">
        <v>1</v>
      </c>
    </row>
    <row r="30" spans="1:8" x14ac:dyDescent="0.25">
      <c r="B30" t="s">
        <v>80</v>
      </c>
      <c r="C30">
        <v>109.19</v>
      </c>
      <c r="D30">
        <v>115.83</v>
      </c>
      <c r="E30">
        <v>63.17</v>
      </c>
      <c r="F30">
        <v>64.040000000000006</v>
      </c>
      <c r="G30">
        <v>94.04</v>
      </c>
      <c r="H30" t="s">
        <v>1</v>
      </c>
    </row>
    <row r="31" spans="1:8" x14ac:dyDescent="0.25">
      <c r="B31" t="s">
        <v>81</v>
      </c>
      <c r="C31">
        <v>109.19</v>
      </c>
      <c r="D31">
        <v>115.83</v>
      </c>
      <c r="E31">
        <v>63.17</v>
      </c>
      <c r="F31">
        <v>64.040000000000006</v>
      </c>
      <c r="G31">
        <v>94.04</v>
      </c>
      <c r="H31" t="s">
        <v>1</v>
      </c>
    </row>
    <row r="32" spans="1:8" x14ac:dyDescent="0.25">
      <c r="B32" t="s">
        <v>82</v>
      </c>
      <c r="C32">
        <v>109.19</v>
      </c>
      <c r="D32">
        <v>115.83</v>
      </c>
      <c r="E32">
        <v>63.17</v>
      </c>
      <c r="F32">
        <v>64.040000000000006</v>
      </c>
      <c r="G32">
        <v>94.04</v>
      </c>
      <c r="H32" t="s">
        <v>1</v>
      </c>
    </row>
    <row r="33" spans="1:8" x14ac:dyDescent="0.25">
      <c r="B33" t="s">
        <v>10</v>
      </c>
      <c r="C33">
        <v>-0.05</v>
      </c>
      <c r="D33">
        <v>-0.9</v>
      </c>
      <c r="E33">
        <v>0.24</v>
      </c>
      <c r="F33">
        <v>-0.1</v>
      </c>
      <c r="G33">
        <v>-0.22</v>
      </c>
      <c r="H33" t="s">
        <v>1</v>
      </c>
    </row>
    <row r="34" spans="1:8" x14ac:dyDescent="0.25">
      <c r="B34" t="s">
        <v>83</v>
      </c>
      <c r="C34">
        <v>109.13</v>
      </c>
      <c r="D34">
        <v>114.93</v>
      </c>
      <c r="E34">
        <v>63.4</v>
      </c>
      <c r="F34">
        <v>63.93</v>
      </c>
      <c r="G34">
        <v>93.83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68</v>
      </c>
      <c r="D37">
        <v>72</v>
      </c>
      <c r="E37">
        <v>40</v>
      </c>
      <c r="F37">
        <v>40</v>
      </c>
      <c r="G37">
        <v>59</v>
      </c>
      <c r="H37" t="s">
        <v>1</v>
      </c>
    </row>
    <row r="38" spans="1:8" x14ac:dyDescent="0.25">
      <c r="B38" t="s">
        <v>86</v>
      </c>
      <c r="C38">
        <v>68</v>
      </c>
      <c r="D38">
        <v>72</v>
      </c>
      <c r="E38">
        <v>40</v>
      </c>
      <c r="F38">
        <v>40</v>
      </c>
      <c r="G38">
        <v>59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2.4</v>
      </c>
      <c r="D40">
        <v>2.4</v>
      </c>
      <c r="E40">
        <v>2.4</v>
      </c>
      <c r="F40">
        <v>2.4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70017FD3-5406-42E0-A419-7C61CBC2B7CB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E3512-85B5-4F82-A372-9F511FB35B76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170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1960.58</v>
      </c>
      <c r="D6" s="13">
        <f>Balance_Sheet!D72</f>
        <v>3048.5712492483908</v>
      </c>
      <c r="E6" s="13">
        <f>Balance_Sheet!E72</f>
        <v>4344.7199717912517</v>
      </c>
      <c r="F6" s="13">
        <f>Balance_Sheet!F72</f>
        <v>5830.4669872252052</v>
      </c>
      <c r="G6" s="13">
        <f>Balance_Sheet!G72</f>
        <v>6219.4487486285398</v>
      </c>
    </row>
    <row r="7" spans="2:15" ht="18.75" x14ac:dyDescent="0.25">
      <c r="B7" s="12" t="str">
        <f>Balance_Sheet!B66</f>
        <v>Inventories</v>
      </c>
      <c r="C7" s="13">
        <f>Balance_Sheet!C66</f>
        <v>559.4</v>
      </c>
      <c r="D7" s="13">
        <f>Balance_Sheet!D66</f>
        <v>566.15</v>
      </c>
      <c r="E7" s="13">
        <f>Balance_Sheet!E66</f>
        <v>553.86</v>
      </c>
      <c r="F7" s="13">
        <f>Balance_Sheet!F66</f>
        <v>485.27</v>
      </c>
      <c r="G7" s="13">
        <f>Balance_Sheet!G66</f>
        <v>564.65</v>
      </c>
    </row>
    <row r="8" spans="2:15" ht="18.75" x14ac:dyDescent="0.25">
      <c r="B8" s="12" t="str">
        <f>Balance_Sheet!B33</f>
        <v>Total Current Liabilities</v>
      </c>
      <c r="C8" s="13">
        <f>Balance_Sheet!C33</f>
        <v>441.51</v>
      </c>
      <c r="D8" s="13">
        <f>Balance_Sheet!D33</f>
        <v>246.41</v>
      </c>
      <c r="E8" s="13">
        <f>Balance_Sheet!E33</f>
        <v>158.06</v>
      </c>
      <c r="F8" s="13">
        <f>Balance_Sheet!F33</f>
        <v>252.16000000000003</v>
      </c>
      <c r="G8" s="13">
        <f>Balance_Sheet!G33</f>
        <v>396.96000000000004</v>
      </c>
    </row>
    <row r="9" spans="2:15" ht="18.75" x14ac:dyDescent="0.25">
      <c r="B9" s="14" t="s">
        <v>171</v>
      </c>
      <c r="C9" s="14">
        <f>ROUND((C6-C7)/ C8, 2)</f>
        <v>3.17</v>
      </c>
      <c r="D9" s="14">
        <f t="shared" ref="D9:G9" si="0">ROUND((D6-D7)/ D8, 2)</f>
        <v>10.07</v>
      </c>
      <c r="E9" s="14">
        <f t="shared" si="0"/>
        <v>23.98</v>
      </c>
      <c r="F9" s="14">
        <f t="shared" si="0"/>
        <v>21.2</v>
      </c>
      <c r="G9" s="14">
        <f t="shared" si="0"/>
        <v>14.25</v>
      </c>
    </row>
  </sheetData>
  <mergeCells count="1">
    <mergeCell ref="B5:G5"/>
  </mergeCells>
  <hyperlinks>
    <hyperlink ref="F1" location="Index_Data!A1" tooltip="Hi click here To return Index page" display="Index_Data!A1" xr:uid="{6EFF2487-7E92-4B95-AFA5-ADB0A6768D6B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6CC92-7B81-429E-887F-A32B5B844CB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6" width="11.5703125" bestFit="1" customWidth="1"/>
    <col min="7" max="7" width="9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1443.5221075382265</v>
      </c>
      <c r="D6" s="13">
        <f>Income_Statement!D33</f>
        <v>1466.0412492483915</v>
      </c>
      <c r="E6" s="13">
        <f>Income_Statement!E33</f>
        <v>1414.5487225428603</v>
      </c>
      <c r="F6" s="13">
        <f>Income_Statement!F33</f>
        <v>1516.3270154339546</v>
      </c>
      <c r="G6" s="13">
        <f>Income_Statement!G33</f>
        <v>92.561761403333733</v>
      </c>
    </row>
    <row r="7" spans="2:15" ht="18.75" x14ac:dyDescent="0.25">
      <c r="B7" s="12" t="str">
        <f>Income_Statement!B35</f>
        <v>Finance Costs</v>
      </c>
      <c r="C7" s="13">
        <f>Income_Statement!C35</f>
        <v>30.56</v>
      </c>
      <c r="D7" s="13">
        <f>Income_Statement!D35</f>
        <v>26.39</v>
      </c>
      <c r="E7" s="13">
        <f>Income_Statement!E35</f>
        <v>19.66</v>
      </c>
      <c r="F7" s="13">
        <f>Income_Statement!F35</f>
        <v>3.57</v>
      </c>
      <c r="G7" s="13">
        <f>Income_Statement!G35</f>
        <v>5.27</v>
      </c>
    </row>
    <row r="8" spans="2:15" ht="18.75" x14ac:dyDescent="0.25">
      <c r="B8" s="14" t="s">
        <v>173</v>
      </c>
      <c r="C8" s="14">
        <f>ROUND(C6/C7, 2)</f>
        <v>47.24</v>
      </c>
      <c r="D8" s="14">
        <f t="shared" ref="D8:G8" si="0">ROUND(D6/D7, 2)</f>
        <v>55.55</v>
      </c>
      <c r="E8" s="14">
        <f t="shared" si="0"/>
        <v>71.95</v>
      </c>
      <c r="F8" s="14">
        <f t="shared" si="0"/>
        <v>424.74</v>
      </c>
      <c r="G8" s="14">
        <f t="shared" si="0"/>
        <v>17.559999999999999</v>
      </c>
    </row>
  </sheetData>
  <mergeCells count="1">
    <mergeCell ref="B5:G5"/>
  </mergeCells>
  <hyperlinks>
    <hyperlink ref="F1" location="Index_Data!A1" tooltip="Hi click here To return Index page" display="Index_Data!A1" xr:uid="{F097B5FA-3E76-4AA2-A10F-2A4F31E93793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64359-D8DC-4FF4-A33D-071E345AAB4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174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2073.46</v>
      </c>
      <c r="D6" s="13">
        <f>Income_Statement!D17</f>
        <v>1780.46</v>
      </c>
      <c r="E6" s="13">
        <f>Income_Statement!E17</f>
        <v>1207.0999999999999</v>
      </c>
      <c r="F6" s="13">
        <f>Income_Statement!F17</f>
        <v>741.5</v>
      </c>
      <c r="G6" s="13">
        <f>Income_Statement!G17</f>
        <v>3844.36</v>
      </c>
    </row>
    <row r="7" spans="2:15" ht="18.75" x14ac:dyDescent="0.25">
      <c r="B7" s="12" t="str">
        <f>Income_Statement!B9</f>
        <v>Net Sales</v>
      </c>
      <c r="C7" s="13">
        <f>Income_Statement!C9</f>
        <v>3905.03</v>
      </c>
      <c r="D7" s="13">
        <f>Income_Statement!D9</f>
        <v>3642.19</v>
      </c>
      <c r="E7" s="13">
        <f>Income_Statement!E9</f>
        <v>3052.94</v>
      </c>
      <c r="F7" s="13">
        <f>Income_Statement!F9</f>
        <v>2544.39</v>
      </c>
      <c r="G7" s="13">
        <f>Income_Statement!G9</f>
        <v>4422.6099999999997</v>
      </c>
    </row>
    <row r="8" spans="2:15" ht="18.75" x14ac:dyDescent="0.25">
      <c r="B8" s="14" t="s">
        <v>175</v>
      </c>
      <c r="C8" s="14">
        <f>ROUND(C6/C7, 2)</f>
        <v>0.53</v>
      </c>
      <c r="D8" s="14">
        <f t="shared" ref="D8:G8" si="0">ROUND(D6/D7, 2)</f>
        <v>0.49</v>
      </c>
      <c r="E8" s="14">
        <f t="shared" si="0"/>
        <v>0.4</v>
      </c>
      <c r="F8" s="14">
        <f t="shared" si="0"/>
        <v>0.28999999999999998</v>
      </c>
      <c r="G8" s="14">
        <f t="shared" si="0"/>
        <v>0.87</v>
      </c>
    </row>
  </sheetData>
  <mergeCells count="1">
    <mergeCell ref="B5:G5"/>
  </mergeCells>
  <hyperlinks>
    <hyperlink ref="F1" location="Index_Data!A1" tooltip="Hi click here To return Index page" display="Index_Data!A1" xr:uid="{860E7353-D9CE-4C71-B02A-E11ECB195981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86BDA-54AB-4EDF-8A3A-6E9024260EE3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5" width="11.5703125" bestFit="1" customWidth="1"/>
    <col min="6" max="6" width="12.28515625" bestFit="1" customWidth="1"/>
    <col min="7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176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404.85</v>
      </c>
      <c r="D6" s="13">
        <f>Balance_Sheet!D70</f>
        <v>1652.4812492483911</v>
      </c>
      <c r="E6" s="13">
        <f>Balance_Sheet!E70</f>
        <v>2985.6599717912513</v>
      </c>
      <c r="F6" s="13">
        <f>Balance_Sheet!F70</f>
        <v>4453.9869872252057</v>
      </c>
      <c r="G6" s="13">
        <f>Balance_Sheet!G70</f>
        <v>4402.7887486285399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2073.46</v>
      </c>
      <c r="D7" s="13">
        <f>Income_Statement!D17</f>
        <v>1780.46</v>
      </c>
      <c r="E7" s="13">
        <f>Income_Statement!E17</f>
        <v>1207.0999999999999</v>
      </c>
      <c r="F7" s="13">
        <f>Income_Statement!F17</f>
        <v>741.5</v>
      </c>
      <c r="G7" s="13">
        <f>Income_Statement!G17</f>
        <v>3844.36</v>
      </c>
    </row>
    <row r="8" spans="2:15" ht="18.75" x14ac:dyDescent="0.25">
      <c r="B8" s="14" t="s">
        <v>177</v>
      </c>
      <c r="C8" s="14">
        <f>ROUND(C6/C7*365, 2)</f>
        <v>71.27</v>
      </c>
      <c r="D8" s="14">
        <f t="shared" ref="D8:G8" si="0">ROUND(D6/D7*365, 2)</f>
        <v>338.76</v>
      </c>
      <c r="E8" s="14">
        <f t="shared" si="0"/>
        <v>902.8</v>
      </c>
      <c r="F8" s="14">
        <f t="shared" si="0"/>
        <v>2192.4499999999998</v>
      </c>
      <c r="G8" s="14">
        <f t="shared" si="0"/>
        <v>418.02</v>
      </c>
    </row>
  </sheetData>
  <mergeCells count="1">
    <mergeCell ref="B5:G5"/>
  </mergeCells>
  <hyperlinks>
    <hyperlink ref="F1" location="Index_Data!A1" tooltip="Hi click here To return Index page" display="Index_Data!A1" xr:uid="{DE295C33-0B7C-4051-9886-9C29B908644B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72E5D-266F-436C-806F-CFBDDEE573E3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0.7109375" bestFit="1" customWidth="1"/>
    <col min="4" max="7" width="12.28515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178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404.85</v>
      </c>
      <c r="D6" s="13">
        <f>Balance_Sheet!D70</f>
        <v>1652.4812492483911</v>
      </c>
      <c r="E6" s="13">
        <f>Balance_Sheet!E70</f>
        <v>2985.6599717912513</v>
      </c>
      <c r="F6" s="13">
        <f>Balance_Sheet!F70</f>
        <v>4453.9869872252057</v>
      </c>
      <c r="G6" s="13">
        <f>Balance_Sheet!G70</f>
        <v>4402.7887486285399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404.85</v>
      </c>
      <c r="D8" s="14">
        <f t="shared" ref="D8:G8" si="0">ROUND(D6/D7*365, 2)</f>
        <v>1652.48</v>
      </c>
      <c r="E8" s="14">
        <f t="shared" si="0"/>
        <v>2985.66</v>
      </c>
      <c r="F8" s="14">
        <f t="shared" si="0"/>
        <v>4453.99</v>
      </c>
      <c r="G8" s="14">
        <f t="shared" si="0"/>
        <v>4402.79</v>
      </c>
    </row>
  </sheetData>
  <mergeCells count="1">
    <mergeCell ref="B5:G5"/>
  </mergeCells>
  <hyperlinks>
    <hyperlink ref="F1" location="Index_Data!A1" tooltip="Hi click here To return Index page" display="Index_Data!A1" xr:uid="{ED2E1ED6-FD51-48AE-BAE1-9B7617220ADC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85417-BEE4-429F-B54E-D46F2EE7FB8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3905.03</v>
      </c>
      <c r="D6" s="13">
        <f>Income_Statement!D5</f>
        <v>3642.19</v>
      </c>
      <c r="E6" s="13">
        <f>Income_Statement!E5</f>
        <v>3052.94</v>
      </c>
      <c r="F6" s="13">
        <f>Income_Statement!F5</f>
        <v>2544.39</v>
      </c>
      <c r="G6" s="13">
        <f>Income_Statement!G5</f>
        <v>4422.6099999999997</v>
      </c>
    </row>
    <row r="7" spans="2:15" ht="18.75" x14ac:dyDescent="0.25">
      <c r="B7" s="12" t="str">
        <f>Balance_Sheet!B74</f>
        <v>Total Assets</v>
      </c>
      <c r="C7" s="13">
        <f>Balance_Sheet!C74</f>
        <v>2316.89</v>
      </c>
      <c r="D7" s="13">
        <f>Balance_Sheet!D74</f>
        <v>3381.9512492483909</v>
      </c>
      <c r="E7" s="13">
        <f>Balance_Sheet!E74</f>
        <v>4645.3299717912514</v>
      </c>
      <c r="F7" s="13">
        <f>Balance_Sheet!F74</f>
        <v>6120.206987225205</v>
      </c>
      <c r="G7" s="13">
        <f>Balance_Sheet!G74</f>
        <v>6468.3587486285396</v>
      </c>
    </row>
    <row r="8" spans="2:15" ht="18.75" x14ac:dyDescent="0.25">
      <c r="B8" s="14" t="s">
        <v>182</v>
      </c>
      <c r="C8" s="14">
        <f>ROUND(C6/C7, 2)</f>
        <v>1.69</v>
      </c>
      <c r="D8" s="14">
        <f t="shared" ref="D8:G8" si="0">ROUND(D6/D7, 2)</f>
        <v>1.08</v>
      </c>
      <c r="E8" s="14">
        <f t="shared" si="0"/>
        <v>0.66</v>
      </c>
      <c r="F8" s="14">
        <f t="shared" si="0"/>
        <v>0.42</v>
      </c>
      <c r="G8" s="14">
        <f t="shared" si="0"/>
        <v>0.68</v>
      </c>
    </row>
  </sheetData>
  <mergeCells count="1">
    <mergeCell ref="B5:G5"/>
  </mergeCells>
  <hyperlinks>
    <hyperlink ref="F1" location="Index_Data!A1" tooltip="Hi click here To return Index page" display="Index_Data!A1" xr:uid="{9A697460-4336-4D3C-AAF5-1F3D7B3893A4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407E4-3400-4D89-8FED-88EC18A1E12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183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3905.03</v>
      </c>
      <c r="D6" s="13">
        <f>Income_Statement!D5</f>
        <v>3642.19</v>
      </c>
      <c r="E6" s="13">
        <f>Income_Statement!E5</f>
        <v>3052.94</v>
      </c>
      <c r="F6" s="13">
        <f>Income_Statement!F5</f>
        <v>2544.39</v>
      </c>
      <c r="G6" s="13">
        <f>Income_Statement!G5</f>
        <v>4422.6099999999997</v>
      </c>
    </row>
    <row r="7" spans="2:15" ht="18.75" x14ac:dyDescent="0.25">
      <c r="B7" s="12" t="str">
        <f>Balance_Sheet!B66</f>
        <v>Inventories</v>
      </c>
      <c r="C7" s="13">
        <f>Balance_Sheet!C66</f>
        <v>559.4</v>
      </c>
      <c r="D7" s="13">
        <f>Balance_Sheet!D66</f>
        <v>566.15</v>
      </c>
      <c r="E7" s="13">
        <f>Balance_Sheet!E66</f>
        <v>553.86</v>
      </c>
      <c r="F7" s="13">
        <f>Balance_Sheet!F66</f>
        <v>485.27</v>
      </c>
      <c r="G7" s="13">
        <f>Balance_Sheet!G66</f>
        <v>564.65</v>
      </c>
    </row>
    <row r="8" spans="2:15" ht="18.75" x14ac:dyDescent="0.25">
      <c r="B8" s="14" t="s">
        <v>184</v>
      </c>
      <c r="C8" s="14">
        <f>ROUND(C6/C7, 2)</f>
        <v>6.98</v>
      </c>
      <c r="D8" s="14">
        <f t="shared" ref="D8:G8" si="0">ROUND(D6/D7, 2)</f>
        <v>6.43</v>
      </c>
      <c r="E8" s="14">
        <f t="shared" si="0"/>
        <v>5.51</v>
      </c>
      <c r="F8" s="14">
        <f t="shared" si="0"/>
        <v>5.24</v>
      </c>
      <c r="G8" s="14">
        <f t="shared" si="0"/>
        <v>7.83</v>
      </c>
    </row>
  </sheetData>
  <mergeCells count="1">
    <mergeCell ref="B5:G5"/>
  </mergeCells>
  <hyperlinks>
    <hyperlink ref="F1" location="Index_Data!A1" tooltip="Hi click here To return Index page" display="Index_Data!A1" xr:uid="{04F77CDB-BD25-4449-832A-DC9229E0A97F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4B4FD-D58C-4D1A-A4C3-1FB51F4D98A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3905.03</v>
      </c>
      <c r="D6" s="13">
        <f>Income_Statement!D5</f>
        <v>3642.19</v>
      </c>
      <c r="E6" s="13">
        <f>Income_Statement!E5</f>
        <v>3052.94</v>
      </c>
      <c r="F6" s="13">
        <f>Income_Statement!F5</f>
        <v>2544.39</v>
      </c>
      <c r="G6" s="13">
        <f>Income_Statement!G5</f>
        <v>4422.6099999999997</v>
      </c>
    </row>
    <row r="7" spans="2:15" ht="18.75" x14ac:dyDescent="0.25">
      <c r="B7" s="12" t="str">
        <f>Balance_Sheet!B68</f>
        <v>Trade Receivables</v>
      </c>
      <c r="C7" s="13">
        <f>Balance_Sheet!C68</f>
        <v>924.85</v>
      </c>
      <c r="D7" s="13">
        <f>Balance_Sheet!D68</f>
        <v>765.39</v>
      </c>
      <c r="E7" s="13">
        <f>Balance_Sheet!E68</f>
        <v>667.11</v>
      </c>
      <c r="F7" s="13">
        <f>Balance_Sheet!F68</f>
        <v>806.45</v>
      </c>
      <c r="G7" s="13">
        <f>Balance_Sheet!G68</f>
        <v>1048.01</v>
      </c>
    </row>
    <row r="8" spans="2:15" ht="18.75" x14ac:dyDescent="0.25">
      <c r="B8" s="14" t="s">
        <v>186</v>
      </c>
      <c r="C8" s="14">
        <f>ROUND(C6/C7, 2)</f>
        <v>4.22</v>
      </c>
      <c r="D8" s="14">
        <f t="shared" ref="D8:G8" si="0">ROUND(D6/D7, 2)</f>
        <v>4.76</v>
      </c>
      <c r="E8" s="14">
        <f t="shared" si="0"/>
        <v>4.58</v>
      </c>
      <c r="F8" s="14">
        <f t="shared" si="0"/>
        <v>3.16</v>
      </c>
      <c r="G8" s="14">
        <f t="shared" si="0"/>
        <v>4.22</v>
      </c>
    </row>
  </sheetData>
  <mergeCells count="1">
    <mergeCell ref="B5:G5"/>
  </mergeCells>
  <hyperlinks>
    <hyperlink ref="F1" location="Index_Data!A1" tooltip="Hi click here To return Index page" display="Index_Data!A1" xr:uid="{1EBBA5DD-6E81-49B3-990D-311A4A06BAA3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2A6CD-7F10-45CB-B16B-9195EA69D3A2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3905.03</v>
      </c>
      <c r="D6" s="13">
        <f>Income_Statement!D5</f>
        <v>3642.19</v>
      </c>
      <c r="E6" s="13">
        <f>Income_Statement!E5</f>
        <v>3052.94</v>
      </c>
      <c r="F6" s="13">
        <f>Income_Statement!F5</f>
        <v>2544.39</v>
      </c>
      <c r="G6" s="13">
        <f>Income_Statement!G5</f>
        <v>4422.6099999999997</v>
      </c>
    </row>
    <row r="7" spans="2:15" ht="18.75" x14ac:dyDescent="0.25">
      <c r="B7" s="12" t="str">
        <f>Balance_Sheet!B40</f>
        <v>Tangible Assets</v>
      </c>
      <c r="C7" s="13">
        <f>Balance_Sheet!C40</f>
        <v>291.19</v>
      </c>
      <c r="D7" s="13">
        <f>Balance_Sheet!D40</f>
        <v>278.81</v>
      </c>
      <c r="E7" s="13">
        <f>Balance_Sheet!E40</f>
        <v>267.35000000000002</v>
      </c>
      <c r="F7" s="13">
        <f>Balance_Sheet!F40</f>
        <v>253.03</v>
      </c>
      <c r="G7" s="13">
        <f>Balance_Sheet!G40</f>
        <v>227.88</v>
      </c>
    </row>
    <row r="8" spans="2:15" ht="18.75" x14ac:dyDescent="0.25">
      <c r="B8" s="14" t="s">
        <v>188</v>
      </c>
      <c r="C8" s="14">
        <f>ROUND(C6/C7, 2)</f>
        <v>13.41</v>
      </c>
      <c r="D8" s="14">
        <f t="shared" ref="D8:G8" si="0">ROUND(D6/D7, 2)</f>
        <v>13.06</v>
      </c>
      <c r="E8" s="14">
        <f t="shared" si="0"/>
        <v>11.42</v>
      </c>
      <c r="F8" s="14">
        <f t="shared" si="0"/>
        <v>10.06</v>
      </c>
      <c r="G8" s="14">
        <f t="shared" si="0"/>
        <v>19.41</v>
      </c>
    </row>
  </sheetData>
  <mergeCells count="1">
    <mergeCell ref="B5:G5"/>
  </mergeCells>
  <hyperlinks>
    <hyperlink ref="F1" location="Index_Data!A1" tooltip="Hi click here To return Index page" display="Index_Data!A1" xr:uid="{F8169729-E808-4270-807A-41B11B96E936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E7F30-A3CD-4329-B0B9-8D010E682226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5" width="11.5703125" bestFit="1" customWidth="1"/>
    <col min="6" max="6" width="10" bestFit="1" customWidth="1"/>
    <col min="7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189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2073.46</v>
      </c>
      <c r="D6" s="13">
        <f>Income_Statement!D17</f>
        <v>1780.46</v>
      </c>
      <c r="E6" s="13">
        <f>Income_Statement!E17</f>
        <v>1207.0999999999999</v>
      </c>
      <c r="F6" s="13">
        <f>Income_Statement!F17</f>
        <v>741.5</v>
      </c>
      <c r="G6" s="13">
        <f>Income_Statement!G17</f>
        <v>3844.36</v>
      </c>
    </row>
    <row r="7" spans="2:15" ht="18.75" x14ac:dyDescent="0.25">
      <c r="B7" s="12" t="str">
        <f>Balance_Sheet!B33</f>
        <v>Total Current Liabilities</v>
      </c>
      <c r="C7" s="13">
        <f>Balance_Sheet!C33</f>
        <v>441.51</v>
      </c>
      <c r="D7" s="13">
        <f>Balance_Sheet!D33</f>
        <v>246.41</v>
      </c>
      <c r="E7" s="13">
        <f>Balance_Sheet!E33</f>
        <v>158.06</v>
      </c>
      <c r="F7" s="13">
        <f>Balance_Sheet!F33</f>
        <v>252.16000000000003</v>
      </c>
      <c r="G7" s="13">
        <f>Balance_Sheet!G33</f>
        <v>396.96000000000004</v>
      </c>
    </row>
    <row r="8" spans="2:15" ht="18.75" x14ac:dyDescent="0.25">
      <c r="B8" s="14" t="s">
        <v>190</v>
      </c>
      <c r="C8" s="14">
        <f>ROUND(C6/C7, 2)</f>
        <v>4.7</v>
      </c>
      <c r="D8" s="14">
        <f t="shared" ref="D8:G8" si="0">ROUND(D6/D7, 2)</f>
        <v>7.23</v>
      </c>
      <c r="E8" s="14">
        <f t="shared" si="0"/>
        <v>7.64</v>
      </c>
      <c r="F8" s="14">
        <f t="shared" si="0"/>
        <v>2.94</v>
      </c>
      <c r="G8" s="14">
        <f t="shared" si="0"/>
        <v>9.68</v>
      </c>
    </row>
  </sheetData>
  <mergeCells count="1">
    <mergeCell ref="B5:G5"/>
  </mergeCells>
  <hyperlinks>
    <hyperlink ref="F1" location="Index_Data!A1" tooltip="Hi click here To return Index page" display="Index_Data!A1" xr:uid="{1A3612D9-26F2-4B86-AB82-C8DF9365C813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C66A7-BDF9-4F3C-9CD6-E24B39059A06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7" t="s">
        <v>270</v>
      </c>
    </row>
    <row r="2" spans="1:1" x14ac:dyDescent="0.25">
      <c r="A2" s="47" t="s">
        <v>272</v>
      </c>
    </row>
    <row r="3" spans="1:1" x14ac:dyDescent="0.25">
      <c r="A3" s="48"/>
    </row>
    <row r="4" spans="1:1" x14ac:dyDescent="0.25">
      <c r="A4" s="47" t="s">
        <v>120</v>
      </c>
    </row>
    <row r="5" spans="1:1" x14ac:dyDescent="0.25">
      <c r="A5" s="47" t="s">
        <v>128</v>
      </c>
    </row>
    <row r="6" spans="1:1" x14ac:dyDescent="0.25">
      <c r="A6" s="47" t="s">
        <v>143</v>
      </c>
    </row>
    <row r="7" spans="1:1" x14ac:dyDescent="0.25">
      <c r="A7" s="47" t="s">
        <v>273</v>
      </c>
    </row>
    <row r="8" spans="1:1" x14ac:dyDescent="0.25">
      <c r="A8" s="47" t="s">
        <v>146</v>
      </c>
    </row>
    <row r="9" spans="1:1" x14ac:dyDescent="0.25">
      <c r="A9" s="47" t="s">
        <v>148</v>
      </c>
    </row>
    <row r="10" spans="1:1" x14ac:dyDescent="0.25">
      <c r="A10" s="47" t="s">
        <v>150</v>
      </c>
    </row>
    <row r="11" spans="1:1" x14ac:dyDescent="0.25">
      <c r="A11" s="47" t="s">
        <v>152</v>
      </c>
    </row>
    <row r="12" spans="1:1" x14ac:dyDescent="0.25">
      <c r="A12" s="47" t="s">
        <v>155</v>
      </c>
    </row>
    <row r="13" spans="1:1" x14ac:dyDescent="0.25">
      <c r="A13" s="47" t="s">
        <v>157</v>
      </c>
    </row>
    <row r="14" spans="1:1" x14ac:dyDescent="0.25">
      <c r="A14" s="47" t="s">
        <v>159</v>
      </c>
    </row>
    <row r="15" spans="1:1" x14ac:dyDescent="0.25">
      <c r="A15" s="47" t="s">
        <v>161</v>
      </c>
    </row>
    <row r="16" spans="1:1" x14ac:dyDescent="0.25">
      <c r="A16" s="47" t="s">
        <v>163</v>
      </c>
    </row>
    <row r="17" spans="1:1" x14ac:dyDescent="0.25">
      <c r="A17" s="47" t="s">
        <v>165</v>
      </c>
    </row>
    <row r="18" spans="1:1" x14ac:dyDescent="0.25">
      <c r="A18" s="47" t="s">
        <v>167</v>
      </c>
    </row>
    <row r="19" spans="1:1" x14ac:dyDescent="0.25">
      <c r="A19" s="47" t="s">
        <v>169</v>
      </c>
    </row>
    <row r="20" spans="1:1" x14ac:dyDescent="0.25">
      <c r="A20" s="47" t="s">
        <v>171</v>
      </c>
    </row>
    <row r="21" spans="1:1" x14ac:dyDescent="0.25">
      <c r="A21" s="47" t="s">
        <v>173</v>
      </c>
    </row>
    <row r="22" spans="1:1" x14ac:dyDescent="0.25">
      <c r="A22" s="47" t="s">
        <v>175</v>
      </c>
    </row>
    <row r="23" spans="1:1" x14ac:dyDescent="0.25">
      <c r="A23" s="47" t="s">
        <v>177</v>
      </c>
    </row>
    <row r="24" spans="1:1" x14ac:dyDescent="0.25">
      <c r="A24" s="47" t="s">
        <v>180</v>
      </c>
    </row>
    <row r="25" spans="1:1" x14ac:dyDescent="0.25">
      <c r="A25" s="47" t="s">
        <v>182</v>
      </c>
    </row>
    <row r="26" spans="1:1" x14ac:dyDescent="0.25">
      <c r="A26" s="47" t="s">
        <v>184</v>
      </c>
    </row>
    <row r="27" spans="1:1" x14ac:dyDescent="0.25">
      <c r="A27" s="47" t="s">
        <v>186</v>
      </c>
    </row>
    <row r="28" spans="1:1" x14ac:dyDescent="0.25">
      <c r="A28" s="47" t="s">
        <v>188</v>
      </c>
    </row>
    <row r="29" spans="1:1" x14ac:dyDescent="0.25">
      <c r="A29" s="47" t="s">
        <v>190</v>
      </c>
    </row>
    <row r="30" spans="1:1" x14ac:dyDescent="0.25">
      <c r="A30" s="47" t="s">
        <v>192</v>
      </c>
    </row>
    <row r="31" spans="1:1" x14ac:dyDescent="0.25">
      <c r="A31" s="47" t="s">
        <v>194</v>
      </c>
    </row>
    <row r="32" spans="1:1" x14ac:dyDescent="0.25">
      <c r="A32" s="47" t="s">
        <v>196</v>
      </c>
    </row>
    <row r="33" spans="1:1" x14ac:dyDescent="0.25">
      <c r="A33" s="47" t="s">
        <v>198</v>
      </c>
    </row>
    <row r="34" spans="1:1" x14ac:dyDescent="0.25">
      <c r="A34" s="47" t="s">
        <v>201</v>
      </c>
    </row>
    <row r="35" spans="1:1" x14ac:dyDescent="0.25">
      <c r="A35" s="47" t="s">
        <v>274</v>
      </c>
    </row>
    <row r="36" spans="1:1" x14ac:dyDescent="0.25">
      <c r="A36" s="47" t="s">
        <v>275</v>
      </c>
    </row>
    <row r="37" spans="1:1" x14ac:dyDescent="0.25">
      <c r="A37" s="47" t="s">
        <v>276</v>
      </c>
    </row>
    <row r="38" spans="1:1" x14ac:dyDescent="0.25">
      <c r="A38" s="47" t="s">
        <v>278</v>
      </c>
    </row>
    <row r="39" spans="1:1" x14ac:dyDescent="0.25">
      <c r="A39" s="47" t="s">
        <v>279</v>
      </c>
    </row>
    <row r="40" spans="1:1" x14ac:dyDescent="0.25">
      <c r="A40" s="47" t="s">
        <v>280</v>
      </c>
    </row>
    <row r="41" spans="1:1" x14ac:dyDescent="0.25">
      <c r="A41" s="47" t="s">
        <v>281</v>
      </c>
    </row>
    <row r="42" spans="1:1" x14ac:dyDescent="0.25">
      <c r="A42" s="47" t="s">
        <v>282</v>
      </c>
    </row>
    <row r="43" spans="1:1" x14ac:dyDescent="0.25">
      <c r="A43" s="47" t="s">
        <v>283</v>
      </c>
    </row>
    <row r="44" spans="1:1" x14ac:dyDescent="0.25">
      <c r="A44" s="47" t="s">
        <v>284</v>
      </c>
    </row>
    <row r="45" spans="1:1" x14ac:dyDescent="0.25">
      <c r="A45" s="47" t="s">
        <v>277</v>
      </c>
    </row>
    <row r="46" spans="1:1" x14ac:dyDescent="0.25">
      <c r="A46" s="47" t="s">
        <v>285</v>
      </c>
    </row>
    <row r="47" spans="1:1" x14ac:dyDescent="0.25">
      <c r="A47" s="47" t="s">
        <v>286</v>
      </c>
    </row>
    <row r="48" spans="1:1" x14ac:dyDescent="0.25">
      <c r="A48" s="47" t="s">
        <v>287</v>
      </c>
    </row>
  </sheetData>
  <hyperlinks>
    <hyperlink ref="A1" location="BSInput!A1" tooltip="Hi click here to view the sheet" display="BSInput!A1" xr:uid="{9260C90E-2CE5-4B2E-9E07-80CA3CD11E0D}"/>
    <hyperlink ref="A2" location="ISMInput!A1" tooltip="Hi click here to view the sheet" display="ISMInput!A1" xr:uid="{48448E57-0DB7-47FC-A081-0515E1EB56D8}"/>
    <hyperlink ref="A4" location="Income_Statement!A1" tooltip="Hi click here to view the sheet" display="Income_Statement!A1" xr:uid="{1CD2BABE-73DD-44AD-B26D-95E598EB2CBA}"/>
    <hyperlink ref="A5" location="Balance_Sheet!A1" tooltip="Hi click here to view the sheet" display="Balance_Sheet!A1" xr:uid="{69F8A9ED-00E1-408A-8447-D3C94FE57A8C}"/>
    <hyperlink ref="A6" location="CashFlow_Statement!A1" tooltip="Hi click here to view the sheet" display="CashFlow_Statement!A1" xr:uid="{08DF314B-15FD-479C-9012-81F28F554813}"/>
    <hyperlink ref="A7" location="Ratios!A1" tooltip="Hi click here to view the sheet" display="Ratios!A1" xr:uid="{7BCC5FE7-84BB-4F04-84D8-A6DD4315B397}"/>
    <hyperlink ref="A8" location="Earning__Per_Share!A1" tooltip="Hi click here to view the sheet" display="Earning__Per_Share!A1" xr:uid="{CE22E131-3AFD-41C7-94F4-F7EAA462130E}"/>
    <hyperlink ref="A9" location="Equity_Dividend_Per_Share!A1" tooltip="Hi click here to view the sheet" display="Equity_Dividend_Per_Share!A1" xr:uid="{2CC85B50-6F8E-4686-8243-826194DB8C2A}"/>
    <hyperlink ref="A10" location="Book_Value__Per_Share!A1" tooltip="Hi click here to view the sheet" display="Book_Value__Per_Share!A1" xr:uid="{F1E5E5B5-260E-4A8E-934B-C9E375A79E6D}"/>
    <hyperlink ref="A11" location="Dividend_Pay_Out_Ratio!A1" tooltip="Hi click here to view the sheet" display="Dividend_Pay_Out_Ratio!A1" xr:uid="{3D0360DD-4335-475C-9BF3-9B7D681A86F5}"/>
    <hyperlink ref="A12" location="Dividend_Retention_Ratio!A1" tooltip="Hi click here to view the sheet" display="Dividend_Retention_Ratio!A1" xr:uid="{4341BED6-2553-42E0-9A6D-610D5FD7BE70}"/>
    <hyperlink ref="A13" location="Gross_Profit!A1" tooltip="Hi click here to view the sheet" display="Gross_Profit!A1" xr:uid="{5E5968BB-EC52-4F15-B821-7FB7339A843D}"/>
    <hyperlink ref="A14" location="Net_Profit!A1" tooltip="Hi click here to view the sheet" display="Net_Profit!A1" xr:uid="{4F912DBA-54C6-46E3-AE3C-CB5456599E73}"/>
    <hyperlink ref="A15" location="Return_On_Assets!A1" tooltip="Hi click here to view the sheet" display="Return_On_Assets!A1" xr:uid="{4D7DA3D2-7AB9-4335-A03E-3C8D3FBC9BE7}"/>
    <hyperlink ref="A16" location="Return_On_Capital_Employeed!A1" tooltip="Hi click here to view the sheet" display="Return_On_Capital_Employeed!A1" xr:uid="{C4227982-3823-4E35-BED4-DBC4DFE826EA}"/>
    <hyperlink ref="A17" location="Return_On_Equity!A1" tooltip="Hi click here to view the sheet" display="Return_On_Equity!A1" xr:uid="{E620BAB1-DF7F-4255-83E1-58974AFB5954}"/>
    <hyperlink ref="A18" location="Debt_Equity_Ratio!A1" tooltip="Hi click here to view the sheet" display="Debt_Equity_Ratio!A1" xr:uid="{55206ECE-1430-4783-B721-3E73CDF7C7A5}"/>
    <hyperlink ref="A19" location="Current_Ratio!A1" tooltip="Hi click here to view the sheet" display="Current_Ratio!A1" xr:uid="{84E37D67-0277-483D-AD9A-54E8A7CBBE40}"/>
    <hyperlink ref="A20" location="Quick_Ratio!A1" tooltip="Hi click here to view the sheet" display="Quick_Ratio!A1" xr:uid="{C9E4F817-9E6D-4A59-A1A8-1ACC288E9FC1}"/>
    <hyperlink ref="A21" location="Interest_Coverage_Ratio!A1" tooltip="Hi click here to view the sheet" display="Interest_Coverage_Ratio!A1" xr:uid="{73D74FCB-6F7C-41E5-A6F7-F32FFAFCE3E4}"/>
    <hyperlink ref="A22" location="Material_Consumed!A1" tooltip="Hi click here to view the sheet" display="Material_Consumed!A1" xr:uid="{2F26C091-7871-40F8-BA55-B797CA4CC78E}"/>
    <hyperlink ref="A23" location="Defensive_Interval_Ratio!A1" tooltip="Hi click here to view the sheet" display="Defensive_Interval_Ratio!A1" xr:uid="{F8AFA756-3532-4664-98F4-16909364DF2C}"/>
    <hyperlink ref="A24" location="Purchases_Per_Day!A1" tooltip="Hi click here to view the sheet" display="Purchases_Per_Day!A1" xr:uid="{93C26493-DDE1-4039-BB4A-310E5D80F419}"/>
    <hyperlink ref="A25" location="Asset_TurnOver_Ratio!A1" tooltip="Hi click here to view the sheet" display="Asset_TurnOver_Ratio!A1" xr:uid="{744F8770-3BB5-40D5-9411-1854827F20CC}"/>
    <hyperlink ref="A26" location="Inventory_TurnOver_Ratio!A1" tooltip="Hi click here to view the sheet" display="Inventory_TurnOver_Ratio!A1" xr:uid="{0CD5F683-EC65-4356-81F6-14F8144EE2C3}"/>
    <hyperlink ref="A27" location="Debtors_TurnOver_Ratio!A1" tooltip="Hi click here to view the sheet" display="Debtors_TurnOver_Ratio!A1" xr:uid="{63859AC9-6DAD-4DF2-9A6C-5F8F162AE108}"/>
    <hyperlink ref="A28" location="Fixed_Assets_TurnOver_Ratio!A1" tooltip="Hi click here to view the sheet" display="Fixed_Assets_TurnOver_Ratio!A1" xr:uid="{17DAE479-84DC-4AFF-9484-F91C6AAA0F7B}"/>
    <hyperlink ref="A29" location="Payable_TurnOver_Ratio!A1" tooltip="Hi click here to view the sheet" display="Payable_TurnOver_Ratio!A1" xr:uid="{5949E888-EC01-41A5-9F3A-FDE1E4919A96}"/>
    <hyperlink ref="A30" location="Inventory_Days!A1" tooltip="Hi click here to view the sheet" display="Inventory_Days!A1" xr:uid="{B210B782-9C7F-4A6E-8F0D-B9DFB98D09BC}"/>
    <hyperlink ref="A31" location="Payable_Days!A1" tooltip="Hi click here to view the sheet" display="Payable_Days!A1" xr:uid="{7605B676-BC42-4BD1-A994-62B4F45F88EE}"/>
    <hyperlink ref="A32" location="Receivable_Days!A1" tooltip="Hi click here to view the sheet" display="Receivable_Days!A1" xr:uid="{6DAB6FA3-EBD5-4834-A71D-5E4A9E9F1877}"/>
    <hyperlink ref="A33" location="Operating_Cycle!A1" tooltip="Hi click here to view the sheet" display="Operating_Cycle!A1" xr:uid="{A86D9FF1-BAE6-4E1A-8131-4B300BBC7585}"/>
    <hyperlink ref="A34" location="Cash_Conversion_Cycle_Days!A1" tooltip="Hi click here to view the sheet" display="Cash_Conversion_Cycle_Days!A1" xr:uid="{DD7ECDD4-A926-4C6B-B24A-ECF5795713F5}"/>
    <hyperlink ref="A35" location="NetWorthVsTotalLiabilties!A1" tooltip="Hi click here to view the sheet" display="NetWorthVsTotalLiabilties!A1" xr:uid="{D7C63213-E1E2-4CD7-9C69-53596148D71C}"/>
    <hyperlink ref="A36" location="PBDITvsPBIT!A1" tooltip="Hi click here to view the sheet" display="PBDITvsPBIT!A1" xr:uid="{419E08FB-A43C-4C34-8438-A3FCDE9981B4}"/>
    <hyperlink ref="A37" location="CAvsCL!A1" tooltip="Hi click here to view the sheet" display="CAvsCL!A1" xr:uid="{44815F14-C7D7-4A4F-BBA6-DA141A055B79}"/>
    <hyperlink ref="A38" location="Long_And_Short_Term_Provisions!A1" tooltip="Hi click here to view the sheet" display="Long_And_Short_Term_Provisions!A1" xr:uid="{FC43E725-19EC-4351-988A-46E64F6EC25A}"/>
    <hyperlink ref="A39" location="MaterialConsumed_DirectExpenses!A1" tooltip="Hi click here to view the sheet" display="MaterialConsumed_DirectExpenses!A1" xr:uid="{E639DEB1-9269-4ACF-8EC0-3BCC43EFC539}"/>
    <hyperlink ref="A40" location="Gross_Sales_In_Total_Income!A1" tooltip="Hi click here to view the sheet" display="Gross_Sales_In_Total_Income!A1" xr:uid="{EED872EB-702F-4FC9-BB29-9DABA5F85FCB}"/>
    <hyperlink ref="A41" location="Total_Debt_In_Liabilities!A1" tooltip="Hi click here to view the sheet" display="Total_Debt_In_Liabilities!A1" xr:uid="{4BF4315F-B186-4176-BD6F-D73135C69244}"/>
    <hyperlink ref="A42" location="Total_CL_In_Liabilities!A1" tooltip="Hi click here to view the sheet" display="Total_CL_In_Liabilities!A1" xr:uid="{C5380601-CCB4-4E9B-A65C-2B8ADA52252F}"/>
    <hyperlink ref="A43" location="Total_NCA_In_Assets!A1" tooltip="Hi click here to view the sheet" display="Total_NCA_In_Assets!A1" xr:uid="{078D45E3-E650-4C4E-9B03-43445A572CA1}"/>
    <hyperlink ref="A44" location="Total_CA_In_Assets!A1" tooltip="Hi click here to view the sheet" display="Total_CA_In_Assets!A1" xr:uid="{EBC5092B-C4CC-4274-BB20-3AC841215D68}"/>
    <hyperlink ref="A45" location="TotalExpenditureVsTotalIncome!A1" tooltip="Hi click here to view the sheet" display="TotalExpenditureVsTotalIncome!A1" xr:uid="{4A846DB4-F1B5-40C9-B8DA-306BC203534F}"/>
    <hyperlink ref="A46" location="Net_Profit_CF_To_Balance_Sheet!A1" tooltip="Hi click here to view the sheet" display="Net_Profit_CF_To_Balance_Sheet!A1" xr:uid="{A1FE3F72-DB9E-4FA6-A437-685860ABD1D5}"/>
    <hyperlink ref="A47" location="BS_Backup!A1" tooltip="Hi click here to view the sheet" display="BS_Backup!A1" xr:uid="{A5C3F664-0AF9-4661-A290-6CC6EF91995D}"/>
    <hyperlink ref="A48" location="ISM_Backup!A1" tooltip="Hi click here to view the sheet" display="ISM_Backup!A1" xr:uid="{BB991F32-531A-4DA7-AED5-474305E5B8B9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218A8-5240-4D2A-8367-E5B3E028B2D7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3905.03</v>
      </c>
      <c r="D6" s="13">
        <f>Income_Statement!D5</f>
        <v>3642.19</v>
      </c>
      <c r="E6" s="13">
        <f>Income_Statement!E5</f>
        <v>3052.94</v>
      </c>
      <c r="F6" s="13">
        <f>Income_Statement!F5</f>
        <v>2544.39</v>
      </c>
      <c r="G6" s="13">
        <f>Income_Statement!G5</f>
        <v>4422.6099999999997</v>
      </c>
    </row>
    <row r="7" spans="2:15" ht="18.75" x14ac:dyDescent="0.25">
      <c r="B7" s="12" t="str">
        <f>Balance_Sheet!B66</f>
        <v>Inventories</v>
      </c>
      <c r="C7" s="13">
        <f>Balance_Sheet!C66</f>
        <v>559.4</v>
      </c>
      <c r="D7" s="13">
        <f>Balance_Sheet!D66</f>
        <v>566.15</v>
      </c>
      <c r="E7" s="13">
        <f>Balance_Sheet!E66</f>
        <v>553.86</v>
      </c>
      <c r="F7" s="13">
        <f>Balance_Sheet!F66</f>
        <v>485.27</v>
      </c>
      <c r="G7" s="13">
        <f>Balance_Sheet!G66</f>
        <v>564.65</v>
      </c>
    </row>
    <row r="8" spans="2:15" ht="18.75" x14ac:dyDescent="0.25">
      <c r="B8" s="14" t="s">
        <v>192</v>
      </c>
      <c r="C8" s="14">
        <f>ROUND(365/C6*C7, 2)</f>
        <v>52.29</v>
      </c>
      <c r="D8" s="14">
        <f t="shared" ref="D8:G8" si="0">ROUND(365/D6*D7, 2)</f>
        <v>56.74</v>
      </c>
      <c r="E8" s="14">
        <f t="shared" si="0"/>
        <v>66.22</v>
      </c>
      <c r="F8" s="14">
        <f t="shared" si="0"/>
        <v>69.61</v>
      </c>
      <c r="G8" s="14">
        <f t="shared" si="0"/>
        <v>46.6</v>
      </c>
    </row>
  </sheetData>
  <mergeCells count="1">
    <mergeCell ref="B5:G5"/>
  </mergeCells>
  <hyperlinks>
    <hyperlink ref="F1" location="Index_Data!A1" tooltip="Hi click here To return Index page" display="Index_Data!A1" xr:uid="{A861FFE9-2007-489B-9304-7D5FEC9DB6CC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C0311-1834-4591-BE1B-1E7F7EEE44D8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5" width="11.5703125" bestFit="1" customWidth="1"/>
    <col min="6" max="6" width="10.7109375" bestFit="1" customWidth="1"/>
    <col min="7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193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2073.46</v>
      </c>
      <c r="D6" s="13">
        <f>Income_Statement!D17</f>
        <v>1780.46</v>
      </c>
      <c r="E6" s="13">
        <f>Income_Statement!E17</f>
        <v>1207.0999999999999</v>
      </c>
      <c r="F6" s="13">
        <f>Income_Statement!F17</f>
        <v>741.5</v>
      </c>
      <c r="G6" s="13">
        <f>Income_Statement!G17</f>
        <v>3844.36</v>
      </c>
    </row>
    <row r="7" spans="2:15" ht="18.75" x14ac:dyDescent="0.25">
      <c r="B7" s="12" t="str">
        <f>Balance_Sheet!B33</f>
        <v>Total Current Liabilities</v>
      </c>
      <c r="C7" s="13">
        <f>Balance_Sheet!C33</f>
        <v>441.51</v>
      </c>
      <c r="D7" s="13">
        <f>Balance_Sheet!D33</f>
        <v>246.41</v>
      </c>
      <c r="E7" s="13">
        <f>Balance_Sheet!E33</f>
        <v>158.06</v>
      </c>
      <c r="F7" s="13">
        <f>Balance_Sheet!F33</f>
        <v>252.16000000000003</v>
      </c>
      <c r="G7" s="13">
        <f>Balance_Sheet!G33</f>
        <v>396.96000000000004</v>
      </c>
    </row>
    <row r="8" spans="2:15" ht="18.75" x14ac:dyDescent="0.25">
      <c r="B8" s="14" t="s">
        <v>194</v>
      </c>
      <c r="C8" s="14">
        <f>ROUND(365/C6*C7, 2)</f>
        <v>77.72</v>
      </c>
      <c r="D8" s="14">
        <f t="shared" ref="D8:G8" si="0">ROUND(365/D6*D7, 2)</f>
        <v>50.51</v>
      </c>
      <c r="E8" s="14">
        <f t="shared" si="0"/>
        <v>47.79</v>
      </c>
      <c r="F8" s="14">
        <f t="shared" si="0"/>
        <v>124.12</v>
      </c>
      <c r="G8" s="14">
        <f t="shared" si="0"/>
        <v>37.69</v>
      </c>
    </row>
  </sheetData>
  <mergeCells count="1">
    <mergeCell ref="B5:G5"/>
  </mergeCells>
  <hyperlinks>
    <hyperlink ref="F1" location="Index_Data!A1" tooltip="Hi click here To return Index page" display="Index_Data!A1" xr:uid="{8D32250C-0E3C-4BE3-9A03-E1EA610C287D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FB5FB-28F4-42E2-88FF-F9B76C27271A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3905.03</v>
      </c>
      <c r="D6" s="13">
        <f>Income_Statement!D5</f>
        <v>3642.19</v>
      </c>
      <c r="E6" s="13">
        <f>Income_Statement!E5</f>
        <v>3052.94</v>
      </c>
      <c r="F6" s="13">
        <f>Income_Statement!F5</f>
        <v>2544.39</v>
      </c>
      <c r="G6" s="13">
        <f>Income_Statement!G5</f>
        <v>4422.6099999999997</v>
      </c>
    </row>
    <row r="7" spans="2:15" ht="18.75" x14ac:dyDescent="0.25">
      <c r="B7" s="12" t="str">
        <f>Balance_Sheet!B68</f>
        <v>Trade Receivables</v>
      </c>
      <c r="C7" s="13">
        <f>Balance_Sheet!C68</f>
        <v>924.85</v>
      </c>
      <c r="D7" s="13">
        <f>Balance_Sheet!D68</f>
        <v>765.39</v>
      </c>
      <c r="E7" s="13">
        <f>Balance_Sheet!E68</f>
        <v>667.11</v>
      </c>
      <c r="F7" s="13">
        <f>Balance_Sheet!F68</f>
        <v>806.45</v>
      </c>
      <c r="G7" s="13">
        <f>Balance_Sheet!G68</f>
        <v>1048.01</v>
      </c>
    </row>
    <row r="8" spans="2:15" ht="18.75" x14ac:dyDescent="0.25">
      <c r="B8" s="14" t="s">
        <v>196</v>
      </c>
      <c r="C8" s="14">
        <f>ROUND(365/C6*C7, 2)</f>
        <v>86.44</v>
      </c>
      <c r="D8" s="14">
        <f t="shared" ref="D8:G8" si="0">ROUND(365/D6*D7, 2)</f>
        <v>76.7</v>
      </c>
      <c r="E8" s="14">
        <f t="shared" si="0"/>
        <v>79.760000000000005</v>
      </c>
      <c r="F8" s="14">
        <f t="shared" si="0"/>
        <v>115.69</v>
      </c>
      <c r="G8" s="14">
        <f t="shared" si="0"/>
        <v>86.49</v>
      </c>
    </row>
  </sheetData>
  <mergeCells count="1">
    <mergeCell ref="B5:G5"/>
  </mergeCells>
  <hyperlinks>
    <hyperlink ref="F1" location="Index_Data!A1" tooltip="Hi click here To return Index page" display="Index_Data!A1" xr:uid="{B97EE7B9-4683-47A2-8265-87B103DCE33D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97A26-678B-4823-A1DE-F1DA84651D4D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3905.03</v>
      </c>
      <c r="D6" s="13">
        <f>Income_Statement!D5</f>
        <v>3642.19</v>
      </c>
      <c r="E6" s="13">
        <f>Income_Statement!E5</f>
        <v>3052.94</v>
      </c>
      <c r="F6" s="13">
        <f>Income_Statement!F5</f>
        <v>2544.39</v>
      </c>
      <c r="G6" s="13">
        <f>Income_Statement!G5</f>
        <v>4422.6099999999997</v>
      </c>
    </row>
    <row r="7" spans="2:15" ht="18.75" x14ac:dyDescent="0.25">
      <c r="B7" s="12" t="str">
        <f>Balance_Sheet!B66</f>
        <v>Inventories</v>
      </c>
      <c r="C7" s="13">
        <f>Balance_Sheet!C66</f>
        <v>559.4</v>
      </c>
      <c r="D7" s="13">
        <f>Balance_Sheet!D66</f>
        <v>566.15</v>
      </c>
      <c r="E7" s="13">
        <f>Balance_Sheet!E66</f>
        <v>553.86</v>
      </c>
      <c r="F7" s="13">
        <f>Balance_Sheet!F66</f>
        <v>485.27</v>
      </c>
      <c r="G7" s="13">
        <f>Balance_Sheet!G66</f>
        <v>564.65</v>
      </c>
    </row>
    <row r="8" spans="2:15" ht="18.75" x14ac:dyDescent="0.25">
      <c r="B8" s="12" t="s">
        <v>192</v>
      </c>
      <c r="C8" s="13">
        <f>ROUND(365/C6*C7, 2)</f>
        <v>52.29</v>
      </c>
      <c r="D8" s="13">
        <f t="shared" ref="D8:G8" si="0">ROUND(365/D6*D7, 2)</f>
        <v>56.74</v>
      </c>
      <c r="E8" s="13">
        <f t="shared" si="0"/>
        <v>66.22</v>
      </c>
      <c r="F8" s="13">
        <f t="shared" si="0"/>
        <v>69.61</v>
      </c>
      <c r="G8" s="13">
        <f t="shared" si="0"/>
        <v>46.6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2073.46</v>
      </c>
      <c r="D9" s="13">
        <f>Income_Statement!D17</f>
        <v>1780.46</v>
      </c>
      <c r="E9" s="13">
        <f>Income_Statement!E17</f>
        <v>1207.0999999999999</v>
      </c>
      <c r="F9" s="13">
        <f>Income_Statement!F17</f>
        <v>741.5</v>
      </c>
      <c r="G9" s="13">
        <f>Income_Statement!G17</f>
        <v>3844.36</v>
      </c>
    </row>
    <row r="10" spans="2:15" ht="18.75" x14ac:dyDescent="0.25">
      <c r="B10" s="12" t="str">
        <f>Balance_Sheet!B33</f>
        <v>Total Current Liabilities</v>
      </c>
      <c r="C10" s="13">
        <f>Balance_Sheet!C33</f>
        <v>441.51</v>
      </c>
      <c r="D10" s="13">
        <f>Balance_Sheet!D33</f>
        <v>246.41</v>
      </c>
      <c r="E10" s="13">
        <f>Balance_Sheet!E33</f>
        <v>158.06</v>
      </c>
      <c r="F10" s="13">
        <f>Balance_Sheet!F33</f>
        <v>252.16000000000003</v>
      </c>
      <c r="G10" s="13">
        <f>Balance_Sheet!G33</f>
        <v>396.96000000000004</v>
      </c>
    </row>
    <row r="11" spans="2:15" ht="18.75" x14ac:dyDescent="0.25">
      <c r="B11" s="12" t="s">
        <v>194</v>
      </c>
      <c r="C11" s="13">
        <f>ROUND(365/C9*C10, 2)</f>
        <v>77.72</v>
      </c>
      <c r="D11" s="13">
        <f t="shared" ref="D11:G11" si="1">ROUND(365/D9*D10, 2)</f>
        <v>50.51</v>
      </c>
      <c r="E11" s="13">
        <f t="shared" si="1"/>
        <v>47.79</v>
      </c>
      <c r="F11" s="13">
        <f t="shared" si="1"/>
        <v>124.12</v>
      </c>
      <c r="G11" s="13">
        <f t="shared" si="1"/>
        <v>37.69</v>
      </c>
    </row>
    <row r="12" spans="2:15" ht="18.75" x14ac:dyDescent="0.25">
      <c r="B12" s="14" t="s">
        <v>198</v>
      </c>
      <c r="C12" s="16">
        <f>ROUND(C11+C8, 2)</f>
        <v>130.01</v>
      </c>
      <c r="D12" s="16">
        <f t="shared" ref="D12:G12" si="2">ROUND(D11+D8, 2)</f>
        <v>107.25</v>
      </c>
      <c r="E12" s="16">
        <f t="shared" si="2"/>
        <v>114.01</v>
      </c>
      <c r="F12" s="16">
        <f t="shared" si="2"/>
        <v>193.73</v>
      </c>
      <c r="G12" s="16">
        <f t="shared" si="2"/>
        <v>84.29</v>
      </c>
    </row>
  </sheetData>
  <mergeCells count="1">
    <mergeCell ref="B5:G5"/>
  </mergeCells>
  <hyperlinks>
    <hyperlink ref="F1" location="Index_Data!A1" tooltip="Hi click here To return Index page" display="Index_Data!A1" xr:uid="{C67A8A1C-42F2-4117-9314-30AAC402241D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80E73-3B07-4BC1-9AF6-B5FCFAFF22C4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199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3905.03</v>
      </c>
      <c r="D6" s="13">
        <f>Income_Statement!D5</f>
        <v>3642.19</v>
      </c>
      <c r="E6" s="13">
        <f>Income_Statement!E5</f>
        <v>3052.94</v>
      </c>
      <c r="F6" s="13">
        <f>Income_Statement!F5</f>
        <v>2544.39</v>
      </c>
      <c r="G6" s="13">
        <f>Income_Statement!G5</f>
        <v>4422.6099999999997</v>
      </c>
    </row>
    <row r="7" spans="2:15" ht="18.75" x14ac:dyDescent="0.25">
      <c r="B7" s="12" t="str">
        <f>Balance_Sheet!B66</f>
        <v>Inventories</v>
      </c>
      <c r="C7" s="13">
        <f>Balance_Sheet!C66</f>
        <v>559.4</v>
      </c>
      <c r="D7" s="13">
        <f>Balance_Sheet!D66</f>
        <v>566.15</v>
      </c>
      <c r="E7" s="13">
        <f>Balance_Sheet!E66</f>
        <v>553.86</v>
      </c>
      <c r="F7" s="13">
        <f>Balance_Sheet!F66</f>
        <v>485.27</v>
      </c>
      <c r="G7" s="13">
        <f>Balance_Sheet!G66</f>
        <v>564.65</v>
      </c>
    </row>
    <row r="8" spans="2:15" ht="18.75" x14ac:dyDescent="0.25">
      <c r="B8" s="12" t="s">
        <v>192</v>
      </c>
      <c r="C8" s="13">
        <f>ROUND(365/C6*C7, 2)</f>
        <v>52.29</v>
      </c>
      <c r="D8" s="13">
        <f t="shared" ref="D8:G8" si="0">ROUND(365/D6*D7, 2)</f>
        <v>56.74</v>
      </c>
      <c r="E8" s="13">
        <f t="shared" si="0"/>
        <v>66.22</v>
      </c>
      <c r="F8" s="13">
        <f t="shared" si="0"/>
        <v>69.61</v>
      </c>
      <c r="G8" s="13">
        <f t="shared" si="0"/>
        <v>46.6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2073.46</v>
      </c>
      <c r="D9" s="13">
        <f>Income_Statement!D17</f>
        <v>1780.46</v>
      </c>
      <c r="E9" s="13">
        <f>Income_Statement!E17</f>
        <v>1207.0999999999999</v>
      </c>
      <c r="F9" s="13">
        <f>Income_Statement!F17</f>
        <v>741.5</v>
      </c>
      <c r="G9" s="13">
        <f>Income_Statement!G17</f>
        <v>3844.36</v>
      </c>
    </row>
    <row r="10" spans="2:15" ht="18.75" x14ac:dyDescent="0.25">
      <c r="B10" s="12" t="str">
        <f>Balance_Sheet!B33</f>
        <v>Total Current Liabilities</v>
      </c>
      <c r="C10" s="13">
        <f>Balance_Sheet!C33</f>
        <v>441.51</v>
      </c>
      <c r="D10" s="13">
        <f>Balance_Sheet!D33</f>
        <v>246.41</v>
      </c>
      <c r="E10" s="13">
        <f>Balance_Sheet!E33</f>
        <v>158.06</v>
      </c>
      <c r="F10" s="13">
        <f>Balance_Sheet!F33</f>
        <v>252.16000000000003</v>
      </c>
      <c r="G10" s="13">
        <f>Balance_Sheet!G33</f>
        <v>396.96000000000004</v>
      </c>
    </row>
    <row r="11" spans="2:15" ht="18.75" x14ac:dyDescent="0.25">
      <c r="B11" s="12" t="s">
        <v>194</v>
      </c>
      <c r="C11" s="13">
        <f>ROUND(365/C9*C10, 2)</f>
        <v>77.72</v>
      </c>
      <c r="D11" s="13">
        <f t="shared" ref="D11:G11" si="1">ROUND(365/D9*D10, 2)</f>
        <v>50.51</v>
      </c>
      <c r="E11" s="13">
        <f t="shared" si="1"/>
        <v>47.79</v>
      </c>
      <c r="F11" s="13">
        <f t="shared" si="1"/>
        <v>124.12</v>
      </c>
      <c r="G11" s="13">
        <f t="shared" si="1"/>
        <v>37.69</v>
      </c>
    </row>
    <row r="12" spans="2:15" ht="18.75" x14ac:dyDescent="0.25">
      <c r="B12" s="12" t="s">
        <v>200</v>
      </c>
      <c r="C12" s="13">
        <f>ROUND(C11+C8, 2)</f>
        <v>130.01</v>
      </c>
      <c r="D12" s="13">
        <f t="shared" ref="D12:G12" si="2">ROUND(D11+D8, 2)</f>
        <v>107.25</v>
      </c>
      <c r="E12" s="13">
        <f t="shared" si="2"/>
        <v>114.01</v>
      </c>
      <c r="F12" s="13">
        <f t="shared" si="2"/>
        <v>193.73</v>
      </c>
      <c r="G12" s="13">
        <f t="shared" si="2"/>
        <v>84.29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2073.46</v>
      </c>
      <c r="D13" s="13">
        <f>Income_Statement!D17</f>
        <v>1780.46</v>
      </c>
      <c r="E13" s="13">
        <f>Income_Statement!E17</f>
        <v>1207.0999999999999</v>
      </c>
      <c r="F13" s="13">
        <f>Income_Statement!F17</f>
        <v>741.5</v>
      </c>
      <c r="G13" s="13">
        <f>Income_Statement!G17</f>
        <v>3844.36</v>
      </c>
    </row>
    <row r="14" spans="2:15" ht="18.75" x14ac:dyDescent="0.25">
      <c r="B14" s="12" t="str">
        <f>Balance_Sheet!B33</f>
        <v>Total Current Liabilities</v>
      </c>
      <c r="C14" s="13">
        <f>Balance_Sheet!C33</f>
        <v>441.51</v>
      </c>
      <c r="D14" s="13">
        <f>Balance_Sheet!D33</f>
        <v>246.41</v>
      </c>
      <c r="E14" s="13">
        <f>Balance_Sheet!E33</f>
        <v>158.06</v>
      </c>
      <c r="F14" s="13">
        <f>Balance_Sheet!F33</f>
        <v>252.16000000000003</v>
      </c>
      <c r="G14" s="13">
        <f>Balance_Sheet!G33</f>
        <v>396.96000000000004</v>
      </c>
    </row>
    <row r="15" spans="2:15" ht="18.75" x14ac:dyDescent="0.25">
      <c r="B15" s="12" t="s">
        <v>194</v>
      </c>
      <c r="C15" s="13">
        <f>ROUND(365/C13*C14, 2)</f>
        <v>77.72</v>
      </c>
      <c r="D15" s="13">
        <f t="shared" ref="D15:G15" si="3">ROUND(365/D13*D14, 2)</f>
        <v>50.51</v>
      </c>
      <c r="E15" s="13">
        <f t="shared" si="3"/>
        <v>47.79</v>
      </c>
      <c r="F15" s="13">
        <f t="shared" si="3"/>
        <v>124.12</v>
      </c>
      <c r="G15" s="13">
        <f t="shared" si="3"/>
        <v>37.69</v>
      </c>
    </row>
    <row r="16" spans="2:15" ht="18.75" x14ac:dyDescent="0.25">
      <c r="B16" s="14" t="s">
        <v>201</v>
      </c>
      <c r="C16" s="16">
        <f>ROUND(C15-C12, 2)</f>
        <v>-52.29</v>
      </c>
      <c r="D16" s="16">
        <f t="shared" ref="D16:G16" si="4">ROUND(D15-D12, 2)</f>
        <v>-56.74</v>
      </c>
      <c r="E16" s="16">
        <f t="shared" si="4"/>
        <v>-66.22</v>
      </c>
      <c r="F16" s="16">
        <f t="shared" si="4"/>
        <v>-69.61</v>
      </c>
      <c r="G16" s="16">
        <f t="shared" si="4"/>
        <v>-46.6</v>
      </c>
    </row>
  </sheetData>
  <mergeCells count="1">
    <mergeCell ref="B5:G5"/>
  </mergeCells>
  <hyperlinks>
    <hyperlink ref="F1" location="Index_Data!A1" tooltip="Hi click here To return Index page" display="Index_Data!A1" xr:uid="{1F1E157F-EAE9-4091-ACC6-473D6BFCB611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6265-5A8B-44E7-BE3B-D1A96F77943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983.81999999999994</v>
      </c>
      <c r="D5" s="13">
        <f>Balance_Sheet!D13</f>
        <v>2396.5312492483918</v>
      </c>
      <c r="E5" s="13">
        <f>Balance_Sheet!E13</f>
        <v>3774.4299717912518</v>
      </c>
      <c r="F5" s="13">
        <f>Balance_Sheet!F13</f>
        <v>5285.8169872252065</v>
      </c>
      <c r="G5" s="13">
        <f>Balance_Sheet!G13</f>
        <v>5348.7187486285402</v>
      </c>
    </row>
    <row r="6" spans="2:15" ht="18.75" x14ac:dyDescent="0.25">
      <c r="B6" s="12" t="str">
        <f>Balance_Sheet!B37</f>
        <v>Total Liabilities</v>
      </c>
      <c r="C6" s="13">
        <f>Balance_Sheet!C37</f>
        <v>2316.89</v>
      </c>
      <c r="D6" s="13">
        <f>Balance_Sheet!D37</f>
        <v>3381.9512492483918</v>
      </c>
      <c r="E6" s="13">
        <f>Balance_Sheet!E37</f>
        <v>4645.3299717912523</v>
      </c>
      <c r="F6" s="13">
        <f>Balance_Sheet!F37</f>
        <v>6120.2069872252059</v>
      </c>
      <c r="G6" s="13">
        <f>Balance_Sheet!G37</f>
        <v>6468.3587486285405</v>
      </c>
    </row>
  </sheetData>
  <hyperlinks>
    <hyperlink ref="F1" location="Index_Data!A1" tooltip="Hi click here To return Index page" display="Index_Data!A1" xr:uid="{9525CB16-2A17-4DFD-B204-782DF6F53737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6B709-0A97-4C3C-B3AE-4B2B7D61941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6" width="11.5703125" bestFit="1" customWidth="1"/>
    <col min="7" max="7" width="10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1460.9221075382266</v>
      </c>
      <c r="D5" s="13">
        <f>Income_Statement!D29</f>
        <v>1483.2512492483916</v>
      </c>
      <c r="E5" s="13">
        <f>Income_Statement!E29</f>
        <v>1430.5187225428604</v>
      </c>
      <c r="F5" s="13">
        <f>Income_Statement!F29</f>
        <v>1531.1770154339545</v>
      </c>
      <c r="G5" s="13">
        <f>Income_Statement!G29</f>
        <v>106.61176140333373</v>
      </c>
    </row>
    <row r="6" spans="2:15" ht="18.75" x14ac:dyDescent="0.25">
      <c r="B6" s="12" t="str">
        <f>Income_Statement!B33</f>
        <v>PBIT</v>
      </c>
      <c r="C6" s="13">
        <f>Income_Statement!C33</f>
        <v>1443.5221075382265</v>
      </c>
      <c r="D6" s="13">
        <f>Income_Statement!D33</f>
        <v>1466.0412492483915</v>
      </c>
      <c r="E6" s="13">
        <f>Income_Statement!E33</f>
        <v>1414.5487225428603</v>
      </c>
      <c r="F6" s="13">
        <f>Income_Statement!F33</f>
        <v>1516.3270154339546</v>
      </c>
      <c r="G6" s="13">
        <f>Income_Statement!G33</f>
        <v>92.561761403333733</v>
      </c>
    </row>
  </sheetData>
  <hyperlinks>
    <hyperlink ref="F1" location="Index_Data!A1" tooltip="Hi click here To return Index page" display="Index_Data!A1" xr:uid="{A7C890C8-5DB6-4A72-BCAC-E5F33AFA772E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5E035-414A-4342-914C-541598FB745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1960.58</v>
      </c>
      <c r="D5" s="13">
        <f>Balance_Sheet!D72</f>
        <v>3048.5712492483908</v>
      </c>
      <c r="E5" s="13">
        <f>Balance_Sheet!E72</f>
        <v>4344.7199717912517</v>
      </c>
      <c r="F5" s="13">
        <f>Balance_Sheet!F72</f>
        <v>5830.4669872252052</v>
      </c>
      <c r="G5" s="13">
        <f>Balance_Sheet!G72</f>
        <v>6219.4487486285398</v>
      </c>
    </row>
    <row r="6" spans="2:15" ht="18.75" x14ac:dyDescent="0.25">
      <c r="B6" s="12" t="str">
        <f>Balance_Sheet!B33</f>
        <v>Total Current Liabilities</v>
      </c>
      <c r="C6" s="13">
        <f>Balance_Sheet!C33</f>
        <v>441.51</v>
      </c>
      <c r="D6" s="13">
        <f>Balance_Sheet!D33</f>
        <v>246.41</v>
      </c>
      <c r="E6" s="13">
        <f>Balance_Sheet!E33</f>
        <v>158.06</v>
      </c>
      <c r="F6" s="13">
        <f>Balance_Sheet!F33</f>
        <v>252.16000000000003</v>
      </c>
      <c r="G6" s="13">
        <f>Balance_Sheet!G33</f>
        <v>396.96000000000004</v>
      </c>
    </row>
  </sheetData>
  <hyperlinks>
    <hyperlink ref="F1" location="Index_Data!A1" tooltip="Hi click here To return Index page" display="Index_Data!A1" xr:uid="{03CFD805-98C6-40EE-AE2E-1EAB3FC35311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CD93E-D861-46BA-BCDA-2E55D5F5DC6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5" width="8.140625" bestFit="1" customWidth="1"/>
    <col min="6" max="7" width="8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8.3800000000000008</v>
      </c>
      <c r="D5" s="13">
        <f>Balance_Sheet!D23</f>
        <v>8.92</v>
      </c>
      <c r="E5" s="13">
        <f>Balance_Sheet!E23</f>
        <v>7.31</v>
      </c>
      <c r="F5" s="13">
        <f>Balance_Sheet!F23</f>
        <v>12.71</v>
      </c>
      <c r="G5" s="13">
        <f>Balance_Sheet!G23</f>
        <v>13.6</v>
      </c>
    </row>
    <row r="6" spans="2:15" ht="18.75" x14ac:dyDescent="0.25">
      <c r="B6" s="12" t="str">
        <f>Balance_Sheet!B25</f>
        <v>Short Term Provisions</v>
      </c>
      <c r="C6" s="13">
        <f>Balance_Sheet!C25</f>
        <v>0</v>
      </c>
      <c r="D6" s="13">
        <f>Balance_Sheet!D25</f>
        <v>0</v>
      </c>
      <c r="E6" s="13">
        <f>Balance_Sheet!E25</f>
        <v>0</v>
      </c>
      <c r="F6" s="13">
        <f>Balance_Sheet!F25</f>
        <v>0</v>
      </c>
      <c r="G6" s="13">
        <f>Balance_Sheet!G25</f>
        <v>0</v>
      </c>
    </row>
  </sheetData>
  <hyperlinks>
    <hyperlink ref="F1" location="Index_Data!A1" tooltip="Hi click here To return Index page" display="Index_Data!A1" xr:uid="{5EF5E5BB-3FA7-43B1-915F-1DF464DD1196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F3D8C-B2A4-4DF0-B677-88675C3A689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5" width="11.5703125" bestFit="1" customWidth="1"/>
    <col min="6" max="6" width="10" bestFit="1" customWidth="1"/>
    <col min="7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2073.46</v>
      </c>
      <c r="D5" s="13">
        <f>Income_Statement!D17</f>
        <v>1780.46</v>
      </c>
      <c r="E5" s="13">
        <f>Income_Statement!E17</f>
        <v>1207.0999999999999</v>
      </c>
      <c r="F5" s="13">
        <f>Income_Statement!F17</f>
        <v>741.5</v>
      </c>
      <c r="G5" s="13">
        <f>Income_Statement!G17</f>
        <v>3844.36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243.01</v>
      </c>
      <c r="D6" s="13">
        <f>Income_Statement!D19</f>
        <v>260.26</v>
      </c>
      <c r="E6" s="13">
        <f>Income_Statement!E19</f>
        <v>292.81</v>
      </c>
      <c r="F6" s="13">
        <f>Income_Statement!F19</f>
        <v>198.24</v>
      </c>
      <c r="G6" s="13">
        <f>Income_Statement!G19</f>
        <v>0</v>
      </c>
    </row>
  </sheetData>
  <hyperlinks>
    <hyperlink ref="F1" location="Index_Data!A1" tooltip="Hi click here To return Index page" display="Index_Data!A1" xr:uid="{470574E5-AC1E-48C5-83DA-8FDE09E2B7CB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270FE-68B4-4FBA-ABE5-0275D5451538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7" width="18.85546875" bestFit="1" customWidth="1"/>
    <col min="8" max="12" width="19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3905.03</v>
      </c>
      <c r="D5" s="5">
        <v>3642.19</v>
      </c>
      <c r="E5" s="5">
        <v>3052.94</v>
      </c>
      <c r="F5" s="5">
        <v>2544.39</v>
      </c>
      <c r="G5" s="5">
        <v>4422.6099999999997</v>
      </c>
      <c r="H5" s="28">
        <f>GROWTH(C5:G5,C4:G4,H4)</f>
        <v>3338.0466293980094</v>
      </c>
      <c r="I5" s="28">
        <f t="shared" ref="I5:L5" si="0">GROWTH(D5:H5,D4:H4,I4)</f>
        <v>3545.9541117297017</v>
      </c>
      <c r="J5" s="28">
        <f t="shared" si="0"/>
        <v>3946.5966369665502</v>
      </c>
      <c r="K5" s="28">
        <f t="shared" si="0"/>
        <v>4263.260714074001</v>
      </c>
      <c r="L5" s="28">
        <f t="shared" si="0"/>
        <v>3992.3702376691017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24">
        <f>H5*H8</f>
        <v>0</v>
      </c>
      <c r="I7" s="24">
        <f t="shared" ref="I7:L7" si="1">I5*I8</f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</row>
    <row r="8" spans="2:15" x14ac:dyDescent="0.25">
      <c r="B8" s="17" t="s">
        <v>239</v>
      </c>
      <c r="C8" s="18">
        <f>C7/Income_Statement!C5</f>
        <v>0</v>
      </c>
      <c r="D8" s="18">
        <f>D7/Income_Statement!D5</f>
        <v>0</v>
      </c>
      <c r="E8" s="18">
        <f>E7/Income_Statement!E5</f>
        <v>0</v>
      </c>
      <c r="F8" s="18">
        <f>F7/Income_Statement!F5</f>
        <v>0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3905.03</v>
      </c>
      <c r="D9" s="7">
        <f t="shared" ref="D9:L9" si="3">D5 - D7</f>
        <v>3642.19</v>
      </c>
      <c r="E9" s="7">
        <f t="shared" si="3"/>
        <v>3052.94</v>
      </c>
      <c r="F9" s="7">
        <f t="shared" si="3"/>
        <v>2544.39</v>
      </c>
      <c r="G9" s="7">
        <f t="shared" si="3"/>
        <v>4422.6099999999997</v>
      </c>
      <c r="H9" s="29">
        <f t="shared" si="3"/>
        <v>3338.0466293980094</v>
      </c>
      <c r="I9" s="29">
        <f t="shared" si="3"/>
        <v>3545.9541117297017</v>
      </c>
      <c r="J9" s="29">
        <f t="shared" si="3"/>
        <v>3946.5966369665502</v>
      </c>
      <c r="K9" s="29">
        <f t="shared" si="3"/>
        <v>4263.260714074001</v>
      </c>
      <c r="L9" s="29">
        <f t="shared" si="3"/>
        <v>3992.3702376691017</v>
      </c>
    </row>
    <row r="10" spans="2:15" x14ac:dyDescent="0.25">
      <c r="B10" s="19" t="s">
        <v>240</v>
      </c>
      <c r="C10" s="21">
        <f>C9/Income_Statement!C5</f>
        <v>1</v>
      </c>
      <c r="D10" s="21">
        <f>D9/Income_Statement!D5</f>
        <v>1</v>
      </c>
      <c r="E10" s="21">
        <f>E9/Income_Statement!E5</f>
        <v>1</v>
      </c>
      <c r="F10" s="21">
        <f>F9/Income_Statement!F5</f>
        <v>1</v>
      </c>
      <c r="G10" s="21">
        <f>G9/Income_Statement!G5</f>
        <v>1</v>
      </c>
      <c r="H10" s="30">
        <f>H9/Income_Statement!H5</f>
        <v>1</v>
      </c>
      <c r="I10" s="30">
        <f>I9/Income_Statement!I5</f>
        <v>1</v>
      </c>
      <c r="J10" s="30">
        <f>J9/Income_Statement!J5</f>
        <v>1</v>
      </c>
      <c r="K10" s="30">
        <f>K9/Income_Statement!K5</f>
        <v>1</v>
      </c>
      <c r="L10" s="30">
        <f>L9/Income_Statement!L5</f>
        <v>1</v>
      </c>
    </row>
    <row r="11" spans="2:15" ht="18.75" x14ac:dyDescent="0.25">
      <c r="B11" s="8" t="s">
        <v>59</v>
      </c>
      <c r="C11" s="4">
        <v>8.23</v>
      </c>
      <c r="D11" s="4">
        <v>4.55</v>
      </c>
      <c r="E11" s="4">
        <v>-3.9</v>
      </c>
      <c r="F11" s="4">
        <v>17.850000000000001</v>
      </c>
      <c r="G11" s="4">
        <v>7.79</v>
      </c>
      <c r="H11" s="24">
        <f>H5*H12</f>
        <v>5.879646462837667</v>
      </c>
      <c r="I11" s="24">
        <f t="shared" ref="I11:L11" si="4">I5*I12</f>
        <v>6.2458553954281246</v>
      </c>
      <c r="J11" s="24">
        <f t="shared" si="4"/>
        <v>6.9515484752147332</v>
      </c>
      <c r="K11" s="24">
        <f t="shared" si="4"/>
        <v>7.5093216364627384</v>
      </c>
      <c r="L11" s="24">
        <f t="shared" si="4"/>
        <v>7.0321742481119305</v>
      </c>
    </row>
    <row r="12" spans="2:15" x14ac:dyDescent="0.25">
      <c r="B12" s="17" t="s">
        <v>241</v>
      </c>
      <c r="C12" s="18">
        <f>C11/Income_Statement!C5</f>
        <v>2.10753822633885E-3</v>
      </c>
      <c r="D12" s="18">
        <f>D11/Income_Statement!D5</f>
        <v>1.2492483917642956E-3</v>
      </c>
      <c r="E12" s="18">
        <f>E11/Income_Statement!E5</f>
        <v>-1.2774571396751983E-3</v>
      </c>
      <c r="F12" s="18">
        <f>F11/Income_Statement!F5</f>
        <v>7.015433954700342E-3</v>
      </c>
      <c r="G12" s="18">
        <f>G11/Income_Statement!G5</f>
        <v>1.7614033342302398E-3</v>
      </c>
      <c r="H12" s="25">
        <f>MEDIAN(C12:G12)</f>
        <v>1.7614033342302398E-3</v>
      </c>
      <c r="I12" s="25">
        <f t="shared" ref="I12:L12" si="5">H12</f>
        <v>1.7614033342302398E-3</v>
      </c>
      <c r="J12" s="25">
        <f t="shared" si="5"/>
        <v>1.7614033342302398E-3</v>
      </c>
      <c r="K12" s="25">
        <f t="shared" si="5"/>
        <v>1.7614033342302398E-3</v>
      </c>
      <c r="L12" s="25">
        <f t="shared" si="5"/>
        <v>1.7614033342302398E-3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4">
        <f>H5*H14</f>
        <v>0</v>
      </c>
      <c r="I13" s="24">
        <f t="shared" ref="I13:L13" si="6">I5*I14</f>
        <v>0</v>
      </c>
      <c r="J13" s="24">
        <f t="shared" si="6"/>
        <v>0</v>
      </c>
      <c r="K13" s="24">
        <f t="shared" si="6"/>
        <v>0</v>
      </c>
      <c r="L13" s="24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3914.2621075382267</v>
      </c>
      <c r="D15" s="7">
        <f t="shared" ref="D15:L15" si="8">SUM(D9:D13)</f>
        <v>3647.7412492483918</v>
      </c>
      <c r="E15" s="7">
        <f t="shared" si="8"/>
        <v>3050.0387225428603</v>
      </c>
      <c r="F15" s="7">
        <f t="shared" si="8"/>
        <v>2563.2470154339544</v>
      </c>
      <c r="G15" s="7">
        <f t="shared" si="8"/>
        <v>4431.4017614033337</v>
      </c>
      <c r="H15" s="29">
        <f t="shared" si="8"/>
        <v>3344.9280372641811</v>
      </c>
      <c r="I15" s="29">
        <f t="shared" si="8"/>
        <v>3553.2017285284637</v>
      </c>
      <c r="J15" s="29">
        <f t="shared" si="8"/>
        <v>3954.5499468450989</v>
      </c>
      <c r="K15" s="29">
        <f t="shared" si="8"/>
        <v>4271.7717971137981</v>
      </c>
      <c r="L15" s="29">
        <f t="shared" si="8"/>
        <v>4000.4041733205477</v>
      </c>
    </row>
    <row r="16" spans="2:15" x14ac:dyDescent="0.25">
      <c r="B16" s="19" t="s">
        <v>243</v>
      </c>
      <c r="C16" s="21">
        <f>C15/Income_Statement!C5</f>
        <v>1.0023641579035825</v>
      </c>
      <c r="D16" s="21">
        <f>D15/Income_Statement!D5</f>
        <v>1.0015241514716124</v>
      </c>
      <c r="E16" s="21">
        <f>E15/Income_Statement!E5</f>
        <v>0.99904967753799956</v>
      </c>
      <c r="F16" s="21">
        <f>F15/Income_Statement!F5</f>
        <v>1.0074112126812143</v>
      </c>
      <c r="G16" s="21">
        <f>G15/Income_Statement!G5</f>
        <v>1.0019879124325533</v>
      </c>
      <c r="H16" s="30">
        <f>H15/Income_Statement!H5</f>
        <v>1.0020615074114207</v>
      </c>
      <c r="I16" s="30">
        <f>I15/Income_Statement!I5</f>
        <v>1.0020439116159985</v>
      </c>
      <c r="J16" s="30">
        <f>J15/Income_Statement!J5</f>
        <v>1.0020152325180771</v>
      </c>
      <c r="K16" s="30">
        <f>K15/Income_Statement!K5</f>
        <v>1.0019963787369841</v>
      </c>
      <c r="L16" s="30">
        <f>L15/Income_Statement!L5</f>
        <v>1.0020123222980784</v>
      </c>
    </row>
    <row r="17" spans="2:12" ht="18.75" x14ac:dyDescent="0.25">
      <c r="B17" s="8" t="s">
        <v>62</v>
      </c>
      <c r="C17" s="5">
        <v>2073.46</v>
      </c>
      <c r="D17" s="4">
        <v>1780.46</v>
      </c>
      <c r="E17" s="5">
        <v>1207.0999999999999</v>
      </c>
      <c r="F17" s="5">
        <v>741.5</v>
      </c>
      <c r="G17" s="5">
        <v>3844.36</v>
      </c>
      <c r="H17" s="28">
        <f>H5*H18</f>
        <v>2901.6017555679864</v>
      </c>
      <c r="I17" s="28">
        <f t="shared" ref="I17:L17" si="9">I5*I18</f>
        <v>3082.3256287507147</v>
      </c>
      <c r="J17" s="28">
        <f t="shared" si="9"/>
        <v>3430.584710677344</v>
      </c>
      <c r="K17" s="28">
        <f t="shared" si="9"/>
        <v>3705.8454077473548</v>
      </c>
      <c r="L17" s="28">
        <f t="shared" si="9"/>
        <v>3470.3734778525782</v>
      </c>
    </row>
    <row r="18" spans="2:12" x14ac:dyDescent="0.25">
      <c r="B18" s="17" t="s">
        <v>244</v>
      </c>
      <c r="C18" s="18">
        <f>C17/Income_Statement!C5</f>
        <v>0.53097159304794073</v>
      </c>
      <c r="D18" s="18">
        <f>D17/Income_Statement!D5</f>
        <v>0.48884325090124348</v>
      </c>
      <c r="E18" s="18">
        <f>E17/Income_Statement!E5</f>
        <v>0.39538936238511069</v>
      </c>
      <c r="F18" s="18">
        <f>F17/Income_Statement!F5</f>
        <v>0.29142544971486289</v>
      </c>
      <c r="G18" s="18">
        <f>G17/Income_Statement!G5</f>
        <v>0.86925141488849356</v>
      </c>
      <c r="H18" s="25">
        <f>G18</f>
        <v>0.86925141488849356</v>
      </c>
      <c r="I18" s="25">
        <f t="shared" ref="I18:L18" si="10">H18</f>
        <v>0.86925141488849356</v>
      </c>
      <c r="J18" s="25">
        <f t="shared" si="10"/>
        <v>0.86925141488849356</v>
      </c>
      <c r="K18" s="25">
        <f t="shared" si="10"/>
        <v>0.86925141488849356</v>
      </c>
      <c r="L18" s="25">
        <f t="shared" si="10"/>
        <v>0.86925141488849356</v>
      </c>
    </row>
    <row r="19" spans="2:12" ht="18.75" x14ac:dyDescent="0.25">
      <c r="B19" s="8" t="s">
        <v>64</v>
      </c>
      <c r="C19" s="4">
        <v>243.01</v>
      </c>
      <c r="D19" s="4">
        <v>260.26</v>
      </c>
      <c r="E19" s="4">
        <v>292.81</v>
      </c>
      <c r="F19" s="4">
        <v>198.24</v>
      </c>
      <c r="G19" s="4">
        <v>0</v>
      </c>
      <c r="H19" s="24">
        <f>H5*H20</f>
        <v>0</v>
      </c>
      <c r="I19" s="24">
        <f t="shared" ref="I19:L19" si="11">I5*I20</f>
        <v>0</v>
      </c>
      <c r="J19" s="24">
        <f t="shared" si="11"/>
        <v>0</v>
      </c>
      <c r="K19" s="24">
        <f t="shared" si="11"/>
        <v>0</v>
      </c>
      <c r="L19" s="24">
        <f t="shared" si="11"/>
        <v>0</v>
      </c>
    </row>
    <row r="20" spans="2:12" x14ac:dyDescent="0.25">
      <c r="B20" s="17" t="s">
        <v>245</v>
      </c>
      <c r="C20" s="18">
        <f>C19/Income_Statement!C5</f>
        <v>6.222999567224835E-2</v>
      </c>
      <c r="D20" s="18">
        <f>D19/Income_Statement!D5</f>
        <v>7.1457008008917702E-2</v>
      </c>
      <c r="E20" s="18">
        <f>E19/Income_Statement!E5</f>
        <v>9.5910826940588417E-2</v>
      </c>
      <c r="F20" s="18">
        <f>F19/Income_Statement!F5</f>
        <v>7.7912584155730852E-2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4">
        <v>72.92</v>
      </c>
      <c r="D21" s="4">
        <v>67.47</v>
      </c>
      <c r="E21" s="4">
        <v>65.73</v>
      </c>
      <c r="F21" s="4">
        <v>55.13</v>
      </c>
      <c r="G21" s="4">
        <v>69.88</v>
      </c>
      <c r="H21" s="24">
        <f>H5*H22</f>
        <v>52.743221415031591</v>
      </c>
      <c r="I21" s="24">
        <f t="shared" ref="I21:L21" si="13">I5*I22</f>
        <v>56.028289477858443</v>
      </c>
      <c r="J21" s="24">
        <f t="shared" si="13"/>
        <v>62.35869158510981</v>
      </c>
      <c r="K21" s="24">
        <f t="shared" si="13"/>
        <v>67.362181765855723</v>
      </c>
      <c r="L21" s="24">
        <f t="shared" si="13"/>
        <v>63.081943062652329</v>
      </c>
    </row>
    <row r="22" spans="2:12" x14ac:dyDescent="0.25">
      <c r="B22" s="17" t="s">
        <v>246</v>
      </c>
      <c r="C22" s="18">
        <f>C21/Income_Statement!C5</f>
        <v>1.867335206131579E-2</v>
      </c>
      <c r="D22" s="18">
        <f>D21/Income_Statement!D5</f>
        <v>1.8524569009304839E-2</v>
      </c>
      <c r="E22" s="18">
        <f>E21/Income_Statement!E5</f>
        <v>2.153006610021815E-2</v>
      </c>
      <c r="F22" s="18">
        <f>F21/Income_Statement!F5</f>
        <v>2.1667275850007273E-2</v>
      </c>
      <c r="G22" s="18">
        <f>G21/Income_Statement!G5</f>
        <v>1.5800624518101301E-2</v>
      </c>
      <c r="H22" s="25">
        <f>G22</f>
        <v>1.5800624518101301E-2</v>
      </c>
      <c r="I22" s="25">
        <f t="shared" ref="I22:L22" si="14">H22</f>
        <v>1.5800624518101301E-2</v>
      </c>
      <c r="J22" s="25">
        <f t="shared" si="14"/>
        <v>1.5800624518101301E-2</v>
      </c>
      <c r="K22" s="25">
        <f t="shared" si="14"/>
        <v>1.5800624518101301E-2</v>
      </c>
      <c r="L22" s="25">
        <f t="shared" si="14"/>
        <v>1.5800624518101301E-2</v>
      </c>
    </row>
    <row r="23" spans="2:12" ht="18.75" x14ac:dyDescent="0.25">
      <c r="B23" s="8" t="s">
        <v>69</v>
      </c>
      <c r="C23" s="4">
        <v>63.95</v>
      </c>
      <c r="D23" s="4">
        <v>56.3</v>
      </c>
      <c r="E23" s="4">
        <v>53.88</v>
      </c>
      <c r="F23" s="4">
        <v>37.200000000000003</v>
      </c>
      <c r="G23" s="4">
        <v>410.55</v>
      </c>
      <c r="H23" s="24">
        <f>H5*H24</f>
        <v>104.7698068147982</v>
      </c>
      <c r="I23" s="24">
        <f t="shared" ref="I23:L23" si="15">I5*I24</f>
        <v>111.2953078570562</v>
      </c>
      <c r="J23" s="24">
        <f t="shared" si="15"/>
        <v>123.87009923390028</v>
      </c>
      <c r="K23" s="24">
        <f t="shared" si="15"/>
        <v>133.80909585891661</v>
      </c>
      <c r="L23" s="24">
        <f t="shared" si="15"/>
        <v>125.30677518102115</v>
      </c>
    </row>
    <row r="24" spans="2:12" x14ac:dyDescent="0.25">
      <c r="B24" s="17" t="s">
        <v>247</v>
      </c>
      <c r="C24" s="18">
        <f>C23/Income_Statement!C5</f>
        <v>1.6376314650591674E-2</v>
      </c>
      <c r="D24" s="18">
        <f>D23/Income_Statement!D5</f>
        <v>1.545773284754502E-2</v>
      </c>
      <c r="E24" s="18">
        <f>E23/Income_Statement!E5</f>
        <v>1.764856171428197E-2</v>
      </c>
      <c r="F24" s="18">
        <f>F23/Income_Statement!F5</f>
        <v>1.4620400174501553E-2</v>
      </c>
      <c r="G24" s="18">
        <f>G23/Income_Statement!G5</f>
        <v>9.2829799597974966E-2</v>
      </c>
      <c r="H24" s="25">
        <f>AVERAGE(C24:G24)</f>
        <v>3.1386561796979039E-2</v>
      </c>
      <c r="I24" s="25">
        <f t="shared" ref="I24:L24" si="16">H24</f>
        <v>3.1386561796979039E-2</v>
      </c>
      <c r="J24" s="25">
        <f t="shared" si="16"/>
        <v>3.1386561796979039E-2</v>
      </c>
      <c r="K24" s="25">
        <f t="shared" si="16"/>
        <v>3.1386561796979039E-2</v>
      </c>
      <c r="L24" s="25">
        <f t="shared" si="16"/>
        <v>3.1386561796979039E-2</v>
      </c>
    </row>
    <row r="25" spans="2:12" ht="18.75" x14ac:dyDescent="0.25">
      <c r="B25" s="9" t="s">
        <v>108</v>
      </c>
      <c r="C25" s="7">
        <f>C17+C19+C21+C23</f>
        <v>2453.34</v>
      </c>
      <c r="D25" s="7">
        <f t="shared" ref="D25:L25" si="17">D17+D19+D21+D23</f>
        <v>2164.4900000000002</v>
      </c>
      <c r="E25" s="7">
        <f t="shared" si="17"/>
        <v>1619.52</v>
      </c>
      <c r="F25" s="7">
        <f t="shared" si="17"/>
        <v>1032.07</v>
      </c>
      <c r="G25" s="7">
        <f t="shared" si="17"/>
        <v>4324.79</v>
      </c>
      <c r="H25" s="29">
        <f t="shared" si="17"/>
        <v>3059.1147837978165</v>
      </c>
      <c r="I25" s="29">
        <f t="shared" si="17"/>
        <v>3249.6492260856294</v>
      </c>
      <c r="J25" s="29">
        <f t="shared" si="17"/>
        <v>3616.8135014963541</v>
      </c>
      <c r="K25" s="29">
        <f t="shared" si="17"/>
        <v>3907.0166853721271</v>
      </c>
      <c r="L25" s="29">
        <f t="shared" si="17"/>
        <v>3658.762196096252</v>
      </c>
    </row>
    <row r="26" spans="2:12" x14ac:dyDescent="0.25">
      <c r="B26" s="19" t="s">
        <v>248</v>
      </c>
      <c r="C26" s="21">
        <f>C25/Income_Statement!C5</f>
        <v>0.62825125543209659</v>
      </c>
      <c r="D26" s="21">
        <f>D25/Income_Statement!D5</f>
        <v>0.59428256076701114</v>
      </c>
      <c r="E26" s="21">
        <f>E25/Income_Statement!E5</f>
        <v>0.53047881714019929</v>
      </c>
      <c r="F26" s="21">
        <f>F25/Income_Statement!F5</f>
        <v>0.40562570989510255</v>
      </c>
      <c r="G26" s="21">
        <f>G25/Income_Statement!G5</f>
        <v>0.97788183900456982</v>
      </c>
      <c r="H26" s="30">
        <f>H25/Income_Statement!H5</f>
        <v>0.9164386012035739</v>
      </c>
      <c r="I26" s="30">
        <f>I25/Income_Statement!I5</f>
        <v>0.9164386012035739</v>
      </c>
      <c r="J26" s="30">
        <f>J25/Income_Statement!J5</f>
        <v>0.9164386012035739</v>
      </c>
      <c r="K26" s="30">
        <f>K25/Income_Statement!K5</f>
        <v>0.9164386012035739</v>
      </c>
      <c r="L26" s="30">
        <f>L25/Income_Statement!L5</f>
        <v>0.91643860120357401</v>
      </c>
    </row>
    <row r="27" spans="2:12" ht="18.75" x14ac:dyDescent="0.25">
      <c r="B27" s="9" t="s">
        <v>109</v>
      </c>
      <c r="C27" s="7">
        <f xml:space="preserve"> C15-C25-C11</f>
        <v>1452.6921075382265</v>
      </c>
      <c r="D27" s="7">
        <f t="shared" ref="D27:L27" si="18" xml:space="preserve"> D15-D25-D11</f>
        <v>1478.7012492483916</v>
      </c>
      <c r="E27" s="7">
        <f t="shared" si="18"/>
        <v>1434.4187225428605</v>
      </c>
      <c r="F27" s="7">
        <f t="shared" si="18"/>
        <v>1513.3270154339546</v>
      </c>
      <c r="G27" s="7">
        <f t="shared" si="18"/>
        <v>98.821761403333724</v>
      </c>
      <c r="H27" s="29">
        <f t="shared" si="18"/>
        <v>279.9336070035269</v>
      </c>
      <c r="I27" s="29">
        <f t="shared" si="18"/>
        <v>297.30664704740622</v>
      </c>
      <c r="J27" s="29">
        <f t="shared" si="18"/>
        <v>330.7848968735301</v>
      </c>
      <c r="K27" s="29">
        <f t="shared" si="18"/>
        <v>357.2457901052083</v>
      </c>
      <c r="L27" s="29">
        <f t="shared" si="18"/>
        <v>334.6098029761838</v>
      </c>
    </row>
    <row r="28" spans="2:12" x14ac:dyDescent="0.25">
      <c r="B28" s="19" t="s">
        <v>249</v>
      </c>
      <c r="C28" s="21">
        <f>C27/Income_Statement!C5</f>
        <v>0.37200536424514702</v>
      </c>
      <c r="D28" s="21">
        <f>D27/Income_Statement!D5</f>
        <v>0.40599234231283693</v>
      </c>
      <c r="E28" s="21">
        <f>E27/Income_Statement!E5</f>
        <v>0.46984831753747547</v>
      </c>
      <c r="F28" s="21">
        <f>F27/Income_Statement!F5</f>
        <v>0.59477006883141137</v>
      </c>
      <c r="G28" s="21">
        <f>G27/Income_Statement!G5</f>
        <v>2.2344670093753176E-2</v>
      </c>
      <c r="H28" s="30">
        <f>H27/Income_Statement!H5</f>
        <v>8.3861502873616461E-2</v>
      </c>
      <c r="I28" s="30">
        <f>I27/Income_Statement!I5</f>
        <v>8.3843907078194321E-2</v>
      </c>
      <c r="J28" s="30">
        <f>J27/Income_Statement!J5</f>
        <v>8.3815227980272994E-2</v>
      </c>
      <c r="K28" s="30">
        <f>K27/Income_Statement!K5</f>
        <v>8.3796374199179999E-2</v>
      </c>
      <c r="L28" s="30">
        <f>L27/Income_Statement!L5</f>
        <v>8.3812317760274105E-2</v>
      </c>
    </row>
    <row r="29" spans="2:12" ht="18.75" x14ac:dyDescent="0.25">
      <c r="B29" s="9" t="s">
        <v>110</v>
      </c>
      <c r="C29" s="7">
        <f xml:space="preserve"> C27+C11</f>
        <v>1460.9221075382266</v>
      </c>
      <c r="D29" s="7">
        <f t="shared" ref="D29:L29" si="19" xml:space="preserve"> D27+D11</f>
        <v>1483.2512492483916</v>
      </c>
      <c r="E29" s="7">
        <f t="shared" si="19"/>
        <v>1430.5187225428604</v>
      </c>
      <c r="F29" s="7">
        <f t="shared" si="19"/>
        <v>1531.1770154339545</v>
      </c>
      <c r="G29" s="7">
        <f t="shared" si="19"/>
        <v>106.61176140333373</v>
      </c>
      <c r="H29" s="29">
        <f t="shared" si="19"/>
        <v>285.81325346636459</v>
      </c>
      <c r="I29" s="29">
        <f t="shared" si="19"/>
        <v>303.55250244283434</v>
      </c>
      <c r="J29" s="29">
        <f t="shared" si="19"/>
        <v>337.73644534874484</v>
      </c>
      <c r="K29" s="29">
        <f t="shared" si="19"/>
        <v>364.75511174167104</v>
      </c>
      <c r="L29" s="29">
        <f t="shared" si="19"/>
        <v>341.64197722429572</v>
      </c>
    </row>
    <row r="30" spans="2:12" x14ac:dyDescent="0.25">
      <c r="B30" s="19" t="s">
        <v>250</v>
      </c>
      <c r="C30" s="21">
        <f>C29/Income_Statement!C5</f>
        <v>0.37411290247148588</v>
      </c>
      <c r="D30" s="21">
        <f>D29/Income_Statement!D5</f>
        <v>0.40724159070460125</v>
      </c>
      <c r="E30" s="21">
        <f>E29/Income_Statement!E5</f>
        <v>0.46857086039780027</v>
      </c>
      <c r="F30" s="21">
        <f>F29/Income_Statement!F5</f>
        <v>0.60178550278611165</v>
      </c>
      <c r="G30" s="21">
        <f>G29/Income_Statement!G5</f>
        <v>2.4106073427983418E-2</v>
      </c>
      <c r="H30" s="30">
        <f>H29/Income_Statement!H5</f>
        <v>8.5622906207846711E-2</v>
      </c>
      <c r="I30" s="30">
        <f>I29/Income_Statement!I5</f>
        <v>8.5605310412424571E-2</v>
      </c>
      <c r="J30" s="30">
        <f>J29/Income_Statement!J5</f>
        <v>8.5576631314503229E-2</v>
      </c>
      <c r="K30" s="30">
        <f>K29/Income_Statement!K5</f>
        <v>8.5557777533410234E-2</v>
      </c>
      <c r="L30" s="30">
        <f>L29/Income_Statement!L5</f>
        <v>8.557372109450434E-2</v>
      </c>
    </row>
    <row r="31" spans="2:12" ht="18.75" x14ac:dyDescent="0.25">
      <c r="B31" s="8" t="s">
        <v>68</v>
      </c>
      <c r="C31" s="4">
        <v>17.399999999999999</v>
      </c>
      <c r="D31" s="4">
        <v>17.21</v>
      </c>
      <c r="E31" s="4">
        <v>15.97</v>
      </c>
      <c r="F31" s="4">
        <v>14.85</v>
      </c>
      <c r="G31" s="4">
        <v>14.05</v>
      </c>
      <c r="H31" s="24">
        <f>Balance_Sheet!H40*H62</f>
        <v>19.944956900992477</v>
      </c>
      <c r="I31" s="24">
        <f>Balance_Sheet!I40*I62</f>
        <v>24.485126549675467</v>
      </c>
      <c r="J31" s="24">
        <f>Balance_Sheet!J40*J62</f>
        <v>30.249672035440774</v>
      </c>
      <c r="K31" s="24">
        <f>Balance_Sheet!K40*K62</f>
        <v>38.156427075105597</v>
      </c>
      <c r="L31" s="24">
        <f>Balance_Sheet!L40*L62</f>
        <v>50.093643325663656</v>
      </c>
    </row>
    <row r="32" spans="2:12" x14ac:dyDescent="0.25">
      <c r="B32" s="17" t="s">
        <v>251</v>
      </c>
      <c r="C32" s="18">
        <f>C31/Income_Statement!C5</f>
        <v>4.4557916328427693E-3</v>
      </c>
      <c r="D32" s="18">
        <f>D31/Income_Statement!D5</f>
        <v>4.7251790818161601E-3</v>
      </c>
      <c r="E32" s="18">
        <f>E31/Income_Statement!E5</f>
        <v>5.231023210413569E-3</v>
      </c>
      <c r="F32" s="18">
        <f>F31/Income_Statement!F5</f>
        <v>5.836369424498603E-3</v>
      </c>
      <c r="G32" s="18">
        <f>G31/Income_Statement!G5</f>
        <v>3.1768571047413184E-3</v>
      </c>
      <c r="H32" s="25">
        <f>H31/Income_Statement!H5</f>
        <v>5.9750384327583207E-3</v>
      </c>
      <c r="I32" s="25">
        <f>I31/Income_Statement!I5</f>
        <v>6.9050883847258035E-3</v>
      </c>
      <c r="J32" s="25">
        <f>J31/Income_Statement!J5</f>
        <v>7.6647488502122182E-3</v>
      </c>
      <c r="K32" s="25">
        <f>K31/Income_Statement!K5</f>
        <v>8.9500571590994862E-3</v>
      </c>
      <c r="L32" s="25">
        <f>L31/Income_Statement!L5</f>
        <v>1.25473441448432E-2</v>
      </c>
    </row>
    <row r="33" spans="2:12" ht="18.75" x14ac:dyDescent="0.25">
      <c r="B33" s="9" t="s">
        <v>111</v>
      </c>
      <c r="C33" s="7">
        <f xml:space="preserve"> C29-C31</f>
        <v>1443.5221075382265</v>
      </c>
      <c r="D33" s="7">
        <f t="shared" ref="D33:L33" si="20" xml:space="preserve"> D29-D31</f>
        <v>1466.0412492483915</v>
      </c>
      <c r="E33" s="7">
        <f t="shared" si="20"/>
        <v>1414.5487225428603</v>
      </c>
      <c r="F33" s="7">
        <f t="shared" si="20"/>
        <v>1516.3270154339546</v>
      </c>
      <c r="G33" s="7">
        <f t="shared" si="20"/>
        <v>92.561761403333733</v>
      </c>
      <c r="H33" s="29">
        <f t="shared" si="20"/>
        <v>265.86829656537213</v>
      </c>
      <c r="I33" s="29">
        <f t="shared" si="20"/>
        <v>279.0673758931589</v>
      </c>
      <c r="J33" s="29">
        <f t="shared" si="20"/>
        <v>307.48677331330407</v>
      </c>
      <c r="K33" s="29">
        <f t="shared" si="20"/>
        <v>326.59868466656542</v>
      </c>
      <c r="L33" s="29">
        <f t="shared" si="20"/>
        <v>291.54833389863205</v>
      </c>
    </row>
    <row r="34" spans="2:12" x14ac:dyDescent="0.25">
      <c r="B34" s="19" t="s">
        <v>252</v>
      </c>
      <c r="C34" s="21">
        <f>C33/Income_Statement!C5</f>
        <v>0.36965711083864305</v>
      </c>
      <c r="D34" s="21">
        <f>D33/Income_Statement!D5</f>
        <v>0.40251641162278506</v>
      </c>
      <c r="E34" s="21">
        <f>E33/Income_Statement!E5</f>
        <v>0.46333983718738669</v>
      </c>
      <c r="F34" s="21">
        <f>F33/Income_Statement!F5</f>
        <v>0.59594913336161304</v>
      </c>
      <c r="G34" s="21">
        <f>G33/Income_Statement!G5</f>
        <v>2.09292163232421E-2</v>
      </c>
      <c r="H34" s="30">
        <f>H33/Income_Statement!H5</f>
        <v>7.9647867775088393E-2</v>
      </c>
      <c r="I34" s="30">
        <f>I33/Income_Statement!I5</f>
        <v>7.8700222027698774E-2</v>
      </c>
      <c r="J34" s="30">
        <f>J33/Income_Statement!J5</f>
        <v>7.7911882464291024E-2</v>
      </c>
      <c r="K34" s="30">
        <f>K33/Income_Statement!K5</f>
        <v>7.6607720374310739E-2</v>
      </c>
      <c r="L34" s="30">
        <f>L33/Income_Statement!L5</f>
        <v>7.3026376949661145E-2</v>
      </c>
    </row>
    <row r="35" spans="2:12" ht="18.75" x14ac:dyDescent="0.25">
      <c r="B35" s="8" t="s">
        <v>67</v>
      </c>
      <c r="C35" s="4">
        <v>30.56</v>
      </c>
      <c r="D35" s="4">
        <v>26.39</v>
      </c>
      <c r="E35" s="4">
        <v>19.66</v>
      </c>
      <c r="F35" s="4">
        <v>3.57</v>
      </c>
      <c r="G35" s="4">
        <v>5.27</v>
      </c>
      <c r="H35" s="24">
        <f>Balance_Sheet!H21*H63</f>
        <v>7.7189734045497307</v>
      </c>
      <c r="I35" s="24">
        <f>Balance_Sheet!I21*I63</f>
        <v>9.4761262246084019</v>
      </c>
      <c r="J35" s="24">
        <f>Balance_Sheet!J21*J63</f>
        <v>11.707278601870813</v>
      </c>
      <c r="K35" s="24">
        <f>Balance_Sheet!K21*K63</f>
        <v>14.767200974151768</v>
      </c>
      <c r="L35" s="24">
        <f>Balance_Sheet!L21*L63</f>
        <v>19.387092350694637</v>
      </c>
    </row>
    <row r="36" spans="2:12" x14ac:dyDescent="0.25">
      <c r="B36" s="17" t="s">
        <v>253</v>
      </c>
      <c r="C36" s="18">
        <f>C35/Income_Statement!C5</f>
        <v>7.8258041551537375E-3</v>
      </c>
      <c r="D36" s="18">
        <f>D35/Income_Statement!D5</f>
        <v>7.2456406722329145E-3</v>
      </c>
      <c r="E36" s="18">
        <f>E35/Income_Statement!E5</f>
        <v>6.4396941964139486E-3</v>
      </c>
      <c r="F36" s="18">
        <f>F35/Income_Statement!F5</f>
        <v>1.4030867909400682E-3</v>
      </c>
      <c r="G36" s="18">
        <f>G35/Income_Statement!G5</f>
        <v>1.1916040528104446E-3</v>
      </c>
      <c r="H36" s="25">
        <f>H35/Income_Statement!H5</f>
        <v>2.3124222821122747E-3</v>
      </c>
      <c r="I36" s="25">
        <f>I35/Income_Statement!I5</f>
        <v>2.6723770037695121E-3</v>
      </c>
      <c r="J36" s="25">
        <f>J35/Income_Statement!J5</f>
        <v>2.966423903626825E-3</v>
      </c>
      <c r="K36" s="25">
        <f>K35/Income_Statement!K5</f>
        <v>3.4638277986147673E-3</v>
      </c>
      <c r="L36" s="25">
        <f>L35/Income_Statement!L5</f>
        <v>4.8560356872146115E-3</v>
      </c>
    </row>
    <row r="37" spans="2:12" ht="18.75" x14ac:dyDescent="0.25">
      <c r="B37" s="9" t="s">
        <v>112</v>
      </c>
      <c r="C37" s="7">
        <f xml:space="preserve"> C33-C35</f>
        <v>1412.9621075382265</v>
      </c>
      <c r="D37" s="7">
        <f t="shared" ref="D37:L37" si="21" xml:space="preserve"> D33-D35</f>
        <v>1439.6512492483914</v>
      </c>
      <c r="E37" s="7">
        <f t="shared" si="21"/>
        <v>1394.8887225428603</v>
      </c>
      <c r="F37" s="7">
        <f t="shared" si="21"/>
        <v>1512.7570154339546</v>
      </c>
      <c r="G37" s="7">
        <f t="shared" si="21"/>
        <v>87.291761403333737</v>
      </c>
      <c r="H37" s="29">
        <f t="shared" si="21"/>
        <v>258.14932316082241</v>
      </c>
      <c r="I37" s="29">
        <f t="shared" si="21"/>
        <v>269.59124966855052</v>
      </c>
      <c r="J37" s="29">
        <f t="shared" si="21"/>
        <v>295.77949471143324</v>
      </c>
      <c r="K37" s="29">
        <f t="shared" si="21"/>
        <v>311.83148369241366</v>
      </c>
      <c r="L37" s="29">
        <f t="shared" si="21"/>
        <v>272.16124154793744</v>
      </c>
    </row>
    <row r="38" spans="2:12" x14ac:dyDescent="0.25">
      <c r="B38" s="19" t="s">
        <v>254</v>
      </c>
      <c r="C38" s="21">
        <f>C37/Income_Statement!C5</f>
        <v>0.36183130668348934</v>
      </c>
      <c r="D38" s="21">
        <f>D37/Income_Statement!D5</f>
        <v>0.39527077095055213</v>
      </c>
      <c r="E38" s="21">
        <f>E37/Income_Statement!E5</f>
        <v>0.4569001429909727</v>
      </c>
      <c r="F38" s="21">
        <f>F37/Income_Statement!F5</f>
        <v>0.594546046570673</v>
      </c>
      <c r="G38" s="21">
        <f>G37/Income_Statement!G5</f>
        <v>1.9737612270431654E-2</v>
      </c>
      <c r="H38" s="30">
        <f>H37/Income_Statement!H5</f>
        <v>7.7335445492976121E-2</v>
      </c>
      <c r="I38" s="30">
        <f>I37/Income_Statement!I5</f>
        <v>7.6027845023929258E-2</v>
      </c>
      <c r="J38" s="30">
        <f>J37/Income_Statement!J5</f>
        <v>7.4945458560664188E-2</v>
      </c>
      <c r="K38" s="30">
        <f>K37/Income_Statement!K5</f>
        <v>7.3143892575695979E-2</v>
      </c>
      <c r="L38" s="30">
        <f>L37/Income_Statement!L5</f>
        <v>6.8170341262446532E-2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4">
        <f>H5*H40</f>
        <v>0</v>
      </c>
      <c r="I39" s="24">
        <f t="shared" ref="I39:L39" si="22">I5*I40</f>
        <v>0</v>
      </c>
      <c r="J39" s="24">
        <f t="shared" si="22"/>
        <v>0</v>
      </c>
      <c r="K39" s="24">
        <f t="shared" si="22"/>
        <v>0</v>
      </c>
      <c r="L39" s="24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1412.9621075382265</v>
      </c>
      <c r="D41" s="7">
        <f t="shared" ref="D41:L41" si="24" xml:space="preserve"> D37+D39</f>
        <v>1439.6512492483914</v>
      </c>
      <c r="E41" s="7">
        <f t="shared" si="24"/>
        <v>1394.8887225428603</v>
      </c>
      <c r="F41" s="7">
        <f t="shared" si="24"/>
        <v>1512.7570154339546</v>
      </c>
      <c r="G41" s="7">
        <f t="shared" si="24"/>
        <v>87.291761403333737</v>
      </c>
      <c r="H41" s="29">
        <f t="shared" si="24"/>
        <v>258.14932316082241</v>
      </c>
      <c r="I41" s="29">
        <f t="shared" si="24"/>
        <v>269.59124966855052</v>
      </c>
      <c r="J41" s="29">
        <f t="shared" si="24"/>
        <v>295.77949471143324</v>
      </c>
      <c r="K41" s="29">
        <f t="shared" si="24"/>
        <v>311.83148369241366</v>
      </c>
      <c r="L41" s="29">
        <f t="shared" si="24"/>
        <v>272.16124154793744</v>
      </c>
    </row>
    <row r="42" spans="2:12" x14ac:dyDescent="0.25">
      <c r="B42" s="19" t="s">
        <v>256</v>
      </c>
      <c r="C42" s="21">
        <f>C41/Income_Statement!C5</f>
        <v>0.36183130668348934</v>
      </c>
      <c r="D42" s="21">
        <f>D41/Income_Statement!D5</f>
        <v>0.39527077095055213</v>
      </c>
      <c r="E42" s="21">
        <f>E41/Income_Statement!E5</f>
        <v>0.4569001429909727</v>
      </c>
      <c r="F42" s="21">
        <f>F41/Income_Statement!F5</f>
        <v>0.594546046570673</v>
      </c>
      <c r="G42" s="21">
        <f>G41/Income_Statement!G5</f>
        <v>1.9737612270431654E-2</v>
      </c>
      <c r="H42" s="30">
        <f>H41/Income_Statement!H5</f>
        <v>7.7335445492976121E-2</v>
      </c>
      <c r="I42" s="30">
        <f>I41/Income_Statement!I5</f>
        <v>7.6027845023929258E-2</v>
      </c>
      <c r="J42" s="30">
        <f>J41/Income_Statement!J5</f>
        <v>7.4945458560664188E-2</v>
      </c>
      <c r="K42" s="30">
        <f>K41/Income_Statement!K5</f>
        <v>7.3143892575695979E-2</v>
      </c>
      <c r="L42" s="30">
        <f>L41/Income_Statement!L5</f>
        <v>6.8170341262446532E-2</v>
      </c>
    </row>
    <row r="43" spans="2:12" ht="18.75" x14ac:dyDescent="0.25">
      <c r="B43" s="8" t="s">
        <v>72</v>
      </c>
      <c r="C43" s="4">
        <v>-5.03</v>
      </c>
      <c r="D43" s="4">
        <v>-3.47</v>
      </c>
      <c r="E43" s="4">
        <v>-0.14000000000000001</v>
      </c>
      <c r="F43" s="4">
        <v>-3.65</v>
      </c>
      <c r="G43" s="4">
        <v>-5.3</v>
      </c>
      <c r="H43" s="24">
        <f>H5*H44</f>
        <v>-4.0002729464749214</v>
      </c>
      <c r="I43" s="24">
        <f t="shared" ref="I43:L43" si="25">I5*I44</f>
        <v>-4.2494266490075816</v>
      </c>
      <c r="J43" s="24">
        <f t="shared" si="25"/>
        <v>-4.729551594176904</v>
      </c>
      <c r="K43" s="24">
        <f t="shared" si="25"/>
        <v>-5.1090378271184225</v>
      </c>
      <c r="L43" s="24">
        <f t="shared" si="25"/>
        <v>-4.7844060994856523</v>
      </c>
    </row>
    <row r="44" spans="2:12" x14ac:dyDescent="0.25">
      <c r="B44" s="17" t="s">
        <v>257</v>
      </c>
      <c r="C44" s="18">
        <f>C43/Income_Statement!C5</f>
        <v>-1.288082293862019E-3</v>
      </c>
      <c r="D44" s="18">
        <f>D43/Income_Statement!D5</f>
        <v>-9.5272349877408924E-4</v>
      </c>
      <c r="E44" s="18">
        <f>E43/Income_Statement!E5</f>
        <v>-4.5857435783212248E-5</v>
      </c>
      <c r="F44" s="18">
        <f>F43/Income_Statement!F5</f>
        <v>-1.4345285117454479E-3</v>
      </c>
      <c r="G44" s="18">
        <f>G43/Income_Statement!G5</f>
        <v>-1.1983873775892517E-3</v>
      </c>
      <c r="H44" s="25">
        <f>G44</f>
        <v>-1.1983873775892517E-3</v>
      </c>
      <c r="I44" s="25">
        <f t="shared" ref="I44:L44" si="26">H44</f>
        <v>-1.1983873775892517E-3</v>
      </c>
      <c r="J44" s="25">
        <f t="shared" si="26"/>
        <v>-1.1983873775892517E-3</v>
      </c>
      <c r="K44" s="25">
        <f t="shared" si="26"/>
        <v>-1.1983873775892517E-3</v>
      </c>
      <c r="L44" s="25">
        <f t="shared" si="26"/>
        <v>-1.1983873775892517E-3</v>
      </c>
    </row>
    <row r="45" spans="2:12" ht="18.75" x14ac:dyDescent="0.25">
      <c r="B45" s="9" t="s">
        <v>115</v>
      </c>
      <c r="C45" s="7">
        <f xml:space="preserve"> C41+C43</f>
        <v>1407.9321075382265</v>
      </c>
      <c r="D45" s="7">
        <f t="shared" ref="D45:L45" si="27" xml:space="preserve"> D41+D43</f>
        <v>1436.1812492483914</v>
      </c>
      <c r="E45" s="7">
        <f t="shared" si="27"/>
        <v>1394.7487225428602</v>
      </c>
      <c r="F45" s="7">
        <f t="shared" si="27"/>
        <v>1509.1070154339545</v>
      </c>
      <c r="G45" s="7">
        <f t="shared" si="27"/>
        <v>81.99176140333374</v>
      </c>
      <c r="H45" s="29">
        <f t="shared" si="27"/>
        <v>254.14905021434748</v>
      </c>
      <c r="I45" s="29">
        <f t="shared" si="27"/>
        <v>265.34182301954291</v>
      </c>
      <c r="J45" s="29">
        <f t="shared" si="27"/>
        <v>291.04994311725636</v>
      </c>
      <c r="K45" s="29">
        <f t="shared" si="27"/>
        <v>306.72244586529524</v>
      </c>
      <c r="L45" s="29">
        <f t="shared" si="27"/>
        <v>267.3768354484518</v>
      </c>
    </row>
    <row r="46" spans="2:12" x14ac:dyDescent="0.25">
      <c r="B46" s="19" t="s">
        <v>258</v>
      </c>
      <c r="C46" s="21">
        <f>C45/Income_Statement!C5</f>
        <v>0.36054322438962733</v>
      </c>
      <c r="D46" s="21">
        <f>D45/Income_Statement!D5</f>
        <v>0.39431804745177801</v>
      </c>
      <c r="E46" s="21">
        <f>E45/Income_Statement!E5</f>
        <v>0.45685428555518948</v>
      </c>
      <c r="F46" s="21">
        <f>F45/Income_Statement!F5</f>
        <v>0.59311151805892748</v>
      </c>
      <c r="G46" s="21">
        <f>G45/Income_Statement!G5</f>
        <v>1.8539224892842404E-2</v>
      </c>
      <c r="H46" s="30">
        <f>H45/Income_Statement!H5</f>
        <v>7.613705811538686E-2</v>
      </c>
      <c r="I46" s="30">
        <f>I45/Income_Statement!I5</f>
        <v>7.4829457646340011E-2</v>
      </c>
      <c r="J46" s="30">
        <f>J45/Income_Statement!J5</f>
        <v>7.3747071183074941E-2</v>
      </c>
      <c r="K46" s="30">
        <f>K45/Income_Statement!K5</f>
        <v>7.1945505198106732E-2</v>
      </c>
      <c r="L46" s="30">
        <f>L45/Income_Statement!L5</f>
        <v>6.6971953884857285E-2</v>
      </c>
    </row>
    <row r="47" spans="2:12" ht="18.75" x14ac:dyDescent="0.25">
      <c r="B47" s="8" t="s">
        <v>79</v>
      </c>
      <c r="C47" s="4">
        <v>17.46</v>
      </c>
      <c r="D47" s="4">
        <v>21.07</v>
      </c>
      <c r="E47" s="4">
        <v>14.45</v>
      </c>
      <c r="F47" s="4">
        <v>-4.68</v>
      </c>
      <c r="G47" s="4">
        <v>19.09</v>
      </c>
      <c r="H47" s="24">
        <f>H45*H64</f>
        <v>59.173083801985811</v>
      </c>
      <c r="I47" s="24">
        <f t="shared" ref="I47:L47" si="28">I45*I64</f>
        <v>61.779077735938458</v>
      </c>
      <c r="J47" s="24">
        <f t="shared" si="28"/>
        <v>67.764654875221566</v>
      </c>
      <c r="K47" s="24">
        <f t="shared" si="28"/>
        <v>71.413656583921266</v>
      </c>
      <c r="L47" s="24">
        <f t="shared" si="28"/>
        <v>62.252886160138154</v>
      </c>
    </row>
    <row r="48" spans="2:12" x14ac:dyDescent="0.25">
      <c r="B48" s="17" t="s">
        <v>259</v>
      </c>
      <c r="C48" s="18">
        <f>C47/Income_Statement!C5</f>
        <v>4.4711564315767097E-3</v>
      </c>
      <c r="D48" s="18">
        <f>D47/Income_Statement!D5</f>
        <v>5.784981014170046E-3</v>
      </c>
      <c r="E48" s="18">
        <f>E47/Income_Statement!E5</f>
        <v>4.7331424790529779E-3</v>
      </c>
      <c r="F48" s="18">
        <f>F47/Income_Statement!F5</f>
        <v>-1.8393406671147112E-3</v>
      </c>
      <c r="G48" s="18">
        <f>G47/Income_Statement!G5</f>
        <v>4.3164556675809084E-3</v>
      </c>
      <c r="H48" s="25">
        <f>H47/Income_Statement!H5</f>
        <v>1.7726859559375661E-2</v>
      </c>
      <c r="I48" s="25">
        <f>I47/Income_Statement!I5</f>
        <v>1.7422413203706938E-2</v>
      </c>
      <c r="J48" s="25">
        <f>J47/Income_Statement!J5</f>
        <v>1.7170403035489109E-2</v>
      </c>
      <c r="K48" s="25">
        <f>K47/Income_Statement!K5</f>
        <v>1.6750947543078567E-2</v>
      </c>
      <c r="L48" s="25">
        <f>L47/Income_Statement!L5</f>
        <v>1.5592964192740743E-2</v>
      </c>
    </row>
    <row r="49" spans="2:12" ht="18.75" x14ac:dyDescent="0.25">
      <c r="B49" s="9" t="s">
        <v>116</v>
      </c>
      <c r="C49" s="7">
        <f xml:space="preserve"> C45-C47</f>
        <v>1390.4721075382265</v>
      </c>
      <c r="D49" s="7">
        <f t="shared" ref="D49:L49" si="29" xml:space="preserve"> D45-D47</f>
        <v>1415.1112492483915</v>
      </c>
      <c r="E49" s="7">
        <f t="shared" si="29"/>
        <v>1380.2987225428601</v>
      </c>
      <c r="F49" s="7">
        <f t="shared" si="29"/>
        <v>1513.7870154339546</v>
      </c>
      <c r="G49" s="7">
        <f t="shared" si="29"/>
        <v>62.901761403333737</v>
      </c>
      <c r="H49" s="29">
        <f t="shared" si="29"/>
        <v>194.97596641236169</v>
      </c>
      <c r="I49" s="29">
        <f t="shared" si="29"/>
        <v>203.56274528360444</v>
      </c>
      <c r="J49" s="29">
        <f t="shared" si="29"/>
        <v>223.2852882420348</v>
      </c>
      <c r="K49" s="29">
        <f t="shared" si="29"/>
        <v>235.30878928137398</v>
      </c>
      <c r="L49" s="29">
        <f t="shared" si="29"/>
        <v>205.12394928831364</v>
      </c>
    </row>
    <row r="50" spans="2:12" x14ac:dyDescent="0.25">
      <c r="B50" s="19" t="s">
        <v>260</v>
      </c>
      <c r="C50" s="21">
        <f>C49/Income_Statement!C5</f>
        <v>0.35607206795805063</v>
      </c>
      <c r="D50" s="21">
        <f>D49/Income_Statement!D5</f>
        <v>0.38853306643760799</v>
      </c>
      <c r="E50" s="21">
        <f>E49/Income_Statement!E5</f>
        <v>0.45212114307613649</v>
      </c>
      <c r="F50" s="21">
        <f>F49/Income_Statement!F5</f>
        <v>0.59495085872604225</v>
      </c>
      <c r="G50" s="21">
        <f>G49/Income_Statement!G5</f>
        <v>1.4222769225261495E-2</v>
      </c>
      <c r="H50" s="30">
        <f>H49/Income_Statement!H5</f>
        <v>5.8410198556011206E-2</v>
      </c>
      <c r="I50" s="30">
        <f>I49/Income_Statement!I5</f>
        <v>5.7407044442633066E-2</v>
      </c>
      <c r="J50" s="30">
        <f>J49/Income_Statement!J5</f>
        <v>5.6576668147585836E-2</v>
      </c>
      <c r="K50" s="30">
        <f>K49/Income_Statement!K5</f>
        <v>5.5194557655028162E-2</v>
      </c>
      <c r="L50" s="30">
        <f>L49/Income_Statement!L5</f>
        <v>5.1378989692116538E-2</v>
      </c>
    </row>
    <row r="51" spans="2:12" ht="18.75" x14ac:dyDescent="0.25">
      <c r="B51" s="8" t="s">
        <v>88</v>
      </c>
      <c r="C51" s="4">
        <v>2.4</v>
      </c>
      <c r="D51" s="4">
        <v>2.4</v>
      </c>
      <c r="E51" s="4">
        <v>2.4</v>
      </c>
      <c r="F51" s="4">
        <v>2.4</v>
      </c>
      <c r="G51" s="4">
        <v>0</v>
      </c>
      <c r="H51" s="24">
        <f>H5*H52</f>
        <v>0</v>
      </c>
      <c r="I51" s="24">
        <f t="shared" ref="I51:L51" si="30">I5*I52</f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</row>
    <row r="52" spans="2:12" x14ac:dyDescent="0.25">
      <c r="B52" s="17" t="s">
        <v>261</v>
      </c>
      <c r="C52" s="18">
        <f>C51/Income_Statement!C5</f>
        <v>6.1459194935762327E-4</v>
      </c>
      <c r="D52" s="18">
        <f>D51/Income_Statement!D5</f>
        <v>6.5894420664490319E-4</v>
      </c>
      <c r="E52" s="18">
        <f>E51/Income_Statement!E5</f>
        <v>7.8612747056935276E-4</v>
      </c>
      <c r="F52" s="18">
        <f>F51/Income_Statement!F5</f>
        <v>9.4325162416139042E-4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24">
        <f>H5*H54</f>
        <v>0</v>
      </c>
      <c r="I53" s="24">
        <f t="shared" ref="I53:L53" si="32">I5*I54</f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</row>
    <row r="54" spans="2:12" x14ac:dyDescent="0.25">
      <c r="B54" s="17" t="s">
        <v>262</v>
      </c>
      <c r="C54" s="18">
        <f>C53/Income_Statement!C5</f>
        <v>0</v>
      </c>
      <c r="D54" s="18">
        <f>D53/Income_Statement!D5</f>
        <v>0</v>
      </c>
      <c r="E54" s="18">
        <f>E53/Income_Statement!E5</f>
        <v>0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1388.0721075382264</v>
      </c>
      <c r="D55" s="7">
        <f t="shared" ref="D55:L55" si="34" xml:space="preserve"> D49-D51-D53</f>
        <v>1412.7112492483914</v>
      </c>
      <c r="E55" s="7">
        <f t="shared" si="34"/>
        <v>1377.89872254286</v>
      </c>
      <c r="F55" s="7">
        <f t="shared" si="34"/>
        <v>1511.3870154339545</v>
      </c>
      <c r="G55" s="7">
        <f t="shared" si="34"/>
        <v>62.901761403333737</v>
      </c>
      <c r="H55" s="29">
        <f t="shared" si="34"/>
        <v>194.97596641236169</v>
      </c>
      <c r="I55" s="29">
        <f t="shared" si="34"/>
        <v>203.56274528360444</v>
      </c>
      <c r="J55" s="29">
        <f t="shared" si="34"/>
        <v>223.2852882420348</v>
      </c>
      <c r="K55" s="29">
        <f t="shared" si="34"/>
        <v>235.30878928137398</v>
      </c>
      <c r="L55" s="29">
        <f t="shared" si="34"/>
        <v>205.12394928831364</v>
      </c>
    </row>
    <row r="56" spans="2:12" x14ac:dyDescent="0.25">
      <c r="B56" s="19" t="s">
        <v>263</v>
      </c>
      <c r="C56" s="21">
        <f>C55/Income_Statement!C5</f>
        <v>0.35545747600869299</v>
      </c>
      <c r="D56" s="21">
        <f>D55/Income_Statement!D5</f>
        <v>0.38787412223096307</v>
      </c>
      <c r="E56" s="21">
        <f>E55/Income_Statement!E5</f>
        <v>0.4513350156055671</v>
      </c>
      <c r="F56" s="21">
        <f>F55/Income_Statement!F5</f>
        <v>0.59400760710188083</v>
      </c>
      <c r="G56" s="21">
        <f>G55/Income_Statement!G5</f>
        <v>1.4222769225261495E-2</v>
      </c>
      <c r="H56" s="30">
        <f>H55/Income_Statement!H5</f>
        <v>5.8410198556011206E-2</v>
      </c>
      <c r="I56" s="30">
        <f>I55/Income_Statement!I5</f>
        <v>5.7407044442633066E-2</v>
      </c>
      <c r="J56" s="30">
        <f>J55/Income_Statement!J5</f>
        <v>5.6576668147585836E-2</v>
      </c>
      <c r="K56" s="30">
        <f>K55/Income_Statement!K5</f>
        <v>5.5194557655028162E-2</v>
      </c>
      <c r="L56" s="30">
        <f>L55/Income_Statement!L5</f>
        <v>5.1378989692116538E-2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68</v>
      </c>
      <c r="D60" s="4">
        <v>72</v>
      </c>
      <c r="E60" s="4">
        <v>40</v>
      </c>
      <c r="F60" s="4">
        <v>40</v>
      </c>
      <c r="G60" s="4">
        <v>59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20.44811922850333</v>
      </c>
      <c r="D61" s="4">
        <f t="shared" ref="D61:G61" si="35">D49/D60</f>
        <v>19.654322906227659</v>
      </c>
      <c r="E61" s="4">
        <f t="shared" si="35"/>
        <v>34.507468063571501</v>
      </c>
      <c r="F61" s="4">
        <f t="shared" si="35"/>
        <v>37.844675385848866</v>
      </c>
      <c r="G61" s="4">
        <f t="shared" si="35"/>
        <v>1.0661315492090464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5.9754799271953013E-2</v>
      </c>
      <c r="D62" s="23">
        <f>D31/Balance_Sheet!D40</f>
        <v>6.1726623865715008E-2</v>
      </c>
      <c r="E62" s="23">
        <f>E31/Balance_Sheet!E40</f>
        <v>5.9734430521787917E-2</v>
      </c>
      <c r="F62" s="23">
        <f>F31/Balance_Sheet!F40</f>
        <v>5.8688693040350945E-2</v>
      </c>
      <c r="G62" s="23">
        <f>G31/Balance_Sheet!G40</f>
        <v>6.1655257152887492E-2</v>
      </c>
      <c r="H62" s="23">
        <f>MEDIAN(C62:G62)</f>
        <v>5.9754799271953013E-2</v>
      </c>
      <c r="I62" s="23">
        <f t="shared" ref="I62:L62" si="36">H62</f>
        <v>5.9754799271953013E-2</v>
      </c>
      <c r="J62" s="23">
        <f t="shared" si="36"/>
        <v>5.9754799271953013E-2</v>
      </c>
      <c r="K62" s="23">
        <f t="shared" si="36"/>
        <v>5.9754799271953013E-2</v>
      </c>
      <c r="L62" s="23">
        <f t="shared" si="36"/>
        <v>5.9754799271953013E-2</v>
      </c>
    </row>
    <row r="63" spans="2:12" x14ac:dyDescent="0.25">
      <c r="B63" t="s">
        <v>267</v>
      </c>
      <c r="C63" s="23">
        <f>C35/Balance_Sheet!C21</f>
        <v>3.4276997622145457E-2</v>
      </c>
      <c r="D63" s="23">
        <f>D35/Balance_Sheet!D21</f>
        <v>3.5709936266085714E-2</v>
      </c>
      <c r="E63" s="23">
        <f>E35/Balance_Sheet!E21</f>
        <v>2.757982155883508E-2</v>
      </c>
      <c r="F63" s="23">
        <f>F35/Balance_Sheet!F21</f>
        <v>6.1122810622014486E-3</v>
      </c>
      <c r="G63" s="23">
        <f>G35/Balance_Sheet!G21</f>
        <v>7.2923008800575631E-3</v>
      </c>
      <c r="H63" s="23">
        <f>G63</f>
        <v>7.2923008800575631E-3</v>
      </c>
      <c r="I63" s="23">
        <f t="shared" ref="I63:L63" si="37">H63</f>
        <v>7.2923008800575631E-3</v>
      </c>
      <c r="J63" s="23">
        <f t="shared" si="37"/>
        <v>7.2923008800575631E-3</v>
      </c>
      <c r="K63" s="23">
        <f t="shared" si="37"/>
        <v>7.2923008800575631E-3</v>
      </c>
      <c r="L63" s="23">
        <f t="shared" si="37"/>
        <v>7.2923008800575631E-3</v>
      </c>
    </row>
    <row r="64" spans="2:12" x14ac:dyDescent="0.25">
      <c r="B64" t="s">
        <v>268</v>
      </c>
      <c r="C64" s="23">
        <f>C47/Income_Statement!C45</f>
        <v>1.2401166154615837E-2</v>
      </c>
      <c r="D64" s="23">
        <f>D47/Income_Statement!D45</f>
        <v>1.4670850222440055E-2</v>
      </c>
      <c r="E64" s="23">
        <f>E47/Income_Statement!E45</f>
        <v>1.0360289109034087E-2</v>
      </c>
      <c r="F64" s="23">
        <f>F47/Income_Statement!F45</f>
        <v>-3.1011717208499173E-3</v>
      </c>
      <c r="G64" s="23">
        <f>G47/Income_Statement!G45</f>
        <v>0.23282827046601062</v>
      </c>
      <c r="H64" s="23">
        <f>G64</f>
        <v>0.23282827046601062</v>
      </c>
      <c r="I64" s="23">
        <f t="shared" ref="I64:L64" si="38">H64</f>
        <v>0.23282827046601062</v>
      </c>
      <c r="J64" s="23">
        <f t="shared" si="38"/>
        <v>0.23282827046601062</v>
      </c>
      <c r="K64" s="23">
        <f t="shared" si="38"/>
        <v>0.23282827046601062</v>
      </c>
      <c r="L64" s="23">
        <f t="shared" si="38"/>
        <v>0.23282827046601062</v>
      </c>
    </row>
    <row r="65" spans="2:12" x14ac:dyDescent="0.25">
      <c r="B65" t="s">
        <v>269</v>
      </c>
      <c r="C65" s="23">
        <f>C53/Income_Statement!C51</f>
        <v>0</v>
      </c>
      <c r="D65" s="23">
        <f>D53/Income_Statement!D51</f>
        <v>0</v>
      </c>
      <c r="E65" s="23">
        <f>E53/Income_Statement!E51</f>
        <v>0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8065E171-3733-43CE-A6EF-55B6F90BA232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4188E-841A-4C9E-BF42-B3EE3E7281A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3905.03</v>
      </c>
      <c r="D5" s="13">
        <f>Income_Statement!D5</f>
        <v>3642.19</v>
      </c>
      <c r="E5" s="13">
        <f>Income_Statement!E5</f>
        <v>3052.94</v>
      </c>
      <c r="F5" s="13">
        <f>Income_Statement!F5</f>
        <v>2544.39</v>
      </c>
      <c r="G5" s="13">
        <f>Income_Statement!G5</f>
        <v>4422.6099999999997</v>
      </c>
    </row>
    <row r="6" spans="2:15" ht="18.75" x14ac:dyDescent="0.25">
      <c r="B6" s="12" t="str">
        <f>Income_Statement!B15</f>
        <v>Total Income</v>
      </c>
      <c r="C6" s="13">
        <f>Income_Statement!C15</f>
        <v>3914.2621075382267</v>
      </c>
      <c r="D6" s="13">
        <f>Income_Statement!D15</f>
        <v>3647.7412492483918</v>
      </c>
      <c r="E6" s="13">
        <f>Income_Statement!E15</f>
        <v>3050.0387225428603</v>
      </c>
      <c r="F6" s="13">
        <f>Income_Statement!F15</f>
        <v>2563.2470154339544</v>
      </c>
      <c r="G6" s="13">
        <f>Income_Statement!G15</f>
        <v>4431.4017614033337</v>
      </c>
    </row>
  </sheetData>
  <hyperlinks>
    <hyperlink ref="F1" location="Index_Data!A1" tooltip="Hi click here To return Index page" display="Index_Data!A1" xr:uid="{89A81ADE-57FC-4D22-BA3B-E5EFBBE4AE1D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A30C3-07D7-45A6-A202-E2A5C6868FF0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2316.89</v>
      </c>
      <c r="D5" s="13">
        <f>Balance_Sheet!D37</f>
        <v>3381.9512492483918</v>
      </c>
      <c r="E5" s="13">
        <f>Balance_Sheet!E37</f>
        <v>4645.3299717912523</v>
      </c>
      <c r="F5" s="13">
        <f>Balance_Sheet!F37</f>
        <v>6120.2069872252059</v>
      </c>
      <c r="G5" s="13">
        <f>Balance_Sheet!G37</f>
        <v>6468.3587486285405</v>
      </c>
    </row>
    <row r="6" spans="2:15" ht="18.75" x14ac:dyDescent="0.25">
      <c r="B6" s="12" t="str">
        <f>Balance_Sheet!B21</f>
        <v>Total Debt</v>
      </c>
      <c r="C6" s="13">
        <f>Balance_Sheet!C21</f>
        <v>891.56</v>
      </c>
      <c r="D6" s="13">
        <f>Balance_Sheet!D21</f>
        <v>739.01</v>
      </c>
      <c r="E6" s="13">
        <f>Balance_Sheet!E21</f>
        <v>712.84</v>
      </c>
      <c r="F6" s="13">
        <f>Balance_Sheet!F21</f>
        <v>584.06999999999994</v>
      </c>
      <c r="G6" s="13">
        <f>Balance_Sheet!G21</f>
        <v>722.68</v>
      </c>
    </row>
  </sheetData>
  <hyperlinks>
    <hyperlink ref="F1" location="Index_Data!A1" tooltip="Hi click here To return Index page" display="Index_Data!A1" xr:uid="{EFFB5EBC-C909-4E6A-BFA3-60039D6F191C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7DA9E-A9D6-40EA-BCCA-44AD5FC83FA3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2316.89</v>
      </c>
      <c r="D5" s="13">
        <f>Balance_Sheet!D37</f>
        <v>3381.9512492483918</v>
      </c>
      <c r="E5" s="13">
        <f>Balance_Sheet!E37</f>
        <v>4645.3299717912523</v>
      </c>
      <c r="F5" s="13">
        <f>Balance_Sheet!F37</f>
        <v>6120.2069872252059</v>
      </c>
      <c r="G5" s="13">
        <f>Balance_Sheet!G37</f>
        <v>6468.3587486285405</v>
      </c>
    </row>
    <row r="6" spans="2:15" ht="18.75" x14ac:dyDescent="0.25">
      <c r="B6" s="12" t="str">
        <f>Balance_Sheet!B33</f>
        <v>Total Current Liabilities</v>
      </c>
      <c r="C6" s="13">
        <f>Balance_Sheet!C33</f>
        <v>441.51</v>
      </c>
      <c r="D6" s="13">
        <f>Balance_Sheet!D33</f>
        <v>246.41</v>
      </c>
      <c r="E6" s="13">
        <f>Balance_Sheet!E33</f>
        <v>158.06</v>
      </c>
      <c r="F6" s="13">
        <f>Balance_Sheet!F33</f>
        <v>252.16000000000003</v>
      </c>
      <c r="G6" s="13">
        <f>Balance_Sheet!G33</f>
        <v>396.96000000000004</v>
      </c>
    </row>
  </sheetData>
  <hyperlinks>
    <hyperlink ref="F1" location="Index_Data!A1" tooltip="Hi click here To return Index page" display="Index_Data!A1" xr:uid="{6BECBD62-3BAE-44D9-B0B7-680FC4FAA57D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9B07E-4F01-40C5-8702-0BAFE224428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2316.89</v>
      </c>
      <c r="D5" s="13">
        <f>Balance_Sheet!D74</f>
        <v>3381.9512492483909</v>
      </c>
      <c r="E5" s="13">
        <f>Balance_Sheet!E74</f>
        <v>4645.3299717912514</v>
      </c>
      <c r="F5" s="13">
        <f>Balance_Sheet!F74</f>
        <v>6120.206987225205</v>
      </c>
      <c r="G5" s="13">
        <f>Balance_Sheet!G74</f>
        <v>6468.3587486285396</v>
      </c>
    </row>
    <row r="6" spans="2:15" ht="18.75" x14ac:dyDescent="0.25">
      <c r="B6" s="12" t="str">
        <f>Balance_Sheet!B54</f>
        <v>Total Non Current Assets</v>
      </c>
      <c r="C6" s="13">
        <f>Balance_Sheet!C54</f>
        <v>356.31</v>
      </c>
      <c r="D6" s="13">
        <f>Balance_Sheet!D54</f>
        <v>333.38000000000005</v>
      </c>
      <c r="E6" s="13">
        <f>Balance_Sheet!E54</f>
        <v>300.61</v>
      </c>
      <c r="F6" s="13">
        <f>Balance_Sheet!F54</f>
        <v>289.74</v>
      </c>
      <c r="G6" s="13">
        <f>Balance_Sheet!G54</f>
        <v>248.91000000000003</v>
      </c>
    </row>
  </sheetData>
  <hyperlinks>
    <hyperlink ref="F1" location="Index_Data!A1" tooltip="Hi click here To return Index page" display="Index_Data!A1" xr:uid="{5A134786-0C47-4488-A046-012084ECFAE7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9EBE1-91EA-4D27-99E1-6CDC0216ABD0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2316.89</v>
      </c>
      <c r="D5" s="13">
        <f>Balance_Sheet!D74</f>
        <v>3381.9512492483909</v>
      </c>
      <c r="E5" s="13">
        <f>Balance_Sheet!E74</f>
        <v>4645.3299717912514</v>
      </c>
      <c r="F5" s="13">
        <f>Balance_Sheet!F74</f>
        <v>6120.206987225205</v>
      </c>
      <c r="G5" s="13">
        <f>Balance_Sheet!G74</f>
        <v>6468.3587486285396</v>
      </c>
    </row>
    <row r="6" spans="2:15" ht="18.75" x14ac:dyDescent="0.25">
      <c r="B6" s="12" t="str">
        <f>Balance_Sheet!B72</f>
        <v>Total Current Assets</v>
      </c>
      <c r="C6" s="13">
        <f>Balance_Sheet!C72</f>
        <v>1960.58</v>
      </c>
      <c r="D6" s="13">
        <f>Balance_Sheet!D72</f>
        <v>3048.5712492483908</v>
      </c>
      <c r="E6" s="13">
        <f>Balance_Sheet!E72</f>
        <v>4344.7199717912517</v>
      </c>
      <c r="F6" s="13">
        <f>Balance_Sheet!F72</f>
        <v>5830.4669872252052</v>
      </c>
      <c r="G6" s="13">
        <f>Balance_Sheet!G72</f>
        <v>6219.4487486285398</v>
      </c>
    </row>
  </sheetData>
  <hyperlinks>
    <hyperlink ref="F1" location="Index_Data!A1" tooltip="Hi click here To return Index page" display="Index_Data!A1" xr:uid="{8F3C572A-80D5-42B9-B97B-47F5AF81FBBF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A5C14-DFE8-4A3F-93CD-8D39B2B84EA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2453.34</v>
      </c>
      <c r="D5" s="13">
        <f>Income_Statement!D25</f>
        <v>2164.4900000000002</v>
      </c>
      <c r="E5" s="13">
        <f>Income_Statement!E25</f>
        <v>1619.52</v>
      </c>
      <c r="F5" s="13">
        <f>Income_Statement!F25</f>
        <v>1032.07</v>
      </c>
      <c r="G5" s="13">
        <f>Income_Statement!G25</f>
        <v>4324.79</v>
      </c>
    </row>
    <row r="6" spans="2:15" ht="18.75" x14ac:dyDescent="0.25">
      <c r="B6" s="12" t="str">
        <f>Income_Statement!B15</f>
        <v>Total Income</v>
      </c>
      <c r="C6" s="13">
        <f>Income_Statement!C15</f>
        <v>3914.2621075382267</v>
      </c>
      <c r="D6" s="13">
        <f>Income_Statement!D15</f>
        <v>3647.7412492483918</v>
      </c>
      <c r="E6" s="13">
        <f>Income_Statement!E15</f>
        <v>3050.0387225428603</v>
      </c>
      <c r="F6" s="13">
        <f>Income_Statement!F15</f>
        <v>2563.2470154339544</v>
      </c>
      <c r="G6" s="13">
        <f>Income_Statement!G15</f>
        <v>4431.4017614033337</v>
      </c>
    </row>
  </sheetData>
  <hyperlinks>
    <hyperlink ref="F1" location="Index_Data!A1" tooltip="Hi click here To return Index page" display="Index_Data!A1" xr:uid="{95E1C47C-09A2-4784-95AB-2BD1FE0F8DEC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DCC5D-792C-4968-BBF5-D10818E3049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6" width="11.5703125" bestFit="1" customWidth="1"/>
    <col min="7" max="7" width="8.42578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1388.0721075382264</v>
      </c>
      <c r="D5" s="13">
        <f>Income_Statement!D55</f>
        <v>1412.7112492483914</v>
      </c>
      <c r="E5" s="13">
        <f>Income_Statement!E55</f>
        <v>1377.89872254286</v>
      </c>
      <c r="F5" s="13">
        <f>Income_Statement!F55</f>
        <v>1511.3870154339545</v>
      </c>
      <c r="G5" s="13">
        <f>Income_Statement!G55</f>
        <v>62.901761403333737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1390.4721075382265</v>
      </c>
      <c r="D6" s="13">
        <f>Income_Statement!D49</f>
        <v>1415.1112492483915</v>
      </c>
      <c r="E6" s="13">
        <f>Income_Statement!E49</f>
        <v>1380.2987225428601</v>
      </c>
      <c r="F6" s="13">
        <f>Income_Statement!F49</f>
        <v>1513.7870154339546</v>
      </c>
      <c r="G6" s="13">
        <f>Income_Statement!G49</f>
        <v>62.901761403333737</v>
      </c>
    </row>
  </sheetData>
  <hyperlinks>
    <hyperlink ref="F1" location="Index_Data!A1" tooltip="Hi click here To return Index page" display="Index_Data!A1" xr:uid="{15BD3804-B8B5-4762-8C3D-FAE5DD74FE8D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EA6A2-4E1F-416E-82DD-50ED5741C2AF}">
  <dimension ref="B1:O40"/>
  <sheetViews>
    <sheetView showGridLines="0" workbookViewId="0"/>
  </sheetViews>
  <sheetFormatPr defaultRowHeight="15" x14ac:dyDescent="0.25"/>
  <cols>
    <col min="2" max="2" width="46" bestFit="1" customWidth="1"/>
    <col min="3" max="7" width="13.71093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4">
        <v>16.010000000000002</v>
      </c>
      <c r="D5" s="4">
        <v>16.010000000000002</v>
      </c>
      <c r="E5" s="4">
        <v>16.010000000000002</v>
      </c>
      <c r="F5" s="4">
        <v>16.010000000000002</v>
      </c>
      <c r="G5" s="4">
        <v>16.010000000000002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6">
        <f>C5+C6</f>
        <v>16.010000000000002</v>
      </c>
      <c r="D7" s="6">
        <f t="shared" ref="D7:G7" si="0">D5+D6</f>
        <v>16.010000000000002</v>
      </c>
      <c r="E7" s="6">
        <f t="shared" si="0"/>
        <v>16.010000000000002</v>
      </c>
      <c r="F7" s="6">
        <f t="shared" si="0"/>
        <v>16.010000000000002</v>
      </c>
      <c r="G7" s="6">
        <f t="shared" si="0"/>
        <v>16.010000000000002</v>
      </c>
    </row>
    <row r="8" spans="2:15" ht="18.75" x14ac:dyDescent="0.25">
      <c r="B8" s="8" t="s">
        <v>7</v>
      </c>
      <c r="C8" s="5">
        <v>967.81</v>
      </c>
      <c r="D8" s="5">
        <f>Income_Statement!D55+C8</f>
        <v>2380.5212492483915</v>
      </c>
      <c r="E8" s="5">
        <f>Income_Statement!E55+D8</f>
        <v>3758.4199717912516</v>
      </c>
      <c r="F8" s="5">
        <f>Income_Statement!F55+E8</f>
        <v>5269.8069872252063</v>
      </c>
      <c r="G8" s="5">
        <f>Income_Statement!G55+F8</f>
        <v>5332.70874862854</v>
      </c>
    </row>
    <row r="9" spans="2:15" ht="18.75" x14ac:dyDescent="0.25">
      <c r="B9" s="9" t="s">
        <v>122</v>
      </c>
      <c r="C9" s="7">
        <f>C7+C8</f>
        <v>983.81999999999994</v>
      </c>
      <c r="D9" s="7">
        <f t="shared" ref="D9:G9" si="1">D7+D8</f>
        <v>2396.5312492483918</v>
      </c>
      <c r="E9" s="7">
        <f t="shared" si="1"/>
        <v>3774.4299717912518</v>
      </c>
      <c r="F9" s="7">
        <f t="shared" si="1"/>
        <v>5285.8169872252065</v>
      </c>
      <c r="G9" s="7">
        <f t="shared" si="1"/>
        <v>5348.7187486285402</v>
      </c>
    </row>
    <row r="10" spans="2:15" ht="18.75" x14ac:dyDescent="0.25">
      <c r="B10" s="8" t="s">
        <v>12</v>
      </c>
      <c r="C10" s="4">
        <v>22.61</v>
      </c>
      <c r="D10" s="4">
        <v>51.65</v>
      </c>
      <c r="E10" s="4">
        <v>50.84</v>
      </c>
      <c r="F10" s="4">
        <v>51.24</v>
      </c>
      <c r="G10" s="4">
        <v>49.89</v>
      </c>
    </row>
    <row r="11" spans="2:15" ht="18.75" x14ac:dyDescent="0.25">
      <c r="B11" s="8" t="s">
        <v>13</v>
      </c>
      <c r="C11" s="4">
        <v>47.19</v>
      </c>
      <c r="D11" s="4">
        <v>48.69</v>
      </c>
      <c r="E11" s="4">
        <v>49.5</v>
      </c>
      <c r="F11" s="4">
        <v>35.01</v>
      </c>
      <c r="G11" s="4">
        <v>31.49</v>
      </c>
    </row>
    <row r="12" spans="2:15" ht="18.75" x14ac:dyDescent="0.25">
      <c r="B12" s="8" t="s">
        <v>18</v>
      </c>
      <c r="C12" s="4">
        <v>821.76</v>
      </c>
      <c r="D12" s="4">
        <v>638.66999999999996</v>
      </c>
      <c r="E12" s="4">
        <v>612.5</v>
      </c>
      <c r="F12" s="4">
        <v>497.82</v>
      </c>
      <c r="G12" s="4">
        <v>641.29999999999995</v>
      </c>
    </row>
    <row r="13" spans="2:15" ht="18.75" x14ac:dyDescent="0.25">
      <c r="B13" s="9" t="s">
        <v>123</v>
      </c>
      <c r="C13" s="6">
        <f>C10+C11+C12</f>
        <v>891.56</v>
      </c>
      <c r="D13" s="6">
        <f t="shared" ref="D13:G13" si="2">D10+D11+D12</f>
        <v>739.01</v>
      </c>
      <c r="E13" s="6">
        <f t="shared" si="2"/>
        <v>712.84</v>
      </c>
      <c r="F13" s="6">
        <f t="shared" si="2"/>
        <v>584.06999999999994</v>
      </c>
      <c r="G13" s="6">
        <f t="shared" si="2"/>
        <v>722.68</v>
      </c>
    </row>
    <row r="14" spans="2:15" ht="18.75" x14ac:dyDescent="0.25">
      <c r="B14" s="8" t="s">
        <v>15</v>
      </c>
      <c r="C14" s="4">
        <v>8.3800000000000008</v>
      </c>
      <c r="D14" s="4">
        <v>8.92</v>
      </c>
      <c r="E14" s="4">
        <v>7.31</v>
      </c>
      <c r="F14" s="4">
        <v>12.71</v>
      </c>
      <c r="G14" s="4">
        <v>13.6</v>
      </c>
    </row>
    <row r="15" spans="2:15" ht="18.75" x14ac:dyDescent="0.25">
      <c r="B15" s="8" t="s">
        <v>21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</row>
    <row r="16" spans="2:15" ht="18.75" x14ac:dyDescent="0.25">
      <c r="B16" s="8" t="s">
        <v>14</v>
      </c>
      <c r="C16" s="4">
        <v>7.81</v>
      </c>
      <c r="D16" s="4">
        <v>5.61</v>
      </c>
      <c r="E16" s="4">
        <v>7.58</v>
      </c>
      <c r="F16" s="4">
        <v>5.09</v>
      </c>
      <c r="G16" s="4">
        <v>6.75</v>
      </c>
    </row>
    <row r="17" spans="2:7" ht="18.75" x14ac:dyDescent="0.25">
      <c r="B17" s="8" t="s">
        <v>19</v>
      </c>
      <c r="C17" s="4">
        <v>229.01</v>
      </c>
      <c r="D17" s="4">
        <v>201.28</v>
      </c>
      <c r="E17" s="4">
        <v>130.22</v>
      </c>
      <c r="F17" s="4">
        <v>219.08</v>
      </c>
      <c r="G17" s="4">
        <v>353.61</v>
      </c>
    </row>
    <row r="18" spans="2:7" ht="18.75" x14ac:dyDescent="0.25">
      <c r="B18" s="8" t="s">
        <v>20</v>
      </c>
      <c r="C18" s="4">
        <v>196.31</v>
      </c>
      <c r="D18" s="4">
        <v>30.6</v>
      </c>
      <c r="E18" s="4">
        <v>12.95</v>
      </c>
      <c r="F18" s="4">
        <v>15.28</v>
      </c>
      <c r="G18" s="4">
        <v>23</v>
      </c>
    </row>
    <row r="19" spans="2:7" ht="18.75" x14ac:dyDescent="0.25">
      <c r="B19" s="9" t="s">
        <v>22</v>
      </c>
      <c r="C19" s="6">
        <f>C14+C15+C16+C17+C18</f>
        <v>441.51</v>
      </c>
      <c r="D19" s="6">
        <f t="shared" ref="D19:G19" si="3">D14+D15+D16+D17+D18</f>
        <v>246.41</v>
      </c>
      <c r="E19" s="6">
        <f t="shared" si="3"/>
        <v>158.06</v>
      </c>
      <c r="F19" s="6">
        <f t="shared" si="3"/>
        <v>252.16000000000003</v>
      </c>
      <c r="G19" s="6">
        <f t="shared" si="3"/>
        <v>396.96000000000004</v>
      </c>
    </row>
    <row r="20" spans="2:7" ht="18.75" x14ac:dyDescent="0.25">
      <c r="B20" s="8" t="s">
        <v>10</v>
      </c>
      <c r="C20" s="4">
        <v>0</v>
      </c>
      <c r="D20" s="4">
        <v>0</v>
      </c>
      <c r="E20" s="4">
        <v>0</v>
      </c>
      <c r="F20" s="4">
        <v>-1.84</v>
      </c>
      <c r="G20" s="4">
        <v>0</v>
      </c>
    </row>
    <row r="21" spans="2:7" ht="18.75" x14ac:dyDescent="0.25">
      <c r="B21" s="9" t="s">
        <v>124</v>
      </c>
      <c r="C21" s="7">
        <f>C9+C13+C19+C20</f>
        <v>2316.89</v>
      </c>
      <c r="D21" s="7">
        <f t="shared" ref="D21:G21" si="4">D9+D13+D19+D20</f>
        <v>3381.9512492483918</v>
      </c>
      <c r="E21" s="7">
        <f t="shared" si="4"/>
        <v>4645.3299717912523</v>
      </c>
      <c r="F21" s="7">
        <f t="shared" si="4"/>
        <v>6120.2069872252059</v>
      </c>
      <c r="G21" s="7">
        <f t="shared" si="4"/>
        <v>6468.3587486285405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4">
        <v>291.19</v>
      </c>
      <c r="D23" s="4">
        <v>278.81</v>
      </c>
      <c r="E23" s="4">
        <v>267.35000000000002</v>
      </c>
      <c r="F23" s="4">
        <v>253.03</v>
      </c>
      <c r="G23" s="4">
        <v>227.88</v>
      </c>
    </row>
    <row r="24" spans="2:7" ht="18.75" x14ac:dyDescent="0.25">
      <c r="B24" s="8" t="s">
        <v>27</v>
      </c>
      <c r="C24" s="4">
        <v>0.22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8" t="s">
        <v>125</v>
      </c>
      <c r="C25" s="4"/>
      <c r="D25" s="4">
        <f>Income_Statement!D31</f>
        <v>17.21</v>
      </c>
      <c r="E25" s="4">
        <f>Income_Statement!E31+D25</f>
        <v>33.18</v>
      </c>
      <c r="F25" s="4">
        <f>Income_Statement!F31+E25</f>
        <v>48.03</v>
      </c>
      <c r="G25" s="4">
        <f>Income_Statement!G31+F25</f>
        <v>62.08</v>
      </c>
    </row>
    <row r="26" spans="2:7" ht="18.75" x14ac:dyDescent="0.25">
      <c r="B26" s="9" t="s">
        <v>126</v>
      </c>
      <c r="C26" s="6">
        <f>C23+C24-C25</f>
        <v>291.41000000000003</v>
      </c>
      <c r="D26" s="6">
        <f t="shared" ref="D26:G26" si="5">D23+D24-D25</f>
        <v>261.60000000000002</v>
      </c>
      <c r="E26" s="6">
        <f t="shared" si="5"/>
        <v>234.17000000000002</v>
      </c>
      <c r="F26" s="6">
        <f t="shared" si="5"/>
        <v>205</v>
      </c>
      <c r="G26" s="6">
        <f t="shared" si="5"/>
        <v>165.8</v>
      </c>
    </row>
    <row r="27" spans="2:7" ht="18.75" x14ac:dyDescent="0.25">
      <c r="B27" s="8" t="s">
        <v>30</v>
      </c>
      <c r="C27" s="4">
        <v>40.159999999999997</v>
      </c>
      <c r="D27" s="4">
        <v>45.74</v>
      </c>
      <c r="E27" s="4">
        <v>48.54</v>
      </c>
      <c r="F27" s="4">
        <v>50.74</v>
      </c>
      <c r="G27" s="4">
        <v>42.9</v>
      </c>
    </row>
    <row r="28" spans="2:7" ht="18.75" x14ac:dyDescent="0.25">
      <c r="B28" s="8" t="s">
        <v>36</v>
      </c>
      <c r="C28" s="4">
        <v>24.71</v>
      </c>
      <c r="D28" s="4">
        <v>26.04</v>
      </c>
      <c r="E28" s="4">
        <v>17.899999999999999</v>
      </c>
      <c r="F28" s="4">
        <v>34</v>
      </c>
      <c r="G28" s="4">
        <v>40.21</v>
      </c>
    </row>
    <row r="29" spans="2:7" ht="18.75" x14ac:dyDescent="0.25">
      <c r="B29" s="8" t="s">
        <v>28</v>
      </c>
      <c r="C29" s="4">
        <v>0.03</v>
      </c>
      <c r="D29" s="4">
        <v>0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127</v>
      </c>
      <c r="C30" s="6">
        <f>C26+C27+C28+C29</f>
        <v>356.31</v>
      </c>
      <c r="D30" s="6">
        <f t="shared" ref="D30:G30" si="6">D26+D27+D28+D29</f>
        <v>333.38000000000005</v>
      </c>
      <c r="E30" s="6">
        <f t="shared" si="6"/>
        <v>300.61</v>
      </c>
      <c r="F30" s="6">
        <f t="shared" si="6"/>
        <v>289.74</v>
      </c>
      <c r="G30" s="6">
        <f t="shared" si="6"/>
        <v>248.91000000000003</v>
      </c>
    </row>
    <row r="31" spans="2:7" ht="18.75" x14ac:dyDescent="0.25">
      <c r="B31" s="8" t="s">
        <v>31</v>
      </c>
      <c r="C31" s="4">
        <v>0</v>
      </c>
      <c r="D31" s="4">
        <v>0</v>
      </c>
      <c r="E31" s="4">
        <v>0</v>
      </c>
      <c r="F31" s="4">
        <v>0</v>
      </c>
      <c r="G31" s="4">
        <v>2.91</v>
      </c>
    </row>
    <row r="32" spans="2:7" ht="18.75" x14ac:dyDescent="0.25">
      <c r="B32" s="8" t="s">
        <v>32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2:7" ht="18.75" x14ac:dyDescent="0.25">
      <c r="B33" s="8" t="s">
        <v>33</v>
      </c>
      <c r="C33" s="4">
        <v>7.91</v>
      </c>
      <c r="D33" s="4">
        <v>9.99</v>
      </c>
      <c r="E33" s="4">
        <v>13.25</v>
      </c>
      <c r="F33" s="4">
        <v>3.05</v>
      </c>
      <c r="G33" s="4">
        <v>3.22</v>
      </c>
    </row>
    <row r="34" spans="2:7" ht="18.75" x14ac:dyDescent="0.25">
      <c r="B34" s="8" t="s">
        <v>40</v>
      </c>
      <c r="C34" s="4">
        <v>61.06</v>
      </c>
      <c r="D34" s="4">
        <v>54.47</v>
      </c>
      <c r="E34" s="4">
        <v>122.19</v>
      </c>
      <c r="F34" s="4">
        <v>81.709999999999994</v>
      </c>
      <c r="G34" s="4">
        <v>196.74</v>
      </c>
    </row>
    <row r="35" spans="2:7" ht="18.75" x14ac:dyDescent="0.25">
      <c r="B35" s="8" t="s">
        <v>41</v>
      </c>
      <c r="C35" s="4">
        <v>2.5099999999999998</v>
      </c>
      <c r="D35" s="4">
        <v>0.09</v>
      </c>
      <c r="E35" s="4">
        <v>2.65</v>
      </c>
      <c r="F35" s="4">
        <v>0</v>
      </c>
      <c r="G35" s="4">
        <v>1.1299999999999999</v>
      </c>
    </row>
    <row r="36" spans="2:7" ht="18.75" x14ac:dyDescent="0.25">
      <c r="B36" s="8" t="s">
        <v>37</v>
      </c>
      <c r="C36" s="4">
        <v>559.4</v>
      </c>
      <c r="D36" s="4">
        <v>566.15</v>
      </c>
      <c r="E36" s="4">
        <v>553.86</v>
      </c>
      <c r="F36" s="4">
        <v>485.27</v>
      </c>
      <c r="G36" s="4">
        <v>564.65</v>
      </c>
    </row>
    <row r="37" spans="2:7" ht="18.75" x14ac:dyDescent="0.25">
      <c r="B37" s="8" t="s">
        <v>38</v>
      </c>
      <c r="C37" s="5">
        <v>924.85</v>
      </c>
      <c r="D37" s="4">
        <v>765.39</v>
      </c>
      <c r="E37" s="4">
        <v>667.11</v>
      </c>
      <c r="F37" s="4">
        <v>806.45</v>
      </c>
      <c r="G37" s="4">
        <v>1048.01</v>
      </c>
    </row>
    <row r="38" spans="2:7" ht="18.75" x14ac:dyDescent="0.25">
      <c r="B38" s="8" t="s">
        <v>39</v>
      </c>
      <c r="C38" s="4">
        <v>404.85</v>
      </c>
      <c r="D38" s="5">
        <f>CashFlow_Statement!D48+C38</f>
        <v>1652.4812492483911</v>
      </c>
      <c r="E38" s="5">
        <f>CashFlow_Statement!E48+D38</f>
        <v>2985.6599717912513</v>
      </c>
      <c r="F38" s="5">
        <f>CashFlow_Statement!F48+E38</f>
        <v>4453.9869872252057</v>
      </c>
      <c r="G38" s="5">
        <f>CashFlow_Statement!G48+F38</f>
        <v>4402.7887486285399</v>
      </c>
    </row>
    <row r="39" spans="2:7" ht="18.75" x14ac:dyDescent="0.25">
      <c r="B39" s="9" t="s">
        <v>42</v>
      </c>
      <c r="C39" s="7">
        <f>C31+C32+C33+C34+C35+C36+C37+C38</f>
        <v>1960.58</v>
      </c>
      <c r="D39" s="7">
        <f t="shared" ref="D39:G39" si="7">D31+D32+D33+D34+D35+D36+D37+D38</f>
        <v>3048.5712492483908</v>
      </c>
      <c r="E39" s="7">
        <f t="shared" si="7"/>
        <v>4344.7199717912517</v>
      </c>
      <c r="F39" s="7">
        <f t="shared" si="7"/>
        <v>5830.4669872252052</v>
      </c>
      <c r="G39" s="7">
        <f t="shared" si="7"/>
        <v>6219.4487486285398</v>
      </c>
    </row>
    <row r="40" spans="2:7" ht="18.75" x14ac:dyDescent="0.25">
      <c r="B40" s="9" t="s">
        <v>43</v>
      </c>
      <c r="C40" s="7">
        <f>C30+C39</f>
        <v>2316.89</v>
      </c>
      <c r="D40" s="7">
        <f t="shared" ref="D40:G40" si="8">D30+D39</f>
        <v>3381.9512492483909</v>
      </c>
      <c r="E40" s="7">
        <f t="shared" si="8"/>
        <v>4645.3299717912514</v>
      </c>
      <c r="F40" s="7">
        <f t="shared" si="8"/>
        <v>6120.206987225205</v>
      </c>
      <c r="G40" s="7">
        <f t="shared" si="8"/>
        <v>6468.3587486285396</v>
      </c>
    </row>
  </sheetData>
  <mergeCells count="1">
    <mergeCell ref="B3:G3"/>
  </mergeCells>
  <hyperlinks>
    <hyperlink ref="F1" location="Index_Data!A1" tooltip="Hi click here To return Index page" display="Index_Data!A1" xr:uid="{5D18C416-00B0-4C79-99A4-2984318B72F8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F6115-AC8E-4C40-B792-CC412C42D05B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4" width="18.85546875" bestFit="1" customWidth="1"/>
    <col min="5" max="6" width="13.7109375" bestFit="1" customWidth="1"/>
    <col min="7" max="7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3905.03</v>
      </c>
      <c r="D5" s="5">
        <v>3642.19</v>
      </c>
      <c r="E5" s="5">
        <v>3052.94</v>
      </c>
      <c r="F5" s="5">
        <v>2544.39</v>
      </c>
      <c r="G5" s="5">
        <v>4422.6099999999997</v>
      </c>
    </row>
    <row r="6" spans="2:15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15" ht="18.75" x14ac:dyDescent="0.25">
      <c r="B7" s="9" t="s">
        <v>105</v>
      </c>
      <c r="C7" s="7">
        <f>C5 - C6</f>
        <v>3905.03</v>
      </c>
      <c r="D7" s="7">
        <f t="shared" ref="D7:G7" si="0">D5 - D6</f>
        <v>3642.19</v>
      </c>
      <c r="E7" s="7">
        <f t="shared" si="0"/>
        <v>3052.94</v>
      </c>
      <c r="F7" s="7">
        <f t="shared" si="0"/>
        <v>2544.39</v>
      </c>
      <c r="G7" s="7">
        <f t="shared" si="0"/>
        <v>4422.6099999999997</v>
      </c>
    </row>
    <row r="8" spans="2:15" ht="18.75" x14ac:dyDescent="0.25">
      <c r="B8" s="8" t="s">
        <v>59</v>
      </c>
      <c r="C8" s="4">
        <v>8.23</v>
      </c>
      <c r="D8" s="4">
        <v>4.55</v>
      </c>
      <c r="E8" s="4">
        <v>-3.9</v>
      </c>
      <c r="F8" s="4">
        <v>17.850000000000001</v>
      </c>
      <c r="G8" s="4">
        <v>7.79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3913.26</v>
      </c>
      <c r="D10" s="7">
        <f t="shared" ref="D10:G10" si="1">SUM(D7:D9)</f>
        <v>3646.7400000000002</v>
      </c>
      <c r="E10" s="7">
        <f t="shared" si="1"/>
        <v>3049.04</v>
      </c>
      <c r="F10" s="7">
        <f t="shared" si="1"/>
        <v>2562.2399999999998</v>
      </c>
      <c r="G10" s="7">
        <f t="shared" si="1"/>
        <v>4430.3999999999996</v>
      </c>
    </row>
    <row r="11" spans="2:15" ht="18.75" x14ac:dyDescent="0.25">
      <c r="B11" s="8" t="s">
        <v>62</v>
      </c>
      <c r="C11" s="5">
        <v>2073.46</v>
      </c>
      <c r="D11" s="4">
        <v>1780.46</v>
      </c>
      <c r="E11" s="5">
        <v>1207.0999999999999</v>
      </c>
      <c r="F11" s="5">
        <v>741.5</v>
      </c>
      <c r="G11" s="5">
        <v>3844.36</v>
      </c>
    </row>
    <row r="12" spans="2:15" ht="18.75" x14ac:dyDescent="0.25">
      <c r="B12" s="8" t="s">
        <v>64</v>
      </c>
      <c r="C12" s="4">
        <v>243.01</v>
      </c>
      <c r="D12" s="4">
        <v>260.26</v>
      </c>
      <c r="E12" s="4">
        <v>292.81</v>
      </c>
      <c r="F12" s="4">
        <v>198.24</v>
      </c>
      <c r="G12" s="4">
        <v>0</v>
      </c>
    </row>
    <row r="13" spans="2:15" ht="18.75" x14ac:dyDescent="0.25">
      <c r="B13" s="8" t="s">
        <v>66</v>
      </c>
      <c r="C13" s="4">
        <v>72.92</v>
      </c>
      <c r="D13" s="4">
        <v>67.47</v>
      </c>
      <c r="E13" s="4">
        <v>65.73</v>
      </c>
      <c r="F13" s="4">
        <v>55.13</v>
      </c>
      <c r="G13" s="4">
        <v>69.88</v>
      </c>
    </row>
    <row r="14" spans="2:15" ht="18.75" x14ac:dyDescent="0.25">
      <c r="B14" s="8" t="s">
        <v>69</v>
      </c>
      <c r="C14" s="4">
        <v>63.95</v>
      </c>
      <c r="D14" s="4">
        <v>56.3</v>
      </c>
      <c r="E14" s="4">
        <v>53.88</v>
      </c>
      <c r="F14" s="4">
        <v>37.200000000000003</v>
      </c>
      <c r="G14" s="4">
        <v>410.55</v>
      </c>
    </row>
    <row r="15" spans="2:15" ht="18.75" x14ac:dyDescent="0.25">
      <c r="B15" s="9" t="s">
        <v>108</v>
      </c>
      <c r="C15" s="7">
        <f>C11+C12+C13+C14</f>
        <v>2453.34</v>
      </c>
      <c r="D15" s="7">
        <f t="shared" ref="D15:G15" si="2">D11+D12+D13+D14</f>
        <v>2164.4900000000002</v>
      </c>
      <c r="E15" s="7">
        <f t="shared" si="2"/>
        <v>1619.52</v>
      </c>
      <c r="F15" s="7">
        <f t="shared" si="2"/>
        <v>1032.07</v>
      </c>
      <c r="G15" s="7">
        <f t="shared" si="2"/>
        <v>4324.79</v>
      </c>
    </row>
    <row r="16" spans="2:15" ht="18.75" x14ac:dyDescent="0.25">
      <c r="B16" s="9" t="s">
        <v>109</v>
      </c>
      <c r="C16" s="7">
        <f xml:space="preserve"> C10-C15-C8</f>
        <v>1451.69</v>
      </c>
      <c r="D16" s="7">
        <f t="shared" ref="D16:G16" si="3" xml:space="preserve"> D10-D15-D8</f>
        <v>1477.7</v>
      </c>
      <c r="E16" s="7">
        <f t="shared" si="3"/>
        <v>1433.42</v>
      </c>
      <c r="F16" s="7">
        <f t="shared" si="3"/>
        <v>1512.32</v>
      </c>
      <c r="G16" s="7">
        <f t="shared" si="3"/>
        <v>97.819999999999666</v>
      </c>
    </row>
    <row r="17" spans="2:7" ht="18.75" x14ac:dyDescent="0.25">
      <c r="B17" s="9" t="s">
        <v>110</v>
      </c>
      <c r="C17" s="7">
        <f xml:space="preserve"> C16+C8</f>
        <v>1459.92</v>
      </c>
      <c r="D17" s="7">
        <f t="shared" ref="D17:G17" si="4" xml:space="preserve"> D16+D8</f>
        <v>1482.25</v>
      </c>
      <c r="E17" s="7">
        <f t="shared" si="4"/>
        <v>1429.52</v>
      </c>
      <c r="F17" s="7">
        <f t="shared" si="4"/>
        <v>1530.1699999999998</v>
      </c>
      <c r="G17" s="7">
        <f t="shared" si="4"/>
        <v>105.60999999999967</v>
      </c>
    </row>
    <row r="18" spans="2:7" ht="18.75" x14ac:dyDescent="0.25">
      <c r="B18" s="8" t="s">
        <v>68</v>
      </c>
      <c r="C18" s="4">
        <v>17.399999999999999</v>
      </c>
      <c r="D18" s="4">
        <v>17.21</v>
      </c>
      <c r="E18" s="4">
        <v>15.97</v>
      </c>
      <c r="F18" s="4">
        <v>14.85</v>
      </c>
      <c r="G18" s="4">
        <v>14.05</v>
      </c>
    </row>
    <row r="19" spans="2:7" ht="18.75" x14ac:dyDescent="0.25">
      <c r="B19" s="9" t="s">
        <v>111</v>
      </c>
      <c r="C19" s="7">
        <f xml:space="preserve"> C17-C18</f>
        <v>1442.52</v>
      </c>
      <c r="D19" s="7">
        <f t="shared" ref="D19:G19" si="5" xml:space="preserve"> D17-D18</f>
        <v>1465.04</v>
      </c>
      <c r="E19" s="7">
        <f t="shared" si="5"/>
        <v>1413.55</v>
      </c>
      <c r="F19" s="7">
        <f t="shared" si="5"/>
        <v>1515.32</v>
      </c>
      <c r="G19" s="7">
        <f t="shared" si="5"/>
        <v>91.559999999999675</v>
      </c>
    </row>
    <row r="20" spans="2:7" ht="18.75" x14ac:dyDescent="0.25">
      <c r="B20" s="8" t="s">
        <v>67</v>
      </c>
      <c r="C20" s="4">
        <v>30.56</v>
      </c>
      <c r="D20" s="4">
        <v>26.39</v>
      </c>
      <c r="E20" s="4">
        <v>19.66</v>
      </c>
      <c r="F20" s="4">
        <v>3.57</v>
      </c>
      <c r="G20" s="4">
        <v>5.27</v>
      </c>
    </row>
    <row r="21" spans="2:7" ht="18.75" x14ac:dyDescent="0.25">
      <c r="B21" s="9" t="s">
        <v>112</v>
      </c>
      <c r="C21" s="7">
        <f xml:space="preserve"> C19-C20</f>
        <v>1411.96</v>
      </c>
      <c r="D21" s="7">
        <f t="shared" ref="D21:G21" si="6" xml:space="preserve"> D19-D20</f>
        <v>1438.6499999999999</v>
      </c>
      <c r="E21" s="7">
        <f t="shared" si="6"/>
        <v>1393.8899999999999</v>
      </c>
      <c r="F21" s="7">
        <f t="shared" si="6"/>
        <v>1511.75</v>
      </c>
      <c r="G21" s="7">
        <f t="shared" si="6"/>
        <v>86.289999999999679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1411.96</v>
      </c>
      <c r="D23" s="7">
        <f t="shared" ref="D23:G23" si="7" xml:space="preserve"> D21+D22</f>
        <v>1438.6499999999999</v>
      </c>
      <c r="E23" s="7">
        <f t="shared" si="7"/>
        <v>1393.8899999999999</v>
      </c>
      <c r="F23" s="7">
        <f t="shared" si="7"/>
        <v>1511.75</v>
      </c>
      <c r="G23" s="7">
        <f t="shared" si="7"/>
        <v>86.289999999999679</v>
      </c>
    </row>
    <row r="24" spans="2:7" ht="18.75" x14ac:dyDescent="0.25">
      <c r="B24" s="8" t="s">
        <v>72</v>
      </c>
      <c r="C24" s="4">
        <v>-5.03</v>
      </c>
      <c r="D24" s="4">
        <v>-3.47</v>
      </c>
      <c r="E24" s="4">
        <v>-0.14000000000000001</v>
      </c>
      <c r="F24" s="4">
        <v>-3.65</v>
      </c>
      <c r="G24" s="4">
        <v>-5.3</v>
      </c>
    </row>
    <row r="25" spans="2:7" ht="18.75" x14ac:dyDescent="0.25">
      <c r="B25" s="9" t="s">
        <v>115</v>
      </c>
      <c r="C25" s="7">
        <f xml:space="preserve"> C23+C24</f>
        <v>1406.93</v>
      </c>
      <c r="D25" s="7">
        <f t="shared" ref="D25:G25" si="8" xml:space="preserve"> D23+D24</f>
        <v>1435.1799999999998</v>
      </c>
      <c r="E25" s="7">
        <f t="shared" si="8"/>
        <v>1393.7499999999998</v>
      </c>
      <c r="F25" s="7">
        <f t="shared" si="8"/>
        <v>1508.1</v>
      </c>
      <c r="G25" s="7">
        <f t="shared" si="8"/>
        <v>80.989999999999682</v>
      </c>
    </row>
    <row r="26" spans="2:7" ht="18.75" x14ac:dyDescent="0.25">
      <c r="B26" s="8" t="s">
        <v>79</v>
      </c>
      <c r="C26" s="4">
        <v>17.46</v>
      </c>
      <c r="D26" s="4">
        <v>21.07</v>
      </c>
      <c r="E26" s="4">
        <v>14.45</v>
      </c>
      <c r="F26" s="4">
        <v>-4.68</v>
      </c>
      <c r="G26" s="4">
        <v>19.09</v>
      </c>
    </row>
    <row r="27" spans="2:7" ht="18.75" x14ac:dyDescent="0.25">
      <c r="B27" s="9" t="s">
        <v>116</v>
      </c>
      <c r="C27" s="7">
        <f xml:space="preserve"> C25-C26</f>
        <v>1389.47</v>
      </c>
      <c r="D27" s="7">
        <f t="shared" ref="D27:G27" si="9" xml:space="preserve"> D25-D26</f>
        <v>1414.11</v>
      </c>
      <c r="E27" s="7">
        <f t="shared" si="9"/>
        <v>1379.2999999999997</v>
      </c>
      <c r="F27" s="7">
        <f t="shared" si="9"/>
        <v>1512.78</v>
      </c>
      <c r="G27" s="7">
        <f t="shared" si="9"/>
        <v>61.899999999999679</v>
      </c>
    </row>
    <row r="28" spans="2:7" ht="18.75" x14ac:dyDescent="0.25">
      <c r="B28" s="8" t="s">
        <v>88</v>
      </c>
      <c r="C28" s="4">
        <v>2.4</v>
      </c>
      <c r="D28" s="4">
        <v>2.4</v>
      </c>
      <c r="E28" s="4">
        <v>2.4</v>
      </c>
      <c r="F28" s="4">
        <v>2.4</v>
      </c>
      <c r="G28" s="4">
        <v>0</v>
      </c>
    </row>
    <row r="29" spans="2:7" ht="18.75" x14ac:dyDescent="0.25">
      <c r="B29" s="8" t="s">
        <v>89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1387.07</v>
      </c>
      <c r="D30" s="7">
        <f t="shared" ref="D30:G30" si="10" xml:space="preserve"> D27-D28-D29</f>
        <v>1411.7099999999998</v>
      </c>
      <c r="E30" s="7">
        <f t="shared" si="10"/>
        <v>1376.8999999999996</v>
      </c>
      <c r="F30" s="7">
        <f t="shared" si="10"/>
        <v>1510.3799999999999</v>
      </c>
      <c r="G30" s="7">
        <f t="shared" si="10"/>
        <v>61.899999999999679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68</v>
      </c>
      <c r="D34" s="4">
        <v>72</v>
      </c>
      <c r="E34" s="4">
        <v>40</v>
      </c>
      <c r="F34" s="4">
        <v>40</v>
      </c>
      <c r="G34" s="4">
        <v>59</v>
      </c>
    </row>
    <row r="35" spans="2:7" ht="18.75" x14ac:dyDescent="0.25">
      <c r="B35" s="8" t="s">
        <v>118</v>
      </c>
      <c r="C35" s="4">
        <f>C27/C34</f>
        <v>20.433382352941177</v>
      </c>
      <c r="D35" s="4">
        <f t="shared" ref="D35:G35" si="11">D27/D34</f>
        <v>19.640416666666667</v>
      </c>
      <c r="E35" s="4">
        <f t="shared" si="11"/>
        <v>34.482499999999995</v>
      </c>
      <c r="F35" s="4">
        <f t="shared" si="11"/>
        <v>37.819499999999998</v>
      </c>
      <c r="G35" s="4">
        <f t="shared" si="11"/>
        <v>1.0491525423728758</v>
      </c>
    </row>
  </sheetData>
  <mergeCells count="1">
    <mergeCell ref="B3:G3"/>
  </mergeCells>
  <hyperlinks>
    <hyperlink ref="F1" location="Index_Data!A1" tooltip="Hi click here To return Index page" display="Index_Data!A1" xr:uid="{D4962143-3A39-4740-BEB6-1F5912085707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90202-C5D7-4FFE-AB5B-193103878BDB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7" width="13.7109375" bestFit="1" customWidth="1"/>
    <col min="8" max="12" width="20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4">
        <v>16.010000000000002</v>
      </c>
      <c r="D5" s="4">
        <v>16.010000000000002</v>
      </c>
      <c r="E5" s="4">
        <v>16.010000000000002</v>
      </c>
      <c r="F5" s="4">
        <v>16.010000000000002</v>
      </c>
      <c r="G5" s="4">
        <v>16.010000000000002</v>
      </c>
      <c r="H5" s="24">
        <f>G5</f>
        <v>16.010000000000002</v>
      </c>
      <c r="I5" s="24">
        <f t="shared" ref="I5:L5" si="0">H5</f>
        <v>16.010000000000002</v>
      </c>
      <c r="J5" s="24">
        <f t="shared" si="0"/>
        <v>16.010000000000002</v>
      </c>
      <c r="K5" s="24">
        <f t="shared" si="0"/>
        <v>16.010000000000002</v>
      </c>
      <c r="L5" s="24">
        <f t="shared" si="0"/>
        <v>16.010000000000002</v>
      </c>
    </row>
    <row r="6" spans="2:15" x14ac:dyDescent="0.25">
      <c r="B6" s="17" t="s">
        <v>203</v>
      </c>
      <c r="C6" s="18">
        <f>C5/Balance_Sheet!C74</f>
        <v>6.9101252109508874E-3</v>
      </c>
      <c r="D6" s="18">
        <f>D5/Balance_Sheet!D74</f>
        <v>4.7339535138355661E-3</v>
      </c>
      <c r="E6" s="18">
        <f>E5/Balance_Sheet!E74</f>
        <v>3.4464720692008242E-3</v>
      </c>
      <c r="F6" s="18">
        <f>F5/Balance_Sheet!F74</f>
        <v>2.6159245975533019E-3</v>
      </c>
      <c r="G6" s="18">
        <f>G5/Balance_Sheet!G74</f>
        <v>2.475125549181164E-3</v>
      </c>
      <c r="H6" s="25">
        <f>G6</f>
        <v>2.475125549181164E-3</v>
      </c>
      <c r="I6" s="25">
        <f t="shared" ref="I6:L6" si="1">H6</f>
        <v>2.475125549181164E-3</v>
      </c>
      <c r="J6" s="25">
        <f t="shared" si="1"/>
        <v>2.475125549181164E-3</v>
      </c>
      <c r="K6" s="25">
        <f t="shared" si="1"/>
        <v>2.475125549181164E-3</v>
      </c>
      <c r="L6" s="25">
        <f t="shared" si="1"/>
        <v>2.475125549181164E-3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4">
        <f>G7</f>
        <v>0</v>
      </c>
      <c r="I7" s="24">
        <f t="shared" ref="I7:L7" si="2">H7</f>
        <v>0</v>
      </c>
      <c r="J7" s="24">
        <f t="shared" si="2"/>
        <v>0</v>
      </c>
      <c r="K7" s="24">
        <f t="shared" si="2"/>
        <v>0</v>
      </c>
      <c r="L7" s="24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6">
        <f>C5+C7</f>
        <v>16.010000000000002</v>
      </c>
      <c r="D9" s="6">
        <f t="shared" ref="D9:L9" si="4">D5+D7</f>
        <v>16.010000000000002</v>
      </c>
      <c r="E9" s="6">
        <f t="shared" si="4"/>
        <v>16.010000000000002</v>
      </c>
      <c r="F9" s="6">
        <f t="shared" si="4"/>
        <v>16.010000000000002</v>
      </c>
      <c r="G9" s="6">
        <f t="shared" si="4"/>
        <v>16.010000000000002</v>
      </c>
      <c r="H9" s="26">
        <f t="shared" si="4"/>
        <v>16.010000000000002</v>
      </c>
      <c r="I9" s="26">
        <f t="shared" si="4"/>
        <v>16.010000000000002</v>
      </c>
      <c r="J9" s="26">
        <f t="shared" si="4"/>
        <v>16.010000000000002</v>
      </c>
      <c r="K9" s="26">
        <f t="shared" si="4"/>
        <v>16.010000000000002</v>
      </c>
      <c r="L9" s="26">
        <f t="shared" si="4"/>
        <v>16.010000000000002</v>
      </c>
    </row>
    <row r="10" spans="2:15" x14ac:dyDescent="0.25">
      <c r="B10" s="19" t="s">
        <v>205</v>
      </c>
      <c r="C10" s="20">
        <f>C9/Balance_Sheet!C74</f>
        <v>6.9101252109508874E-3</v>
      </c>
      <c r="D10" s="20">
        <f>D9/Balance_Sheet!D74</f>
        <v>4.7339535138355661E-3</v>
      </c>
      <c r="E10" s="20">
        <f>E9/Balance_Sheet!E74</f>
        <v>3.4464720692008242E-3</v>
      </c>
      <c r="F10" s="20">
        <f>F9/Balance_Sheet!F74</f>
        <v>2.6159245975533019E-3</v>
      </c>
      <c r="G10" s="20">
        <f>G9/Balance_Sheet!G74</f>
        <v>2.475125549181164E-3</v>
      </c>
      <c r="H10" s="27">
        <f>H9/Balance_Sheet!H74</f>
        <v>1.6898516663644686E-3</v>
      </c>
      <c r="I10" s="27">
        <f>I9/Balance_Sheet!I74</f>
        <v>1.3764975933819046E-3</v>
      </c>
      <c r="J10" s="27">
        <f>J9/Balance_Sheet!J74</f>
        <v>1.1141705540088005E-3</v>
      </c>
      <c r="K10" s="27">
        <f>K9/Balance_Sheet!K74</f>
        <v>8.8330151295600489E-4</v>
      </c>
      <c r="L10" s="27">
        <f>L9/Balance_Sheet!L74</f>
        <v>6.7281297371877722E-4</v>
      </c>
    </row>
    <row r="11" spans="2:15" ht="18.75" x14ac:dyDescent="0.25">
      <c r="B11" s="8" t="s">
        <v>7</v>
      </c>
      <c r="C11" s="5">
        <v>967.81</v>
      </c>
      <c r="D11" s="5">
        <f>Income_Statement!D55+C11</f>
        <v>2380.5212492483915</v>
      </c>
      <c r="E11" s="5">
        <f>Income_Statement!E55+D11</f>
        <v>3758.4199717912516</v>
      </c>
      <c r="F11" s="5">
        <f>Income_Statement!F55+E11</f>
        <v>5269.8069872252063</v>
      </c>
      <c r="G11" s="5">
        <f>Income_Statement!G55+F11</f>
        <v>5332.70874862854</v>
      </c>
      <c r="H11" s="28">
        <f>H74-H9-H21-H33-H35</f>
        <v>7818.2538011488505</v>
      </c>
      <c r="I11" s="28">
        <f t="shared" ref="I11:L11" si="5">I74-I9-I21-I33-I35</f>
        <v>9601.698969960642</v>
      </c>
      <c r="J11" s="28">
        <f t="shared" si="5"/>
        <v>11866.143787845454</v>
      </c>
      <c r="K11" s="28">
        <f t="shared" si="5"/>
        <v>14971.802131945238</v>
      </c>
      <c r="L11" s="28">
        <f t="shared" si="5"/>
        <v>19660.713611026258</v>
      </c>
    </row>
    <row r="12" spans="2:15" x14ac:dyDescent="0.25">
      <c r="B12" s="17" t="s">
        <v>206</v>
      </c>
      <c r="C12" s="18">
        <f>C11/Balance_Sheet!C74</f>
        <v>0.41771944287385243</v>
      </c>
      <c r="D12" s="18">
        <f>D11/Balance_Sheet!D74</f>
        <v>0.7038898771167803</v>
      </c>
      <c r="E12" s="18">
        <f>E11/Balance_Sheet!E74</f>
        <v>0.80907491924454078</v>
      </c>
      <c r="F12" s="18">
        <f>F11/Balance_Sheet!F74</f>
        <v>0.86105045110809963</v>
      </c>
      <c r="G12" s="18">
        <f>G11/Balance_Sheet!G74</f>
        <v>0.82442996065411689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983.81999999999994</v>
      </c>
      <c r="D13" s="7">
        <f t="shared" ref="D13:L13" si="6">D9+D11</f>
        <v>2396.5312492483918</v>
      </c>
      <c r="E13" s="7">
        <f t="shared" si="6"/>
        <v>3774.4299717912518</v>
      </c>
      <c r="F13" s="7">
        <f t="shared" si="6"/>
        <v>5285.8169872252065</v>
      </c>
      <c r="G13" s="7">
        <f t="shared" si="6"/>
        <v>5348.7187486285402</v>
      </c>
      <c r="H13" s="29">
        <f t="shared" si="6"/>
        <v>7834.2638011488507</v>
      </c>
      <c r="I13" s="29">
        <f t="shared" si="6"/>
        <v>9617.7089699606422</v>
      </c>
      <c r="J13" s="29">
        <f t="shared" si="6"/>
        <v>11882.153787845455</v>
      </c>
      <c r="K13" s="29">
        <f t="shared" si="6"/>
        <v>14987.812131945238</v>
      </c>
      <c r="L13" s="29">
        <f t="shared" si="6"/>
        <v>19676.723611026257</v>
      </c>
    </row>
    <row r="14" spans="2:15" x14ac:dyDescent="0.25">
      <c r="B14" s="19" t="s">
        <v>207</v>
      </c>
      <c r="C14" s="20">
        <f>C13/Balance_Sheet!C74</f>
        <v>0.42462956808480334</v>
      </c>
      <c r="D14" s="20">
        <f>D13/Balance_Sheet!D74</f>
        <v>0.70862383063061596</v>
      </c>
      <c r="E14" s="20">
        <f>E13/Balance_Sheet!E74</f>
        <v>0.81252139131374168</v>
      </c>
      <c r="F14" s="20">
        <f>F13/Balance_Sheet!F74</f>
        <v>0.86366637570565297</v>
      </c>
      <c r="G14" s="20">
        <f>G13/Balance_Sheet!G74</f>
        <v>0.82690508620329817</v>
      </c>
      <c r="H14" s="27">
        <f>H13/Balance_Sheet!H74</f>
        <v>0.82690466827671583</v>
      </c>
      <c r="I14" s="27">
        <f>I13/Balance_Sheet!I74</f>
        <v>0.82690526239839968</v>
      </c>
      <c r="J14" s="27">
        <f>J13/Balance_Sheet!J74</f>
        <v>0.826904801288041</v>
      </c>
      <c r="K14" s="27">
        <f>K13/Balance_Sheet!K74</f>
        <v>0.82690550481246672</v>
      </c>
      <c r="L14" s="27">
        <f>L13/Balance_Sheet!L74</f>
        <v>0.82690536700668649</v>
      </c>
    </row>
    <row r="15" spans="2:15" ht="18.75" x14ac:dyDescent="0.25">
      <c r="B15" s="8" t="s">
        <v>12</v>
      </c>
      <c r="C15" s="4">
        <v>22.61</v>
      </c>
      <c r="D15" s="4">
        <v>51.65</v>
      </c>
      <c r="E15" s="4">
        <v>50.84</v>
      </c>
      <c r="F15" s="4">
        <v>51.24</v>
      </c>
      <c r="G15" s="4">
        <v>49.89</v>
      </c>
      <c r="H15" s="24">
        <f>ROUND(H74*H16,2)</f>
        <v>73.069999999999993</v>
      </c>
      <c r="I15" s="24">
        <f t="shared" ref="I15:L15" si="7">ROUND(I74*I16,2)</f>
        <v>89.71</v>
      </c>
      <c r="J15" s="24">
        <f t="shared" si="7"/>
        <v>110.83</v>
      </c>
      <c r="K15" s="24">
        <f t="shared" si="7"/>
        <v>139.80000000000001</v>
      </c>
      <c r="L15" s="24">
        <f t="shared" si="7"/>
        <v>183.53</v>
      </c>
    </row>
    <row r="16" spans="2:15" x14ac:dyDescent="0.25">
      <c r="B16" s="17" t="s">
        <v>208</v>
      </c>
      <c r="C16" s="18">
        <f>C15/Balance_Sheet!C74</f>
        <v>9.7587714565646189E-3</v>
      </c>
      <c r="D16" s="18">
        <f>D15/Balance_Sheet!D74</f>
        <v>1.5272248531518234E-2</v>
      </c>
      <c r="E16" s="18">
        <f>E15/Balance_Sheet!E74</f>
        <v>1.0944324796887565E-2</v>
      </c>
      <c r="F16" s="18">
        <f>F15/Balance_Sheet!F74</f>
        <v>8.3722658575035094E-3</v>
      </c>
      <c r="G16" s="18">
        <f>G15/Balance_Sheet!G74</f>
        <v>7.7129302716207535E-3</v>
      </c>
      <c r="H16" s="25">
        <f>G16</f>
        <v>7.7129302716207535E-3</v>
      </c>
      <c r="I16" s="25">
        <f t="shared" ref="I16:L16" si="8">H16</f>
        <v>7.7129302716207535E-3</v>
      </c>
      <c r="J16" s="25">
        <f t="shared" si="8"/>
        <v>7.7129302716207535E-3</v>
      </c>
      <c r="K16" s="25">
        <f t="shared" si="8"/>
        <v>7.7129302716207535E-3</v>
      </c>
      <c r="L16" s="25">
        <f t="shared" si="8"/>
        <v>7.7129302716207535E-3</v>
      </c>
    </row>
    <row r="17" spans="2:12" ht="18.75" x14ac:dyDescent="0.25">
      <c r="B17" s="8" t="s">
        <v>13</v>
      </c>
      <c r="C17" s="4">
        <v>47.19</v>
      </c>
      <c r="D17" s="4">
        <v>48.69</v>
      </c>
      <c r="E17" s="4">
        <v>49.5</v>
      </c>
      <c r="F17" s="4">
        <v>35.01</v>
      </c>
      <c r="G17" s="4">
        <v>31.49</v>
      </c>
      <c r="H17" s="24">
        <f>H74*H18</f>
        <v>100.95582400582464</v>
      </c>
      <c r="I17" s="24">
        <f t="shared" ref="I17:L17" si="9">I74*I18</f>
        <v>123.93800631811806</v>
      </c>
      <c r="J17" s="24">
        <f t="shared" si="9"/>
        <v>153.1187185046476</v>
      </c>
      <c r="K17" s="24">
        <f t="shared" si="9"/>
        <v>193.13944890065866</v>
      </c>
      <c r="L17" s="24">
        <f t="shared" si="9"/>
        <v>253.56283854411589</v>
      </c>
    </row>
    <row r="18" spans="2:12" x14ac:dyDescent="0.25">
      <c r="B18" s="17" t="s">
        <v>209</v>
      </c>
      <c r="C18" s="18">
        <f>C17/Balance_Sheet!C74</f>
        <v>2.0367820656138184E-2</v>
      </c>
      <c r="D18" s="18">
        <f>D17/Balance_Sheet!D74</f>
        <v>1.4397014152945264E-2</v>
      </c>
      <c r="E18" s="18">
        <f>E17/Balance_Sheet!E74</f>
        <v>1.0655863049683996E-2</v>
      </c>
      <c r="F18" s="18">
        <f>F17/Balance_Sheet!F74</f>
        <v>5.7203947632942596E-3</v>
      </c>
      <c r="G18" s="18">
        <f>G17/Balance_Sheet!G74</f>
        <v>4.86831377537257E-3</v>
      </c>
      <c r="H18" s="25">
        <f>MEDIAN(C18:G18)</f>
        <v>1.0655863049683996E-2</v>
      </c>
      <c r="I18" s="25">
        <f t="shared" ref="I18:L18" si="10">H18</f>
        <v>1.0655863049683996E-2</v>
      </c>
      <c r="J18" s="25">
        <f t="shared" si="10"/>
        <v>1.0655863049683996E-2</v>
      </c>
      <c r="K18" s="25">
        <f t="shared" si="10"/>
        <v>1.0655863049683996E-2</v>
      </c>
      <c r="L18" s="25">
        <f t="shared" si="10"/>
        <v>1.0655863049683996E-2</v>
      </c>
    </row>
    <row r="19" spans="2:12" ht="18.75" x14ac:dyDescent="0.25">
      <c r="B19" s="8" t="s">
        <v>18</v>
      </c>
      <c r="C19" s="4">
        <v>821.76</v>
      </c>
      <c r="D19" s="4">
        <v>638.66999999999996</v>
      </c>
      <c r="E19" s="4">
        <v>612.5</v>
      </c>
      <c r="F19" s="4">
        <v>497.82</v>
      </c>
      <c r="G19" s="4">
        <v>641.29999999999995</v>
      </c>
      <c r="H19" s="24">
        <f>ROUND(H74*H20,2)</f>
        <v>939.31</v>
      </c>
      <c r="I19" s="24">
        <f t="shared" ref="I19:L19" si="11">ROUND(I74*I20,2)</f>
        <v>1153.1400000000001</v>
      </c>
      <c r="J19" s="24">
        <f t="shared" si="11"/>
        <v>1424.65</v>
      </c>
      <c r="K19" s="24">
        <f t="shared" si="11"/>
        <v>1797.01</v>
      </c>
      <c r="L19" s="24">
        <f t="shared" si="11"/>
        <v>2359.1999999999998</v>
      </c>
    </row>
    <row r="20" spans="2:12" x14ac:dyDescent="0.25">
      <c r="B20" s="17" t="s">
        <v>210</v>
      </c>
      <c r="C20" s="18">
        <f>C19/Balance_Sheet!C74</f>
        <v>0.35468235436296069</v>
      </c>
      <c r="D20" s="18">
        <f>D19/Balance_Sheet!D74</f>
        <v>0.1888466015416215</v>
      </c>
      <c r="E20" s="18">
        <f>E19/Balance_Sheet!E74</f>
        <v>0.13185285086730197</v>
      </c>
      <c r="F20" s="18">
        <f>F19/Balance_Sheet!F74</f>
        <v>8.1340386205745449E-2</v>
      </c>
      <c r="G20" s="18">
        <f>G19/Balance_Sheet!G74</f>
        <v>9.9144160817606519E-2</v>
      </c>
      <c r="H20" s="25">
        <f>G20</f>
        <v>9.9144160817606519E-2</v>
      </c>
      <c r="I20" s="25">
        <f t="shared" ref="I20:L20" si="12">H20</f>
        <v>9.9144160817606519E-2</v>
      </c>
      <c r="J20" s="25">
        <f t="shared" si="12"/>
        <v>9.9144160817606519E-2</v>
      </c>
      <c r="K20" s="25">
        <f t="shared" si="12"/>
        <v>9.9144160817606519E-2</v>
      </c>
      <c r="L20" s="25">
        <f t="shared" si="12"/>
        <v>9.9144160817606519E-2</v>
      </c>
    </row>
    <row r="21" spans="2:12" ht="18.75" x14ac:dyDescent="0.25">
      <c r="B21" s="9" t="s">
        <v>123</v>
      </c>
      <c r="C21" s="6">
        <f>C15+C17+C19</f>
        <v>891.56</v>
      </c>
      <c r="D21" s="6">
        <f t="shared" ref="D21:G21" si="13">D15+D17+D19</f>
        <v>739.01</v>
      </c>
      <c r="E21" s="6">
        <f t="shared" si="13"/>
        <v>712.84</v>
      </c>
      <c r="F21" s="6">
        <f t="shared" si="13"/>
        <v>584.06999999999994</v>
      </c>
      <c r="G21" s="6">
        <f t="shared" si="13"/>
        <v>722.68</v>
      </c>
      <c r="H21" s="26">
        <f>ROUND(H74*H22,2)</f>
        <v>1058.51</v>
      </c>
      <c r="I21" s="26">
        <f t="shared" ref="I21:L21" si="14">ROUND(I74*I22,2)</f>
        <v>1299.47</v>
      </c>
      <c r="J21" s="26">
        <f t="shared" si="14"/>
        <v>1605.43</v>
      </c>
      <c r="K21" s="26">
        <f t="shared" si="14"/>
        <v>2025.04</v>
      </c>
      <c r="L21" s="26">
        <f t="shared" si="14"/>
        <v>2658.57</v>
      </c>
    </row>
    <row r="22" spans="2:12" x14ac:dyDescent="0.25">
      <c r="B22" s="19" t="s">
        <v>211</v>
      </c>
      <c r="C22" s="20">
        <f>C21/Balance_Sheet!C74</f>
        <v>0.38480894647566349</v>
      </c>
      <c r="D22" s="20">
        <f>D21/Balance_Sheet!D74</f>
        <v>0.21851586422608502</v>
      </c>
      <c r="E22" s="20">
        <f>E21/Balance_Sheet!E74</f>
        <v>0.15345303871387356</v>
      </c>
      <c r="F22" s="20">
        <f>F21/Balance_Sheet!F74</f>
        <v>9.5433046826543216E-2</v>
      </c>
      <c r="G22" s="20">
        <f>G21/Balance_Sheet!G74</f>
        <v>0.11172540486459984</v>
      </c>
      <c r="H22" s="27">
        <f>G22</f>
        <v>0.11172540486459984</v>
      </c>
      <c r="I22" s="27">
        <f t="shared" ref="I22:L22" si="15">H22</f>
        <v>0.11172540486459984</v>
      </c>
      <c r="J22" s="27">
        <f t="shared" si="15"/>
        <v>0.11172540486459984</v>
      </c>
      <c r="K22" s="27">
        <f t="shared" si="15"/>
        <v>0.11172540486459984</v>
      </c>
      <c r="L22" s="27">
        <f t="shared" si="15"/>
        <v>0.11172540486459984</v>
      </c>
    </row>
    <row r="23" spans="2:12" ht="18.75" x14ac:dyDescent="0.25">
      <c r="B23" s="8" t="s">
        <v>15</v>
      </c>
      <c r="C23" s="4">
        <v>8.3800000000000008</v>
      </c>
      <c r="D23" s="4">
        <v>8.92</v>
      </c>
      <c r="E23" s="4">
        <v>7.31</v>
      </c>
      <c r="F23" s="4">
        <v>12.71</v>
      </c>
      <c r="G23" s="4">
        <v>13.6</v>
      </c>
      <c r="H23" s="24">
        <f>H74*H24</f>
        <v>19.919918498694809</v>
      </c>
      <c r="I23" s="24">
        <f t="shared" ref="I23:L23" si="16">I74*I24</f>
        <v>24.454606844724431</v>
      </c>
      <c r="J23" s="24">
        <f t="shared" si="16"/>
        <v>30.212347066388137</v>
      </c>
      <c r="K23" s="24">
        <f t="shared" si="16"/>
        <v>38.108966162883092</v>
      </c>
      <c r="L23" s="24">
        <f t="shared" si="16"/>
        <v>50.031299608877298</v>
      </c>
    </row>
    <row r="24" spans="2:12" x14ac:dyDescent="0.25">
      <c r="B24" s="17" t="s">
        <v>212</v>
      </c>
      <c r="C24" s="18">
        <f>C23/Balance_Sheet!C74</f>
        <v>3.6169175057944058E-3</v>
      </c>
      <c r="D24" s="18">
        <f>D23/Balance_Sheet!D74</f>
        <v>2.6375306273212517E-3</v>
      </c>
      <c r="E24" s="18">
        <f>E23/Balance_Sheet!E74</f>
        <v>1.5736234119836366E-3</v>
      </c>
      <c r="F24" s="18">
        <f>F23/Balance_Sheet!F74</f>
        <v>2.0767271477140832E-3</v>
      </c>
      <c r="G24" s="18">
        <f>G23/Balance_Sheet!G74</f>
        <v>2.1025426276617006E-3</v>
      </c>
      <c r="H24" s="25">
        <f>MEDIAN(C24:G24)</f>
        <v>2.1025426276617006E-3</v>
      </c>
      <c r="I24" s="25">
        <f t="shared" ref="I24:L24" si="17">H24</f>
        <v>2.1025426276617006E-3</v>
      </c>
      <c r="J24" s="25">
        <f t="shared" si="17"/>
        <v>2.1025426276617006E-3</v>
      </c>
      <c r="K24" s="25">
        <f t="shared" si="17"/>
        <v>2.1025426276617006E-3</v>
      </c>
      <c r="L24" s="25">
        <f t="shared" si="17"/>
        <v>2.1025426276617006E-3</v>
      </c>
    </row>
    <row r="25" spans="2:12" ht="18.75" x14ac:dyDescent="0.25">
      <c r="B25" s="8" t="s">
        <v>21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24">
        <f>H74*H26</f>
        <v>0</v>
      </c>
      <c r="I25" s="24">
        <f t="shared" ref="I25:L25" si="18">I74*I26</f>
        <v>0</v>
      </c>
      <c r="J25" s="24">
        <f t="shared" si="18"/>
        <v>0</v>
      </c>
      <c r="K25" s="24">
        <f t="shared" si="18"/>
        <v>0</v>
      </c>
      <c r="L25" s="24">
        <f t="shared" si="18"/>
        <v>0</v>
      </c>
    </row>
    <row r="26" spans="2:12" x14ac:dyDescent="0.25">
      <c r="B26" s="17" t="s">
        <v>213</v>
      </c>
      <c r="C26" s="18">
        <f>C25/Balance_Sheet!C74</f>
        <v>0</v>
      </c>
      <c r="D26" s="18">
        <f>D25/Balance_Sheet!D74</f>
        <v>0</v>
      </c>
      <c r="E26" s="18">
        <f>E25/Balance_Sheet!E74</f>
        <v>0</v>
      </c>
      <c r="F26" s="18">
        <f>F25/Balance_Sheet!F74</f>
        <v>0</v>
      </c>
      <c r="G26" s="18">
        <f>G25/Balance_Sheet!G74</f>
        <v>0</v>
      </c>
      <c r="H26" s="25">
        <f>MEDIAN(C26:G26)</f>
        <v>0</v>
      </c>
      <c r="I26" s="25">
        <f t="shared" ref="I26:L26" si="19">H26</f>
        <v>0</v>
      </c>
      <c r="J26" s="25">
        <f t="shared" si="19"/>
        <v>0</v>
      </c>
      <c r="K26" s="25">
        <f t="shared" si="19"/>
        <v>0</v>
      </c>
      <c r="L26" s="25">
        <f t="shared" si="19"/>
        <v>0</v>
      </c>
    </row>
    <row r="27" spans="2:12" ht="18.75" x14ac:dyDescent="0.25">
      <c r="B27" s="8" t="s">
        <v>14</v>
      </c>
      <c r="C27" s="4">
        <v>7.81</v>
      </c>
      <c r="D27" s="4">
        <v>5.61</v>
      </c>
      <c r="E27" s="4">
        <v>7.58</v>
      </c>
      <c r="F27" s="4">
        <v>5.09</v>
      </c>
      <c r="G27" s="4">
        <v>6.75</v>
      </c>
      <c r="H27" s="24">
        <f>ROUND(H74*H28,2)</f>
        <v>9.89</v>
      </c>
      <c r="I27" s="24">
        <f t="shared" ref="I27:L27" si="20">ROUND(I74*I28,2)</f>
        <v>12.14</v>
      </c>
      <c r="J27" s="24">
        <f t="shared" si="20"/>
        <v>15</v>
      </c>
      <c r="K27" s="24">
        <f t="shared" si="20"/>
        <v>18.91</v>
      </c>
      <c r="L27" s="24">
        <f t="shared" si="20"/>
        <v>24.83</v>
      </c>
    </row>
    <row r="28" spans="2:12" x14ac:dyDescent="0.25">
      <c r="B28" s="17" t="s">
        <v>214</v>
      </c>
      <c r="C28" s="18">
        <f>C27/Balance_Sheet!C74</f>
        <v>3.3708980573095831E-3</v>
      </c>
      <c r="D28" s="18">
        <f>D27/Balance_Sheet!D74</f>
        <v>1.6588056972278277E-3</v>
      </c>
      <c r="E28" s="18">
        <f>E27/Balance_Sheet!E74</f>
        <v>1.6317463013455495E-3</v>
      </c>
      <c r="F28" s="18">
        <f>F27/Balance_Sheet!F74</f>
        <v>8.3167121808534077E-4</v>
      </c>
      <c r="G28" s="18">
        <f>G27/Balance_Sheet!G74</f>
        <v>1.0435413776997411E-3</v>
      </c>
      <c r="H28" s="25">
        <f>G28</f>
        <v>1.0435413776997411E-3</v>
      </c>
      <c r="I28" s="25">
        <f t="shared" ref="I28:L28" si="21">H28</f>
        <v>1.0435413776997411E-3</v>
      </c>
      <c r="J28" s="25">
        <f t="shared" si="21"/>
        <v>1.0435413776997411E-3</v>
      </c>
      <c r="K28" s="25">
        <f t="shared" si="21"/>
        <v>1.0435413776997411E-3</v>
      </c>
      <c r="L28" s="25">
        <f t="shared" si="21"/>
        <v>1.0435413776997411E-3</v>
      </c>
    </row>
    <row r="29" spans="2:12" ht="18.75" x14ac:dyDescent="0.25">
      <c r="B29" s="8" t="s">
        <v>19</v>
      </c>
      <c r="C29" s="4">
        <v>229.01</v>
      </c>
      <c r="D29" s="4">
        <v>201.28</v>
      </c>
      <c r="E29" s="4">
        <v>130.22</v>
      </c>
      <c r="F29" s="4">
        <v>219.08</v>
      </c>
      <c r="G29" s="4">
        <v>353.61</v>
      </c>
      <c r="H29" s="24">
        <f>H74*H30</f>
        <v>517.9325279649612</v>
      </c>
      <c r="I29" s="24">
        <f t="shared" ref="I29:L29" si="22">I74*I30</f>
        <v>635.83775929139756</v>
      </c>
      <c r="J29" s="24">
        <f t="shared" si="22"/>
        <v>785.54323868716983</v>
      </c>
      <c r="K29" s="24">
        <f t="shared" si="22"/>
        <v>990.86114153360961</v>
      </c>
      <c r="L29" s="24">
        <f t="shared" si="22"/>
        <v>1300.8505775511103</v>
      </c>
    </row>
    <row r="30" spans="2:12" x14ac:dyDescent="0.25">
      <c r="B30" s="17" t="s">
        <v>215</v>
      </c>
      <c r="C30" s="18">
        <f>C29/Balance_Sheet!C74</f>
        <v>9.884370859212134E-2</v>
      </c>
      <c r="D30" s="18">
        <f>D29/Balance_Sheet!D74</f>
        <v>5.9515937742962058E-2</v>
      </c>
      <c r="E30" s="18">
        <f>E29/Balance_Sheet!E74</f>
        <v>2.8032454269289901E-2</v>
      </c>
      <c r="F30" s="18">
        <f>F29/Balance_Sheet!F74</f>
        <v>3.5796174942659423E-2</v>
      </c>
      <c r="G30" s="18">
        <f>G29/Balance_Sheet!G74</f>
        <v>5.466765430643044E-2</v>
      </c>
      <c r="H30" s="25">
        <f>MEDIAN(C30:G30)</f>
        <v>5.466765430643044E-2</v>
      </c>
      <c r="I30" s="25">
        <f t="shared" ref="I30:L30" si="23">H30</f>
        <v>5.466765430643044E-2</v>
      </c>
      <c r="J30" s="25">
        <f t="shared" si="23"/>
        <v>5.466765430643044E-2</v>
      </c>
      <c r="K30" s="25">
        <f t="shared" si="23"/>
        <v>5.466765430643044E-2</v>
      </c>
      <c r="L30" s="25">
        <f t="shared" si="23"/>
        <v>5.466765430643044E-2</v>
      </c>
    </row>
    <row r="31" spans="2:12" ht="18.75" x14ac:dyDescent="0.25">
      <c r="B31" s="8" t="s">
        <v>20</v>
      </c>
      <c r="C31" s="4">
        <v>196.31</v>
      </c>
      <c r="D31" s="4">
        <v>30.6</v>
      </c>
      <c r="E31" s="4">
        <v>12.95</v>
      </c>
      <c r="F31" s="4">
        <v>15.28</v>
      </c>
      <c r="G31" s="4">
        <v>23</v>
      </c>
      <c r="H31" s="24">
        <f>H74*H32</f>
        <v>33.688097461027994</v>
      </c>
      <c r="I31" s="24">
        <f t="shared" ref="I31:L31" si="24">I74*I32</f>
        <v>41.357055693283968</v>
      </c>
      <c r="J31" s="24">
        <f t="shared" si="24"/>
        <v>51.094410479921116</v>
      </c>
      <c r="K31" s="24">
        <f t="shared" si="24"/>
        <v>64.448986893111112</v>
      </c>
      <c r="L31" s="24">
        <f t="shared" si="24"/>
        <v>84.611756691483663</v>
      </c>
    </row>
    <row r="32" spans="2:12" x14ac:dyDescent="0.25">
      <c r="B32" s="17" t="s">
        <v>216</v>
      </c>
      <c r="C32" s="18">
        <f>C31/Balance_Sheet!C74</f>
        <v>8.4729961284307848E-2</v>
      </c>
      <c r="D32" s="18">
        <f>D31/Balance_Sheet!D74</f>
        <v>9.0480310757881516E-3</v>
      </c>
      <c r="E32" s="18">
        <f>E31/Balance_Sheet!E74</f>
        <v>2.787745989765813E-3</v>
      </c>
      <c r="F32" s="18">
        <f>F31/Balance_Sheet!F74</f>
        <v>2.4966475859222017E-3</v>
      </c>
      <c r="G32" s="18">
        <f>G31/Balance_Sheet!G74</f>
        <v>3.5557706203102292E-3</v>
      </c>
      <c r="H32" s="25">
        <f>MEDIAN(C32:G32)</f>
        <v>3.5557706203102292E-3</v>
      </c>
      <c r="I32" s="25">
        <f t="shared" ref="I32:L32" si="25">H32</f>
        <v>3.5557706203102292E-3</v>
      </c>
      <c r="J32" s="25">
        <f t="shared" si="25"/>
        <v>3.5557706203102292E-3</v>
      </c>
      <c r="K32" s="25">
        <f t="shared" si="25"/>
        <v>3.5557706203102292E-3</v>
      </c>
      <c r="L32" s="25">
        <f t="shared" si="25"/>
        <v>3.5557706203102292E-3</v>
      </c>
    </row>
    <row r="33" spans="2:12" ht="18.75" x14ac:dyDescent="0.25">
      <c r="B33" s="9" t="s">
        <v>22</v>
      </c>
      <c r="C33" s="6">
        <f>C23+C25+C27+C29+C31</f>
        <v>441.51</v>
      </c>
      <c r="D33" s="6">
        <f t="shared" ref="D33:L33" si="26">D23+D25+D27+D29+D31</f>
        <v>246.41</v>
      </c>
      <c r="E33" s="6">
        <f t="shared" si="26"/>
        <v>158.06</v>
      </c>
      <c r="F33" s="6">
        <f t="shared" si="26"/>
        <v>252.16000000000003</v>
      </c>
      <c r="G33" s="6">
        <f t="shared" si="26"/>
        <v>396.96000000000004</v>
      </c>
      <c r="H33" s="26">
        <f t="shared" si="26"/>
        <v>581.430543924684</v>
      </c>
      <c r="I33" s="26">
        <f t="shared" si="26"/>
        <v>713.78942182940602</v>
      </c>
      <c r="J33" s="26">
        <f t="shared" si="26"/>
        <v>881.84999623347903</v>
      </c>
      <c r="K33" s="26">
        <f t="shared" si="26"/>
        <v>1112.329094589604</v>
      </c>
      <c r="L33" s="26">
        <f t="shared" si="26"/>
        <v>1460.3236338514712</v>
      </c>
    </row>
    <row r="34" spans="2:12" x14ac:dyDescent="0.25">
      <c r="B34" s="19" t="s">
        <v>217</v>
      </c>
      <c r="C34" s="20">
        <f>C33/Balance_Sheet!C74</f>
        <v>0.19056148543953316</v>
      </c>
      <c r="D34" s="20">
        <f>D33/Balance_Sheet!D74</f>
        <v>7.2860305143299289E-2</v>
      </c>
      <c r="E34" s="20">
        <f>E33/Balance_Sheet!E74</f>
        <v>3.40255699723849E-2</v>
      </c>
      <c r="F34" s="20">
        <f>F33/Balance_Sheet!F74</f>
        <v>4.1201220894381052E-2</v>
      </c>
      <c r="G34" s="20">
        <f>G33/Balance_Sheet!G74</f>
        <v>6.1369508932102114E-2</v>
      </c>
      <c r="H34" s="27">
        <f>H33/Balance_Sheet!H74</f>
        <v>6.1369854686216523E-2</v>
      </c>
      <c r="I34" s="27">
        <f>I33/Balance_Sheet!I74</f>
        <v>6.136973275013357E-2</v>
      </c>
      <c r="J34" s="27">
        <f>J33/Balance_Sheet!J74</f>
        <v>6.1369850022243218E-2</v>
      </c>
      <c r="K34" s="27">
        <f>K33/Balance_Sheet!K74</f>
        <v>6.136926746758152E-2</v>
      </c>
      <c r="L34" s="27">
        <f>L33/Balance_Sheet!L74</f>
        <v>6.1369437019576457E-2</v>
      </c>
    </row>
    <row r="35" spans="2:12" ht="18.75" x14ac:dyDescent="0.25">
      <c r="B35" s="8" t="s">
        <v>10</v>
      </c>
      <c r="C35" s="4">
        <v>0</v>
      </c>
      <c r="D35" s="4">
        <v>0</v>
      </c>
      <c r="E35" s="4">
        <v>0</v>
      </c>
      <c r="F35" s="4">
        <v>-1.84</v>
      </c>
      <c r="G35" s="4">
        <v>0</v>
      </c>
      <c r="H35" s="24">
        <f>H74*H36</f>
        <v>0</v>
      </c>
      <c r="I35" s="24">
        <f t="shared" ref="I35:L35" si="27">I74*I36</f>
        <v>0</v>
      </c>
      <c r="J35" s="24">
        <f t="shared" si="27"/>
        <v>0</v>
      </c>
      <c r="K35" s="24">
        <f t="shared" si="27"/>
        <v>0</v>
      </c>
      <c r="L35" s="24">
        <f t="shared" si="27"/>
        <v>0</v>
      </c>
    </row>
    <row r="36" spans="2:12" x14ac:dyDescent="0.25">
      <c r="B36" s="17" t="s">
        <v>218</v>
      </c>
      <c r="C36" s="18">
        <f>C35/Balance_Sheet!C74</f>
        <v>0</v>
      </c>
      <c r="D36" s="18">
        <f>D35/Balance_Sheet!D74</f>
        <v>0</v>
      </c>
      <c r="E36" s="18">
        <f>E35/Balance_Sheet!E74</f>
        <v>0</v>
      </c>
      <c r="F36" s="18">
        <f>F35/Balance_Sheet!F74</f>
        <v>-3.0064342657701906E-4</v>
      </c>
      <c r="G36" s="18">
        <f>G35/Balance_Sheet!G74</f>
        <v>0</v>
      </c>
      <c r="H36" s="25">
        <f>MEDIAN(C36:G36)</f>
        <v>0</v>
      </c>
      <c r="I36" s="25">
        <f t="shared" ref="I36:L36" si="28">H36</f>
        <v>0</v>
      </c>
      <c r="J36" s="25">
        <f t="shared" si="28"/>
        <v>0</v>
      </c>
      <c r="K36" s="25">
        <f t="shared" si="28"/>
        <v>0</v>
      </c>
      <c r="L36" s="25">
        <f t="shared" si="28"/>
        <v>0</v>
      </c>
    </row>
    <row r="37" spans="2:12" ht="18.75" x14ac:dyDescent="0.25">
      <c r="B37" s="9" t="s">
        <v>124</v>
      </c>
      <c r="C37" s="7">
        <f>C13+C21+C33+C35</f>
        <v>2316.89</v>
      </c>
      <c r="D37" s="7">
        <f t="shared" ref="D37:L37" si="29">D13+D21+D33+D35</f>
        <v>3381.9512492483918</v>
      </c>
      <c r="E37" s="7">
        <f t="shared" si="29"/>
        <v>4645.3299717912523</v>
      </c>
      <c r="F37" s="7">
        <f t="shared" si="29"/>
        <v>6120.2069872252059</v>
      </c>
      <c r="G37" s="7">
        <f t="shared" si="29"/>
        <v>6468.3587486285405</v>
      </c>
      <c r="H37" s="29">
        <f t="shared" si="29"/>
        <v>9474.2043450735346</v>
      </c>
      <c r="I37" s="29">
        <f t="shared" si="29"/>
        <v>11630.968391790047</v>
      </c>
      <c r="J37" s="29">
        <f t="shared" si="29"/>
        <v>14369.433784078934</v>
      </c>
      <c r="K37" s="29">
        <f t="shared" si="29"/>
        <v>18125.181226534842</v>
      </c>
      <c r="L37" s="29">
        <f t="shared" si="29"/>
        <v>23795.617244877729</v>
      </c>
    </row>
    <row r="38" spans="2:12" x14ac:dyDescent="0.25">
      <c r="B38" s="19" t="s">
        <v>219</v>
      </c>
      <c r="C38" s="20">
        <f>C37/Balance_Sheet!C74</f>
        <v>1</v>
      </c>
      <c r="D38" s="20">
        <f>D37/Balance_Sheet!D74</f>
        <v>1.0000000000000002</v>
      </c>
      <c r="E38" s="20">
        <f>E37/Balance_Sheet!E74</f>
        <v>1.0000000000000002</v>
      </c>
      <c r="F38" s="20">
        <f>F37/Balance_Sheet!F74</f>
        <v>1.0000000000000002</v>
      </c>
      <c r="G38" s="20">
        <f>G37/Balance_Sheet!G74</f>
        <v>1.0000000000000002</v>
      </c>
      <c r="H38" s="27">
        <f>H37/Balance_Sheet!H74</f>
        <v>1</v>
      </c>
      <c r="I38" s="27">
        <f>I37/Balance_Sheet!I74</f>
        <v>1</v>
      </c>
      <c r="J38" s="27">
        <f>J37/Balance_Sheet!J74</f>
        <v>1</v>
      </c>
      <c r="K38" s="27">
        <f>K37/Balance_Sheet!K74</f>
        <v>1</v>
      </c>
      <c r="L38" s="27">
        <f>L37/Balance_Sheet!L74</f>
        <v>1</v>
      </c>
    </row>
    <row r="39" spans="2:12" ht="18.75" x14ac:dyDescent="0.25">
      <c r="B39" s="8"/>
      <c r="C39" s="5"/>
      <c r="D39" s="4"/>
      <c r="E39" s="4"/>
      <c r="F39" s="4"/>
      <c r="G39" s="4"/>
      <c r="H39" s="24"/>
      <c r="I39" s="24"/>
      <c r="J39" s="24"/>
      <c r="K39" s="24"/>
      <c r="L39" s="24"/>
    </row>
    <row r="40" spans="2:12" ht="18.75" x14ac:dyDescent="0.25">
      <c r="B40" s="8" t="s">
        <v>26</v>
      </c>
      <c r="C40" s="4">
        <v>291.19</v>
      </c>
      <c r="D40" s="4">
        <v>278.81</v>
      </c>
      <c r="E40" s="4">
        <v>267.35000000000002</v>
      </c>
      <c r="F40" s="4">
        <v>253.03</v>
      </c>
      <c r="G40" s="4">
        <v>227.88</v>
      </c>
      <c r="H40" s="24">
        <f>ROUND(H74*H41,2)</f>
        <v>333.78</v>
      </c>
      <c r="I40" s="24">
        <f t="shared" ref="I40:L40" si="30">ROUND(I74*I41,2)</f>
        <v>409.76</v>
      </c>
      <c r="J40" s="24">
        <f t="shared" si="30"/>
        <v>506.23</v>
      </c>
      <c r="K40" s="24">
        <f t="shared" si="30"/>
        <v>638.54999999999995</v>
      </c>
      <c r="L40" s="24">
        <f t="shared" si="30"/>
        <v>838.32</v>
      </c>
    </row>
    <row r="41" spans="2:12" x14ac:dyDescent="0.25">
      <c r="B41" s="17" t="s">
        <v>220</v>
      </c>
      <c r="C41" s="18">
        <f>C40/Balance_Sheet!C74</f>
        <v>0.12568140913034284</v>
      </c>
      <c r="D41" s="18">
        <f>D40/Balance_Sheet!D74</f>
        <v>8.2440573341192633E-2</v>
      </c>
      <c r="E41" s="18">
        <f>E40/Balance_Sheet!E74</f>
        <v>5.7552423966323575E-2</v>
      </c>
      <c r="F41" s="18">
        <f>F40/Balance_Sheet!F74</f>
        <v>4.134337294933866E-2</v>
      </c>
      <c r="G41" s="18">
        <f>G40/Balance_Sheet!G74</f>
        <v>3.5229956911143258E-2</v>
      </c>
      <c r="H41" s="25">
        <f>G41</f>
        <v>3.5229956911143258E-2</v>
      </c>
      <c r="I41" s="25">
        <f t="shared" ref="I41:L41" si="31">H41</f>
        <v>3.5229956911143258E-2</v>
      </c>
      <c r="J41" s="25">
        <f t="shared" si="31"/>
        <v>3.5229956911143258E-2</v>
      </c>
      <c r="K41" s="25">
        <f t="shared" si="31"/>
        <v>3.5229956911143258E-2</v>
      </c>
      <c r="L41" s="25">
        <f t="shared" si="31"/>
        <v>3.5229956911143258E-2</v>
      </c>
    </row>
    <row r="42" spans="2:12" ht="18.75" x14ac:dyDescent="0.25">
      <c r="B42" s="8" t="s">
        <v>27</v>
      </c>
      <c r="C42" s="4">
        <v>0.22</v>
      </c>
      <c r="D42" s="4">
        <v>0</v>
      </c>
      <c r="E42" s="4">
        <v>0</v>
      </c>
      <c r="F42" s="4">
        <v>0</v>
      </c>
      <c r="G42" s="4">
        <v>0</v>
      </c>
      <c r="H42" s="24">
        <f>ROUND(H74*H43,2)</f>
        <v>0</v>
      </c>
      <c r="I42" s="24">
        <f t="shared" ref="I42:L42" si="32">ROUND(I74*I43,2)</f>
        <v>0</v>
      </c>
      <c r="J42" s="24">
        <f t="shared" si="32"/>
        <v>0</v>
      </c>
      <c r="K42" s="24">
        <f t="shared" si="32"/>
        <v>0</v>
      </c>
      <c r="L42" s="24">
        <f t="shared" si="32"/>
        <v>0</v>
      </c>
    </row>
    <row r="43" spans="2:12" x14ac:dyDescent="0.25">
      <c r="B43" s="17" t="s">
        <v>221</v>
      </c>
      <c r="C43" s="18">
        <f>C42/Balance_Sheet!C74</f>
        <v>9.4954874853791081E-5</v>
      </c>
      <c r="D43" s="18">
        <f>D42/Balance_Sheet!D74</f>
        <v>0</v>
      </c>
      <c r="E43" s="18">
        <f>E42/Balance_Sheet!E74</f>
        <v>0</v>
      </c>
      <c r="F43" s="18">
        <f>F42/Balance_Sheet!F74</f>
        <v>0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4">
        <f>Income_Statement!D31</f>
        <v>17.21</v>
      </c>
      <c r="E44" s="4">
        <f>Income_Statement!E31+D44</f>
        <v>33.18</v>
      </c>
      <c r="F44" s="4">
        <f>Income_Statement!F31+E44</f>
        <v>48.03</v>
      </c>
      <c r="G44" s="4">
        <f>Income_Statement!G31+F44</f>
        <v>62.08</v>
      </c>
      <c r="H44" s="24">
        <f>Income_Statement!H31+G44</f>
        <v>82.024956900992478</v>
      </c>
      <c r="I44" s="24">
        <f>Income_Statement!I31+H44</f>
        <v>106.51008345066795</v>
      </c>
      <c r="J44" s="24">
        <f>Income_Statement!J31+I44</f>
        <v>136.75975548610873</v>
      </c>
      <c r="K44" s="24">
        <f>Income_Statement!K31+J44</f>
        <v>174.91618256121433</v>
      </c>
      <c r="L44" s="24">
        <f>Income_Statement!L31+K44</f>
        <v>225.00982588687799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5.0887782619056894E-3</v>
      </c>
      <c r="E45" s="18">
        <f>E44/Balance_Sheet!E74</f>
        <v>7.1426572926972728E-3</v>
      </c>
      <c r="F45" s="18">
        <f>F44/Balance_Sheet!F74</f>
        <v>7.8477737926599053E-3</v>
      </c>
      <c r="G45" s="18">
        <f>G44/Balance_Sheet!G74</f>
        <v>9.5974887003851747E-3</v>
      </c>
      <c r="H45" s="25">
        <f>H44/Balance_Sheet!H74</f>
        <v>8.6577145598136073E-3</v>
      </c>
      <c r="I45" s="25">
        <f>I44/Balance_Sheet!I74</f>
        <v>9.1574561861805272E-3</v>
      </c>
      <c r="J45" s="25">
        <f>J44/Balance_Sheet!J74</f>
        <v>9.5174074038766928E-3</v>
      </c>
      <c r="K45" s="25">
        <f>K44/Balance_Sheet!K74</f>
        <v>9.6504515113559879E-3</v>
      </c>
      <c r="L45" s="25">
        <f>L44/Balance_Sheet!L74</f>
        <v>9.4559356696373928E-3</v>
      </c>
    </row>
    <row r="46" spans="2:12" ht="18.75" x14ac:dyDescent="0.25">
      <c r="B46" s="9" t="s">
        <v>126</v>
      </c>
      <c r="C46" s="6">
        <f>C40+C42-C44</f>
        <v>291.41000000000003</v>
      </c>
      <c r="D46" s="6">
        <f t="shared" ref="D46:L46" si="34">D40+D42-D44</f>
        <v>261.60000000000002</v>
      </c>
      <c r="E46" s="6">
        <f t="shared" si="34"/>
        <v>234.17000000000002</v>
      </c>
      <c r="F46" s="6">
        <f t="shared" si="34"/>
        <v>205</v>
      </c>
      <c r="G46" s="6">
        <f t="shared" si="34"/>
        <v>165.8</v>
      </c>
      <c r="H46" s="26">
        <f t="shared" si="34"/>
        <v>251.75504309900748</v>
      </c>
      <c r="I46" s="26">
        <f t="shared" si="34"/>
        <v>303.24991654933206</v>
      </c>
      <c r="J46" s="26">
        <f t="shared" si="34"/>
        <v>369.47024451389132</v>
      </c>
      <c r="K46" s="26">
        <f t="shared" si="34"/>
        <v>463.63381743878563</v>
      </c>
      <c r="L46" s="26">
        <f t="shared" si="34"/>
        <v>613.310174113122</v>
      </c>
    </row>
    <row r="47" spans="2:12" x14ac:dyDescent="0.25">
      <c r="B47" s="19" t="s">
        <v>223</v>
      </c>
      <c r="C47" s="20">
        <f>C46/Balance_Sheet!C74</f>
        <v>0.12577636400519665</v>
      </c>
      <c r="D47" s="20">
        <f>D46/Balance_Sheet!D74</f>
        <v>7.7351795079286939E-2</v>
      </c>
      <c r="E47" s="20">
        <f>E46/Balance_Sheet!E74</f>
        <v>5.0409766673626295E-2</v>
      </c>
      <c r="F47" s="20">
        <f>F46/Balance_Sheet!F74</f>
        <v>3.3495599156678754E-2</v>
      </c>
      <c r="G47" s="20">
        <f>G46/Balance_Sheet!G74</f>
        <v>2.563246821075809E-2</v>
      </c>
      <c r="H47" s="27">
        <f>H46/Balance_Sheet!H74</f>
        <v>2.6572684515709953E-2</v>
      </c>
      <c r="I47" s="27">
        <f>I46/Balance_Sheet!I74</f>
        <v>2.6072628377477761E-2</v>
      </c>
      <c r="J47" s="27">
        <f>J46/Balance_Sheet!J74</f>
        <v>2.5712234042461542E-2</v>
      </c>
      <c r="K47" s="27">
        <f>K46/Balance_Sheet!K74</f>
        <v>2.557954106191427E-2</v>
      </c>
      <c r="L47" s="27">
        <f>L46/Balance_Sheet!L74</f>
        <v>2.577408132773458E-2</v>
      </c>
    </row>
    <row r="48" spans="2:12" ht="18.75" x14ac:dyDescent="0.25">
      <c r="B48" s="8" t="s">
        <v>30</v>
      </c>
      <c r="C48" s="4">
        <v>40.159999999999997</v>
      </c>
      <c r="D48" s="4">
        <v>45.74</v>
      </c>
      <c r="E48" s="4">
        <v>48.54</v>
      </c>
      <c r="F48" s="4">
        <v>50.74</v>
      </c>
      <c r="G48" s="4">
        <v>42.9</v>
      </c>
      <c r="H48" s="24">
        <f>H74*H49</f>
        <v>98.997892873590473</v>
      </c>
      <c r="I48" s="24">
        <f t="shared" ref="I48:L48" si="35">I74*I49</f>
        <v>121.53436013497881</v>
      </c>
      <c r="J48" s="24">
        <f t="shared" si="35"/>
        <v>150.14914335789081</v>
      </c>
      <c r="K48" s="24">
        <f t="shared" si="35"/>
        <v>189.39371413410046</v>
      </c>
      <c r="L48" s="24">
        <f t="shared" si="35"/>
        <v>248.64525622083607</v>
      </c>
    </row>
    <row r="49" spans="2:12" x14ac:dyDescent="0.25">
      <c r="B49" s="17" t="s">
        <v>224</v>
      </c>
      <c r="C49" s="18">
        <f>C48/Balance_Sheet!C74</f>
        <v>1.7333580791492043E-2</v>
      </c>
      <c r="D49" s="18">
        <f>D48/Balance_Sheet!D74</f>
        <v>1.3524736647272877E-2</v>
      </c>
      <c r="E49" s="18">
        <f>E48/Balance_Sheet!E74</f>
        <v>1.0449203887508307E-2</v>
      </c>
      <c r="F49" s="18">
        <f>F48/Balance_Sheet!F74</f>
        <v>8.2905692741945362E-3</v>
      </c>
      <c r="G49" s="18">
        <f>G48/Balance_Sheet!G74</f>
        <v>6.6322852004916883E-3</v>
      </c>
      <c r="H49" s="25">
        <f>MEDIAN(C49:G49)</f>
        <v>1.0449203887508307E-2</v>
      </c>
      <c r="I49" s="25">
        <f t="shared" ref="I49:L49" si="36">H49</f>
        <v>1.0449203887508307E-2</v>
      </c>
      <c r="J49" s="25">
        <f t="shared" si="36"/>
        <v>1.0449203887508307E-2</v>
      </c>
      <c r="K49" s="25">
        <f t="shared" si="36"/>
        <v>1.0449203887508307E-2</v>
      </c>
      <c r="L49" s="25">
        <f t="shared" si="36"/>
        <v>1.0449203887508307E-2</v>
      </c>
    </row>
    <row r="50" spans="2:12" ht="18.75" x14ac:dyDescent="0.25">
      <c r="B50" s="8" t="s">
        <v>36</v>
      </c>
      <c r="C50" s="4">
        <v>24.71</v>
      </c>
      <c r="D50" s="4">
        <v>26.04</v>
      </c>
      <c r="E50" s="4">
        <v>17.899999999999999</v>
      </c>
      <c r="F50" s="4">
        <v>34</v>
      </c>
      <c r="G50" s="4">
        <v>40.21</v>
      </c>
      <c r="H50" s="24">
        <f>H74*H51</f>
        <v>58.895582561214589</v>
      </c>
      <c r="I50" s="24">
        <f t="shared" ref="I50:L50" si="37">I74*I51</f>
        <v>72.302922148997752</v>
      </c>
      <c r="J50" s="24">
        <f t="shared" si="37"/>
        <v>89.326358495549044</v>
      </c>
      <c r="K50" s="24">
        <f t="shared" si="37"/>
        <v>112.67364186834774</v>
      </c>
      <c r="L50" s="24">
        <f t="shared" si="37"/>
        <v>147.92342332889385</v>
      </c>
    </row>
    <row r="51" spans="2:12" x14ac:dyDescent="0.25">
      <c r="B51" s="17" t="s">
        <v>225</v>
      </c>
      <c r="C51" s="18">
        <f>C50/Balance_Sheet!C74</f>
        <v>1.0665158898350808E-2</v>
      </c>
      <c r="D51" s="18">
        <f>D50/Balance_Sheet!D74</f>
        <v>7.6996970331216809E-3</v>
      </c>
      <c r="E51" s="18">
        <f>E50/Balance_Sheet!E74</f>
        <v>3.8533322947342128E-3</v>
      </c>
      <c r="F51" s="18">
        <f>F50/Balance_Sheet!F74</f>
        <v>5.5553676650101349E-3</v>
      </c>
      <c r="G51" s="18">
        <f>G50/Balance_Sheet!G74</f>
        <v>6.216414636638014E-3</v>
      </c>
      <c r="H51" s="25">
        <f>MEDIAN(C51:G51)</f>
        <v>6.216414636638014E-3</v>
      </c>
      <c r="I51" s="25">
        <f t="shared" ref="I51:L51" si="38">H51</f>
        <v>6.216414636638014E-3</v>
      </c>
      <c r="J51" s="25">
        <f t="shared" si="38"/>
        <v>6.216414636638014E-3</v>
      </c>
      <c r="K51" s="25">
        <f t="shared" si="38"/>
        <v>6.216414636638014E-3</v>
      </c>
      <c r="L51" s="25">
        <f t="shared" si="38"/>
        <v>6.216414636638014E-3</v>
      </c>
    </row>
    <row r="52" spans="2:12" ht="18.75" x14ac:dyDescent="0.25">
      <c r="B52" s="8" t="s">
        <v>28</v>
      </c>
      <c r="C52" s="4">
        <v>0.03</v>
      </c>
      <c r="D52" s="4">
        <v>0</v>
      </c>
      <c r="E52" s="4">
        <v>0</v>
      </c>
      <c r="F52" s="4">
        <v>0</v>
      </c>
      <c r="G52" s="4">
        <v>0</v>
      </c>
      <c r="H52" s="24">
        <f>H74*H53</f>
        <v>0</v>
      </c>
      <c r="I52" s="24">
        <f t="shared" ref="I52:L52" si="39">I74*I53</f>
        <v>0</v>
      </c>
      <c r="J52" s="24">
        <f t="shared" si="39"/>
        <v>0</v>
      </c>
      <c r="K52" s="24">
        <f t="shared" si="39"/>
        <v>0</v>
      </c>
      <c r="L52" s="24">
        <f t="shared" si="39"/>
        <v>0</v>
      </c>
    </row>
    <row r="53" spans="2:12" x14ac:dyDescent="0.25">
      <c r="B53" s="17" t="s">
        <v>226</v>
      </c>
      <c r="C53" s="18">
        <f>C52/Balance_Sheet!C74</f>
        <v>1.2948392025516965E-5</v>
      </c>
      <c r="D53" s="18">
        <f>D52/Balance_Sheet!D74</f>
        <v>0</v>
      </c>
      <c r="E53" s="18">
        <f>E52/Balance_Sheet!E74</f>
        <v>0</v>
      </c>
      <c r="F53" s="18">
        <f>F52/Balance_Sheet!F74</f>
        <v>0</v>
      </c>
      <c r="G53" s="18">
        <f>G52/Balance_Sheet!G74</f>
        <v>0</v>
      </c>
      <c r="H53" s="25">
        <f>MEDIAN(C53:G53)</f>
        <v>0</v>
      </c>
      <c r="I53" s="25">
        <f t="shared" ref="I53:L53" si="40">H53</f>
        <v>0</v>
      </c>
      <c r="J53" s="25">
        <f t="shared" si="40"/>
        <v>0</v>
      </c>
      <c r="K53" s="25">
        <f t="shared" si="40"/>
        <v>0</v>
      </c>
      <c r="L53" s="25">
        <f t="shared" si="40"/>
        <v>0</v>
      </c>
    </row>
    <row r="54" spans="2:12" ht="18.75" x14ac:dyDescent="0.25">
      <c r="B54" s="9" t="s">
        <v>127</v>
      </c>
      <c r="C54" s="6">
        <f>C46+C48+C50+C52</f>
        <v>356.31</v>
      </c>
      <c r="D54" s="6">
        <f t="shared" ref="D54:L54" si="41">D46+D48+D50+D52</f>
        <v>333.38000000000005</v>
      </c>
      <c r="E54" s="6">
        <f t="shared" si="41"/>
        <v>300.61</v>
      </c>
      <c r="F54" s="6">
        <f t="shared" si="41"/>
        <v>289.74</v>
      </c>
      <c r="G54" s="6">
        <f t="shared" si="41"/>
        <v>248.91000000000003</v>
      </c>
      <c r="H54" s="26">
        <f t="shared" si="41"/>
        <v>409.64851853381253</v>
      </c>
      <c r="I54" s="26">
        <f t="shared" si="41"/>
        <v>497.08719883330861</v>
      </c>
      <c r="J54" s="26">
        <f t="shared" si="41"/>
        <v>608.94574636733114</v>
      </c>
      <c r="K54" s="26">
        <f t="shared" si="41"/>
        <v>765.70117344123389</v>
      </c>
      <c r="L54" s="26">
        <f t="shared" si="41"/>
        <v>1009.8788536628518</v>
      </c>
    </row>
    <row r="55" spans="2:12" x14ac:dyDescent="0.25">
      <c r="B55" s="19" t="s">
        <v>227</v>
      </c>
      <c r="C55" s="20">
        <f>C54/Balance_Sheet!C74</f>
        <v>0.153788052087065</v>
      </c>
      <c r="D55" s="20">
        <f>D54/Balance_Sheet!D74</f>
        <v>9.8576228759681514E-2</v>
      </c>
      <c r="E55" s="20">
        <f>E54/Balance_Sheet!E74</f>
        <v>6.471230285586882E-2</v>
      </c>
      <c r="F55" s="20">
        <f>F54/Balance_Sheet!F74</f>
        <v>4.734153609588343E-2</v>
      </c>
      <c r="G55" s="20">
        <f>G54/Balance_Sheet!G74</f>
        <v>3.8481168047887794E-2</v>
      </c>
      <c r="H55" s="27">
        <f>H54/Balance_Sheet!H74</f>
        <v>4.3238303039856277E-2</v>
      </c>
      <c r="I55" s="27">
        <f>I54/Balance_Sheet!I74</f>
        <v>4.2738246901624082E-2</v>
      </c>
      <c r="J55" s="27">
        <f>J54/Balance_Sheet!J74</f>
        <v>4.2377852566607858E-2</v>
      </c>
      <c r="K55" s="27">
        <f>K54/Balance_Sheet!K74</f>
        <v>4.2245159586060593E-2</v>
      </c>
      <c r="L55" s="27">
        <f>L54/Balance_Sheet!L74</f>
        <v>4.2439699851880897E-2</v>
      </c>
    </row>
    <row r="56" spans="2:12" ht="18.75" x14ac:dyDescent="0.25">
      <c r="B56" s="8" t="s">
        <v>31</v>
      </c>
      <c r="C56" s="4">
        <v>0</v>
      </c>
      <c r="D56" s="4">
        <v>0</v>
      </c>
      <c r="E56" s="4">
        <v>0</v>
      </c>
      <c r="F56" s="4">
        <v>0</v>
      </c>
      <c r="G56" s="4">
        <v>2.91</v>
      </c>
      <c r="H56" s="24">
        <f>H74*H57</f>
        <v>0</v>
      </c>
      <c r="I56" s="24">
        <f t="shared" ref="I56:L56" si="42">I74*I57</f>
        <v>0</v>
      </c>
      <c r="J56" s="24">
        <f t="shared" si="42"/>
        <v>0</v>
      </c>
      <c r="K56" s="24">
        <f t="shared" si="42"/>
        <v>0</v>
      </c>
      <c r="L56" s="24">
        <f t="shared" si="42"/>
        <v>0</v>
      </c>
    </row>
    <row r="57" spans="2:12" x14ac:dyDescent="0.25">
      <c r="B57" s="17" t="s">
        <v>228</v>
      </c>
      <c r="C57" s="18">
        <f>C56/Balance_Sheet!C74</f>
        <v>0</v>
      </c>
      <c r="D57" s="18">
        <f>D56/Balance_Sheet!D74</f>
        <v>0</v>
      </c>
      <c r="E57" s="18">
        <f>E56/Balance_Sheet!E74</f>
        <v>0</v>
      </c>
      <c r="F57" s="18">
        <f>F56/Balance_Sheet!F74</f>
        <v>0</v>
      </c>
      <c r="G57" s="18">
        <f>G56/Balance_Sheet!G74</f>
        <v>4.4988228283055512E-4</v>
      </c>
      <c r="H57" s="25">
        <f>MEDIAN(C57:G57)</f>
        <v>0</v>
      </c>
      <c r="I57" s="25">
        <f t="shared" ref="I57:L57" si="43">H57</f>
        <v>0</v>
      </c>
      <c r="J57" s="25">
        <f t="shared" si="43"/>
        <v>0</v>
      </c>
      <c r="K57" s="25">
        <f t="shared" si="43"/>
        <v>0</v>
      </c>
      <c r="L57" s="25">
        <f t="shared" si="43"/>
        <v>0</v>
      </c>
    </row>
    <row r="58" spans="2:12" ht="18.75" x14ac:dyDescent="0.25">
      <c r="B58" s="8" t="s">
        <v>32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24">
        <f>ROUND(H74*H59,2)</f>
        <v>0</v>
      </c>
      <c r="I58" s="24">
        <f t="shared" ref="I58:L58" si="44">ROUND(I74*I59,2)</f>
        <v>0</v>
      </c>
      <c r="J58" s="24">
        <f t="shared" si="44"/>
        <v>0</v>
      </c>
      <c r="K58" s="24">
        <f t="shared" si="44"/>
        <v>0</v>
      </c>
      <c r="L58" s="24">
        <f t="shared" si="44"/>
        <v>0</v>
      </c>
    </row>
    <row r="59" spans="2:12" x14ac:dyDescent="0.25">
      <c r="B59" s="17" t="s">
        <v>229</v>
      </c>
      <c r="C59" s="18">
        <f>C58/Balance_Sheet!C74</f>
        <v>0</v>
      </c>
      <c r="D59" s="18">
        <f>D58/Balance_Sheet!D74</f>
        <v>0</v>
      </c>
      <c r="E59" s="18">
        <f>E58/Balance_Sheet!E74</f>
        <v>0</v>
      </c>
      <c r="F59" s="18">
        <f>F58/Balance_Sheet!F74</f>
        <v>0</v>
      </c>
      <c r="G59" s="18">
        <f>G58/Balance_Sheet!G74</f>
        <v>0</v>
      </c>
      <c r="H59" s="25">
        <f>G59</f>
        <v>0</v>
      </c>
      <c r="I59" s="25">
        <f t="shared" ref="I59:L59" si="45">H59</f>
        <v>0</v>
      </c>
      <c r="J59" s="25">
        <f t="shared" si="45"/>
        <v>0</v>
      </c>
      <c r="K59" s="25">
        <f t="shared" si="45"/>
        <v>0</v>
      </c>
      <c r="L59" s="25">
        <f t="shared" si="45"/>
        <v>0</v>
      </c>
    </row>
    <row r="60" spans="2:12" ht="18.75" x14ac:dyDescent="0.25">
      <c r="B60" s="8" t="s">
        <v>33</v>
      </c>
      <c r="C60" s="4">
        <v>7.91</v>
      </c>
      <c r="D60" s="4">
        <v>9.99</v>
      </c>
      <c r="E60" s="4">
        <v>13.25</v>
      </c>
      <c r="F60" s="4">
        <v>3.05</v>
      </c>
      <c r="G60" s="4">
        <v>3.22</v>
      </c>
      <c r="H60" s="24"/>
      <c r="I60" s="24"/>
      <c r="J60" s="24"/>
      <c r="K60" s="24"/>
      <c r="L60" s="24"/>
    </row>
    <row r="61" spans="2:12" x14ac:dyDescent="0.25">
      <c r="B61" s="17" t="s">
        <v>230</v>
      </c>
      <c r="C61" s="18">
        <f>C60/Balance_Sheet!C74</f>
        <v>3.4140593640613064E-3</v>
      </c>
      <c r="D61" s="18">
        <f>D60/Balance_Sheet!D74</f>
        <v>2.9539160276837789E-3</v>
      </c>
      <c r="E61" s="18">
        <f>E60/Balance_Sheet!E74</f>
        <v>2.8523269779457162E-3</v>
      </c>
      <c r="F61" s="18">
        <f>F60/Balance_Sheet!F74</f>
        <v>4.9834915818473271E-4</v>
      </c>
      <c r="G61" s="18">
        <f>G60/Balance_Sheet!G74</f>
        <v>4.9780788684343209E-4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61.06</v>
      </c>
      <c r="D62" s="4">
        <v>54.47</v>
      </c>
      <c r="E62" s="4">
        <v>122.19</v>
      </c>
      <c r="F62" s="4">
        <v>81.709999999999994</v>
      </c>
      <c r="G62" s="4">
        <v>196.74</v>
      </c>
      <c r="H62" s="24">
        <f>ROUND(H74*H63,2)</f>
        <v>288.17</v>
      </c>
      <c r="I62" s="24">
        <f t="shared" ref="I62:L62" si="46">ROUND(I74*I63,2)</f>
        <v>353.76</v>
      </c>
      <c r="J62" s="24">
        <f t="shared" si="46"/>
        <v>437.06</v>
      </c>
      <c r="K62" s="24">
        <f t="shared" si="46"/>
        <v>551.29</v>
      </c>
      <c r="L62" s="24">
        <f t="shared" si="46"/>
        <v>723.76</v>
      </c>
    </row>
    <row r="63" spans="2:12" x14ac:dyDescent="0.25">
      <c r="B63" s="17" t="s">
        <v>231</v>
      </c>
      <c r="C63" s="18">
        <f>C62/Balance_Sheet!C74</f>
        <v>2.6354293902602199E-2</v>
      </c>
      <c r="D63" s="18">
        <f>D62/Balance_Sheet!D74</f>
        <v>1.6106086689483025E-2</v>
      </c>
      <c r="E63" s="18">
        <f>E62/Balance_Sheet!E74</f>
        <v>2.6303836485674498E-2</v>
      </c>
      <c r="F63" s="18">
        <f>F62/Balance_Sheet!F74</f>
        <v>1.3350855644352297E-2</v>
      </c>
      <c r="G63" s="18">
        <f>G62/Balance_Sheet!G74</f>
        <v>3.0415752688688458E-2</v>
      </c>
      <c r="H63" s="25">
        <f>G63</f>
        <v>3.0415752688688458E-2</v>
      </c>
      <c r="I63" s="25">
        <f t="shared" ref="I63:L63" si="47">H63</f>
        <v>3.0415752688688458E-2</v>
      </c>
      <c r="J63" s="25">
        <f t="shared" si="47"/>
        <v>3.0415752688688458E-2</v>
      </c>
      <c r="K63" s="25">
        <f t="shared" si="47"/>
        <v>3.0415752688688458E-2</v>
      </c>
      <c r="L63" s="25">
        <f t="shared" si="47"/>
        <v>3.0415752688688458E-2</v>
      </c>
    </row>
    <row r="64" spans="2:12" ht="18.75" x14ac:dyDescent="0.25">
      <c r="B64" s="8" t="s">
        <v>41</v>
      </c>
      <c r="C64" s="4">
        <v>2.5099999999999998</v>
      </c>
      <c r="D64" s="4">
        <v>0.09</v>
      </c>
      <c r="E64" s="4">
        <v>2.65</v>
      </c>
      <c r="F64" s="4">
        <v>0</v>
      </c>
      <c r="G64" s="4">
        <v>1.1299999999999999</v>
      </c>
      <c r="H64" s="24">
        <f>H74*H65</f>
        <v>1.6551108752592012</v>
      </c>
      <c r="I64" s="24">
        <f t="shared" ref="I64:L64" si="48">I74*I65</f>
        <v>2.0318901275396035</v>
      </c>
      <c r="J64" s="24">
        <f t="shared" si="48"/>
        <v>2.5102906018396025</v>
      </c>
      <c r="K64" s="24">
        <f t="shared" si="48"/>
        <v>3.1664067473571982</v>
      </c>
      <c r="L64" s="24">
        <f t="shared" si="48"/>
        <v>4.1570123939728933</v>
      </c>
    </row>
    <row r="65" spans="2:12" x14ac:dyDescent="0.25">
      <c r="B65" s="17" t="s">
        <v>232</v>
      </c>
      <c r="C65" s="18">
        <f>C64/Balance_Sheet!C74</f>
        <v>1.0833487994682527E-3</v>
      </c>
      <c r="D65" s="18">
        <f>D64/Balance_Sheet!D74</f>
        <v>2.6611856105259268E-5</v>
      </c>
      <c r="E65" s="18">
        <f>E64/Balance_Sheet!E74</f>
        <v>5.7046539558914329E-4</v>
      </c>
      <c r="F65" s="18">
        <f>F64/Balance_Sheet!F74</f>
        <v>0</v>
      </c>
      <c r="G65" s="18">
        <f>G64/Balance_Sheet!G74</f>
        <v>1.7469655656306778E-4</v>
      </c>
      <c r="H65" s="25">
        <f>MEDIAN(C65:G65)</f>
        <v>1.7469655656306778E-4</v>
      </c>
      <c r="I65" s="25">
        <f t="shared" ref="I65:L65" si="49">H65</f>
        <v>1.7469655656306778E-4</v>
      </c>
      <c r="J65" s="25">
        <f t="shared" si="49"/>
        <v>1.7469655656306778E-4</v>
      </c>
      <c r="K65" s="25">
        <f t="shared" si="49"/>
        <v>1.7469655656306778E-4</v>
      </c>
      <c r="L65" s="25">
        <f t="shared" si="49"/>
        <v>1.7469655656306778E-4</v>
      </c>
    </row>
    <row r="66" spans="2:12" ht="18.75" x14ac:dyDescent="0.25">
      <c r="B66" s="8" t="s">
        <v>37</v>
      </c>
      <c r="C66" s="4">
        <v>559.4</v>
      </c>
      <c r="D66" s="4">
        <v>566.15</v>
      </c>
      <c r="E66" s="4">
        <v>553.86</v>
      </c>
      <c r="F66" s="4">
        <v>485.27</v>
      </c>
      <c r="G66" s="4">
        <v>564.65</v>
      </c>
      <c r="H66" s="24">
        <f>H74*H67</f>
        <v>1129.6038926033543</v>
      </c>
      <c r="I66" s="24">
        <f t="shared" ref="I66:L66" si="50">I74*I67</f>
        <v>1386.7536197849065</v>
      </c>
      <c r="J66" s="24">
        <f t="shared" si="50"/>
        <v>1713.2592612320025</v>
      </c>
      <c r="K66" s="24">
        <f t="shared" si="50"/>
        <v>2161.0548518811884</v>
      </c>
      <c r="L66" s="24">
        <f t="shared" si="50"/>
        <v>2837.1376516372534</v>
      </c>
    </row>
    <row r="67" spans="2:12" x14ac:dyDescent="0.25">
      <c r="B67" s="17" t="s">
        <v>233</v>
      </c>
      <c r="C67" s="18">
        <f>C66/Balance_Sheet!C74</f>
        <v>0.24144434996913966</v>
      </c>
      <c r="D67" s="18">
        <f>D66/Balance_Sheet!D74</f>
        <v>0.1674033592665837</v>
      </c>
      <c r="E67" s="18">
        <f>E66/Balance_Sheet!E74</f>
        <v>0.11922942037773694</v>
      </c>
      <c r="F67" s="18">
        <f>F66/Balance_Sheet!F74</f>
        <v>7.9289801964690237E-2</v>
      </c>
      <c r="G67" s="18">
        <f>G66/Balance_Sheet!G74</f>
        <v>8.7294168728616117E-2</v>
      </c>
      <c r="H67" s="25">
        <f>MEDIAN(C67:G67)</f>
        <v>0.11922942037773694</v>
      </c>
      <c r="I67" s="25">
        <f t="shared" ref="I67:L67" si="51">H67</f>
        <v>0.11922942037773694</v>
      </c>
      <c r="J67" s="25">
        <f t="shared" si="51"/>
        <v>0.11922942037773694</v>
      </c>
      <c r="K67" s="25">
        <f t="shared" si="51"/>
        <v>0.11922942037773694</v>
      </c>
      <c r="L67" s="25">
        <f t="shared" si="51"/>
        <v>0.11922942037773694</v>
      </c>
    </row>
    <row r="68" spans="2:12" ht="18.75" x14ac:dyDescent="0.25">
      <c r="B68" s="8" t="s">
        <v>38</v>
      </c>
      <c r="C68" s="5">
        <v>924.85</v>
      </c>
      <c r="D68" s="4">
        <v>765.39</v>
      </c>
      <c r="E68" s="4">
        <v>667.11</v>
      </c>
      <c r="F68" s="4">
        <v>806.45</v>
      </c>
      <c r="G68" s="4">
        <v>1048.01</v>
      </c>
      <c r="H68" s="24">
        <f>H69*H74</f>
        <v>911.17911308626083</v>
      </c>
      <c r="I68" s="24">
        <f t="shared" ref="I68:L68" si="52">I69*I74</f>
        <v>1118.6053284861182</v>
      </c>
      <c r="J68" s="24">
        <f t="shared" si="52"/>
        <v>1381.9765179264955</v>
      </c>
      <c r="K68" s="24">
        <f t="shared" si="52"/>
        <v>1743.18454120208</v>
      </c>
      <c r="L68" s="24">
        <f t="shared" si="52"/>
        <v>2288.5372350874218</v>
      </c>
    </row>
    <row r="69" spans="2:12" x14ac:dyDescent="0.25">
      <c r="B69" s="17" t="s">
        <v>234</v>
      </c>
      <c r="C69" s="18">
        <f>C68/Balance_Sheet!C74</f>
        <v>0.39917734549331219</v>
      </c>
      <c r="D69" s="18">
        <f>D68/Balance_Sheet!D74</f>
        <v>0.22631609493782656</v>
      </c>
      <c r="E69" s="18">
        <f>E68/Balance_Sheet!E74</f>
        <v>0.14360874341565033</v>
      </c>
      <c r="F69" s="18">
        <f>F68/Balance_Sheet!F74</f>
        <v>0.13176841921904187</v>
      </c>
      <c r="G69" s="18">
        <f>G68/Balance_Sheet!G74</f>
        <v>0.16202100729527491</v>
      </c>
      <c r="H69" s="25">
        <f>GROWTH(C69:G69,C4:G4,H4)</f>
        <v>9.6174737202080973E-2</v>
      </c>
      <c r="I69" s="25">
        <f t="shared" ref="I69:L69" si="53">H69</f>
        <v>9.6174737202080973E-2</v>
      </c>
      <c r="J69" s="25">
        <f t="shared" si="53"/>
        <v>9.6174737202080973E-2</v>
      </c>
      <c r="K69" s="25">
        <f t="shared" si="53"/>
        <v>9.6174737202080973E-2</v>
      </c>
      <c r="L69" s="25">
        <f t="shared" si="53"/>
        <v>9.6174737202080973E-2</v>
      </c>
    </row>
    <row r="70" spans="2:12" ht="18.75" x14ac:dyDescent="0.25">
      <c r="B70" s="8" t="s">
        <v>39</v>
      </c>
      <c r="C70" s="4">
        <v>404.85</v>
      </c>
      <c r="D70" s="5">
        <f>CashFlow_Statement!D48+C70</f>
        <v>1652.4812492483911</v>
      </c>
      <c r="E70" s="5">
        <f>CashFlow_Statement!E48+D70</f>
        <v>2985.6599717912513</v>
      </c>
      <c r="F70" s="5">
        <f>CashFlow_Statement!F48+E70</f>
        <v>4453.9869872252057</v>
      </c>
      <c r="G70" s="5">
        <f>CashFlow_Statement!G48+F70</f>
        <v>4402.7887486285399</v>
      </c>
      <c r="H70" s="28">
        <f>CashFlow_Statement!H48+G70</f>
        <v>4498.204447872723</v>
      </c>
      <c r="I70" s="28">
        <f>CashFlow_Statement!I48+H70</f>
        <v>4469.5968512401569</v>
      </c>
      <c r="J70" s="28">
        <f>CashFlow_Statement!J48+I70</f>
        <v>4397.2396471769989</v>
      </c>
      <c r="K70" s="28">
        <f>CashFlow_Statement!K48+J70</f>
        <v>4223.733108066318</v>
      </c>
      <c r="L70" s="28">
        <f>CashFlow_Statement!L48+K70</f>
        <v>3804.1212067503157</v>
      </c>
    </row>
    <row r="71" spans="2:12" x14ac:dyDescent="0.25">
      <c r="B71" s="17" t="s">
        <v>235</v>
      </c>
      <c r="C71" s="18">
        <f>C70/Balance_Sheet!C74</f>
        <v>0.17473855038435146</v>
      </c>
      <c r="D71" s="18">
        <f>D70/Balance_Sheet!D74</f>
        <v>0.48861770246263619</v>
      </c>
      <c r="E71" s="18">
        <f>E70/Balance_Sheet!E74</f>
        <v>0.64272290449153457</v>
      </c>
      <c r="F71" s="18">
        <f>F70/Balance_Sheet!F74</f>
        <v>0.72775103791784757</v>
      </c>
      <c r="G71" s="18">
        <f>G70/Balance_Sheet!G74</f>
        <v>0.68066551651329565</v>
      </c>
      <c r="H71" s="25">
        <f>H70/Balance_Sheet!H74</f>
        <v>0.47478440236638259</v>
      </c>
      <c r="I71" s="25">
        <f>I70/Balance_Sheet!I74</f>
        <v>0.38428415422357365</v>
      </c>
      <c r="J71" s="25">
        <f>J70/Balance_Sheet!J74</f>
        <v>0.30601342497218359</v>
      </c>
      <c r="K71" s="25">
        <f>K70/Balance_Sheet!K74</f>
        <v>0.2330312207793471</v>
      </c>
      <c r="L71" s="25">
        <f>L70/Balance_Sheet!L74</f>
        <v>0.15986646480326938</v>
      </c>
    </row>
    <row r="72" spans="2:12" ht="18.75" x14ac:dyDescent="0.25">
      <c r="B72" s="9" t="s">
        <v>42</v>
      </c>
      <c r="C72" s="7">
        <f>C56+C58+C60+C62+C64+C66+C68+C70</f>
        <v>1960.58</v>
      </c>
      <c r="D72" s="7">
        <f t="shared" ref="D72:L72" si="54">D56+D58+D60+D62+D64+D66+D68+D70</f>
        <v>3048.5712492483908</v>
      </c>
      <c r="E72" s="7">
        <f t="shared" si="54"/>
        <v>4344.7199717912517</v>
      </c>
      <c r="F72" s="7">
        <f t="shared" si="54"/>
        <v>5830.4669872252052</v>
      </c>
      <c r="G72" s="7">
        <f t="shared" si="54"/>
        <v>6219.4487486285398</v>
      </c>
      <c r="H72" s="29">
        <f t="shared" si="54"/>
        <v>6828.8125644375978</v>
      </c>
      <c r="I72" s="29">
        <f t="shared" si="54"/>
        <v>7330.7476896387216</v>
      </c>
      <c r="J72" s="29">
        <f t="shared" si="54"/>
        <v>7932.0457169373367</v>
      </c>
      <c r="K72" s="29">
        <f t="shared" si="54"/>
        <v>8682.4289078969432</v>
      </c>
      <c r="L72" s="29">
        <f t="shared" si="54"/>
        <v>9657.7131058689629</v>
      </c>
    </row>
    <row r="73" spans="2:12" x14ac:dyDescent="0.25">
      <c r="B73" s="19" t="s">
        <v>236</v>
      </c>
      <c r="C73" s="20">
        <f>C72/Balance_Sheet!C74</f>
        <v>0.84621194791293508</v>
      </c>
      <c r="D73" s="20">
        <f>D72/Balance_Sheet!D74</f>
        <v>0.90142377124031847</v>
      </c>
      <c r="E73" s="20">
        <f>E72/Balance_Sheet!E74</f>
        <v>0.93528769714413129</v>
      </c>
      <c r="F73" s="20">
        <f>F72/Balance_Sheet!F74</f>
        <v>0.95265846390411657</v>
      </c>
      <c r="G73" s="20">
        <f>G72/Balance_Sheet!G74</f>
        <v>0.96151883195211219</v>
      </c>
      <c r="H73" s="27">
        <f>H72/Balance_Sheet!H74</f>
        <v>0.72077953099971859</v>
      </c>
      <c r="I73" s="27">
        <f>I72/Balance_Sheet!I74</f>
        <v>0.63027836055450692</v>
      </c>
      <c r="J73" s="27">
        <f>J72/Balance_Sheet!J74</f>
        <v>0.55200823053486603</v>
      </c>
      <c r="K73" s="27">
        <f>K72/Balance_Sheet!K74</f>
        <v>0.47902577079814629</v>
      </c>
      <c r="L73" s="27">
        <f>L72/Balance_Sheet!L74</f>
        <v>0.40586100400265485</v>
      </c>
    </row>
    <row r="74" spans="2:12" ht="18.75" x14ac:dyDescent="0.25">
      <c r="B74" s="9" t="s">
        <v>43</v>
      </c>
      <c r="C74" s="7">
        <f>C54+C72</f>
        <v>2316.89</v>
      </c>
      <c r="D74" s="7">
        <f t="shared" ref="D74:G74" si="55">D54+D72</f>
        <v>3381.9512492483909</v>
      </c>
      <c r="E74" s="7">
        <f t="shared" si="55"/>
        <v>4645.3299717912514</v>
      </c>
      <c r="F74" s="7">
        <f t="shared" si="55"/>
        <v>6120.206987225205</v>
      </c>
      <c r="G74" s="7">
        <f t="shared" si="55"/>
        <v>6468.3587486285396</v>
      </c>
      <c r="H74" s="29">
        <f>Income_Statement!H5/H80</f>
        <v>9474.2043450735346</v>
      </c>
      <c r="I74" s="29">
        <f>Income_Statement!I5/I80</f>
        <v>11630.968391790047</v>
      </c>
      <c r="J74" s="29">
        <f>Income_Statement!J5/J80</f>
        <v>14369.433784078934</v>
      </c>
      <c r="K74" s="29">
        <f>Income_Statement!K5/K80</f>
        <v>18125.181226534842</v>
      </c>
      <c r="L74" s="29">
        <f>Income_Statement!L5/L80</f>
        <v>23795.617244877729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7">
        <f>H74/Balance_Sheet!H74</f>
        <v>1</v>
      </c>
      <c r="I75" s="27">
        <f>I74/Balance_Sheet!I74</f>
        <v>1</v>
      </c>
      <c r="J75" s="27">
        <f>J74/Balance_Sheet!J74</f>
        <v>1</v>
      </c>
      <c r="K75" s="27">
        <f>K74/Balance_Sheet!K74</f>
        <v>1</v>
      </c>
      <c r="L75" s="27">
        <f>L74/Balance_Sheet!L74</f>
        <v>1</v>
      </c>
    </row>
    <row r="80" spans="2:12" x14ac:dyDescent="0.25">
      <c r="B80" t="s">
        <v>265</v>
      </c>
      <c r="C80">
        <f>Income_Statement!C5/C74</f>
        <v>1.6854619770468173</v>
      </c>
      <c r="D80">
        <f>Income_Statement!D5/D74</f>
        <v>1.0769492909779361</v>
      </c>
      <c r="E80">
        <f>Income_Statement!E5/E74</f>
        <v>0.65720627351317706</v>
      </c>
      <c r="F80">
        <f>Income_Statement!F5/F74</f>
        <v>0.41573593921103341</v>
      </c>
      <c r="G80">
        <f>Income_Statement!G5/G74</f>
        <v>0.68372985665609654</v>
      </c>
      <c r="H80">
        <f>GROWTH(C80:G80,C4:G4,H4)</f>
        <v>0.35233002242913952</v>
      </c>
      <c r="I80">
        <f t="shared" ref="I80:L80" si="56">GROWTH(D80:H80,D4:H4,I4)</f>
        <v>0.30487178644838248</v>
      </c>
      <c r="J80">
        <f t="shared" si="56"/>
        <v>0.27465220246460276</v>
      </c>
      <c r="K80">
        <f t="shared" si="56"/>
        <v>0.2352120324089608</v>
      </c>
      <c r="L80">
        <f t="shared" si="56"/>
        <v>0.16777754477154838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25F8BF42-F205-4065-A5FF-CB545F35B5D8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78CCA-51B2-42A7-A57A-DFE32D6CE6CF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6" width="13.7109375" bestFit="1" customWidth="1"/>
    <col min="7" max="7" width="12" bestFit="1" customWidth="1"/>
    <col min="8" max="12" width="21.71093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143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1436.1812492483914</v>
      </c>
      <c r="E5" s="5">
        <f>Income_Statement!E45</f>
        <v>1394.7487225428602</v>
      </c>
      <c r="F5" s="5">
        <f>Income_Statement!F45</f>
        <v>1509.1070154339545</v>
      </c>
      <c r="G5" s="5">
        <f>Income_Statement!G45</f>
        <v>81.99176140333374</v>
      </c>
      <c r="H5" s="28">
        <f>Income_Statement!H45</f>
        <v>254.14905021434748</v>
      </c>
      <c r="I5" s="28">
        <f>Income_Statement!I45</f>
        <v>265.34182301954291</v>
      </c>
      <c r="J5" s="28">
        <f>Income_Statement!J45</f>
        <v>291.04994311725636</v>
      </c>
      <c r="K5" s="28">
        <f>Income_Statement!K45</f>
        <v>306.72244586529524</v>
      </c>
      <c r="L5" s="28">
        <f>Income_Statement!L45</f>
        <v>267.3768354484518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4"/>
      <c r="I6" s="24"/>
      <c r="J6" s="24"/>
      <c r="K6" s="24"/>
      <c r="L6" s="24"/>
    </row>
    <row r="7" spans="2:15" ht="18.75" x14ac:dyDescent="0.25">
      <c r="B7" s="8" t="s">
        <v>125</v>
      </c>
      <c r="C7" s="4"/>
      <c r="D7" s="4">
        <f>Income_Statement!D31</f>
        <v>17.21</v>
      </c>
      <c r="E7" s="4">
        <f>Income_Statement!E31</f>
        <v>15.97</v>
      </c>
      <c r="F7" s="4">
        <f>Income_Statement!F31</f>
        <v>14.85</v>
      </c>
      <c r="G7" s="4">
        <f>Income_Statement!G31</f>
        <v>14.05</v>
      </c>
      <c r="H7" s="24">
        <f>Income_Statement!H31</f>
        <v>19.944956900992477</v>
      </c>
      <c r="I7" s="24">
        <f>Income_Statement!I31</f>
        <v>24.485126549675467</v>
      </c>
      <c r="J7" s="24">
        <f>Income_Statement!J31</f>
        <v>30.249672035440774</v>
      </c>
      <c r="K7" s="24">
        <f>Income_Statement!K31</f>
        <v>38.156427075105597</v>
      </c>
      <c r="L7" s="24">
        <f>Income_Statement!L31</f>
        <v>50.093643325663656</v>
      </c>
    </row>
    <row r="8" spans="2:15" ht="18.75" x14ac:dyDescent="0.25">
      <c r="B8" s="8" t="s">
        <v>131</v>
      </c>
      <c r="C8" s="4"/>
      <c r="D8" s="4">
        <f>Income_Statement!D35</f>
        <v>26.39</v>
      </c>
      <c r="E8" s="4">
        <f>Income_Statement!E35</f>
        <v>19.66</v>
      </c>
      <c r="F8" s="4">
        <f>Income_Statement!F35</f>
        <v>3.57</v>
      </c>
      <c r="G8" s="4">
        <f>Income_Statement!G35</f>
        <v>5.27</v>
      </c>
      <c r="H8" s="24">
        <f>Income_Statement!H35</f>
        <v>7.7189734045497307</v>
      </c>
      <c r="I8" s="24">
        <f>Income_Statement!I35</f>
        <v>9.4761262246084019</v>
      </c>
      <c r="J8" s="24">
        <f>Income_Statement!J35</f>
        <v>11.707278601870813</v>
      </c>
      <c r="K8" s="24">
        <f>Income_Statement!K35</f>
        <v>14.767200974151768</v>
      </c>
      <c r="L8" s="24">
        <f>Income_Statement!L35</f>
        <v>19.387092350694637</v>
      </c>
    </row>
    <row r="9" spans="2:15" ht="18.75" x14ac:dyDescent="0.25">
      <c r="B9" s="8" t="s">
        <v>59</v>
      </c>
      <c r="C9" s="4"/>
      <c r="D9" s="4">
        <f>Income_Statement!D11</f>
        <v>4.55</v>
      </c>
      <c r="E9" s="4">
        <f>Income_Statement!E11</f>
        <v>-3.9</v>
      </c>
      <c r="F9" s="4">
        <f>Income_Statement!F11</f>
        <v>17.850000000000001</v>
      </c>
      <c r="G9" s="4">
        <f>Income_Statement!G11</f>
        <v>7.79</v>
      </c>
      <c r="H9" s="24">
        <f>Income_Statement!H11</f>
        <v>5.879646462837667</v>
      </c>
      <c r="I9" s="24">
        <f>Income_Statement!I11</f>
        <v>6.2458553954281246</v>
      </c>
      <c r="J9" s="24">
        <f>Income_Statement!J11</f>
        <v>6.9515484752147332</v>
      </c>
      <c r="K9" s="24">
        <f>Income_Statement!K11</f>
        <v>7.5093216364627384</v>
      </c>
      <c r="L9" s="24">
        <f>Income_Statement!L11</f>
        <v>7.0321742481119305</v>
      </c>
    </row>
    <row r="10" spans="2:15" ht="18.75" x14ac:dyDescent="0.25">
      <c r="B10" s="9" t="s">
        <v>132</v>
      </c>
      <c r="C10" s="6"/>
      <c r="D10" s="6">
        <f>D7+D8-D9</f>
        <v>39.050000000000004</v>
      </c>
      <c r="E10" s="6">
        <f t="shared" ref="E10:L10" si="0">E7+E8-E9</f>
        <v>39.53</v>
      </c>
      <c r="F10" s="6">
        <f t="shared" si="0"/>
        <v>0.56999999999999673</v>
      </c>
      <c r="G10" s="6">
        <f t="shared" si="0"/>
        <v>11.530000000000001</v>
      </c>
      <c r="H10" s="26">
        <f t="shared" si="0"/>
        <v>21.784283842704543</v>
      </c>
      <c r="I10" s="26">
        <f t="shared" si="0"/>
        <v>27.715397378855748</v>
      </c>
      <c r="J10" s="26">
        <f t="shared" si="0"/>
        <v>35.00540216209685</v>
      </c>
      <c r="K10" s="26">
        <f t="shared" si="0"/>
        <v>45.41430641279463</v>
      </c>
      <c r="L10" s="26">
        <f t="shared" si="0"/>
        <v>62.448561428246364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4"/>
      <c r="I11" s="24"/>
      <c r="J11" s="24"/>
      <c r="K11" s="24"/>
      <c r="L11" s="24"/>
    </row>
    <row r="12" spans="2:15" ht="18.75" x14ac:dyDescent="0.25">
      <c r="B12" s="8" t="str">
        <f>Balance_Sheet!B56</f>
        <v>Deferred Tax Assets [Net]</v>
      </c>
      <c r="C12" s="4"/>
      <c r="D12" s="4">
        <f>Balance_Sheet!C56-Balance_Sheet!D56</f>
        <v>0</v>
      </c>
      <c r="E12" s="4">
        <f>Balance_Sheet!D56-Balance_Sheet!E56</f>
        <v>0</v>
      </c>
      <c r="F12" s="4">
        <f>Balance_Sheet!E56-Balance_Sheet!F56</f>
        <v>0</v>
      </c>
      <c r="G12" s="4">
        <f>Balance_Sheet!F56-Balance_Sheet!G56</f>
        <v>-2.91</v>
      </c>
      <c r="H12" s="24">
        <f>Balance_Sheet!G56-Balance_Sheet!H56</f>
        <v>2.91</v>
      </c>
      <c r="I12" s="24">
        <f>Balance_Sheet!H56-Balance_Sheet!I56</f>
        <v>0</v>
      </c>
      <c r="J12" s="24">
        <f>Balance_Sheet!I56-Balance_Sheet!J56</f>
        <v>0</v>
      </c>
      <c r="K12" s="24">
        <f>Balance_Sheet!J56-Balance_Sheet!K56</f>
        <v>0</v>
      </c>
      <c r="L12" s="24">
        <f>Balance_Sheet!K56-Balance_Sheet!L56</f>
        <v>0</v>
      </c>
    </row>
    <row r="13" spans="2:15" ht="18.75" x14ac:dyDescent="0.25">
      <c r="B13" s="8" t="str">
        <f>Balance_Sheet!B58</f>
        <v>Long Term Loans And Advances</v>
      </c>
      <c r="C13" s="4"/>
      <c r="D13" s="4">
        <f>Balance_Sheet!C58-Balance_Sheet!D58</f>
        <v>0</v>
      </c>
      <c r="E13" s="4">
        <f>Balance_Sheet!D58-Balance_Sheet!E58</f>
        <v>0</v>
      </c>
      <c r="F13" s="4">
        <f>Balance_Sheet!E58-Balance_Sheet!F58</f>
        <v>0</v>
      </c>
      <c r="G13" s="4">
        <f>Balance_Sheet!F58-Balance_Sheet!G58</f>
        <v>0</v>
      </c>
      <c r="H13" s="24">
        <f>Balance_Sheet!G58-Balance_Sheet!H58</f>
        <v>0</v>
      </c>
      <c r="I13" s="24">
        <f>Balance_Sheet!H58-Balance_Sheet!I58</f>
        <v>0</v>
      </c>
      <c r="J13" s="24">
        <f>Balance_Sheet!I58-Balance_Sheet!J58</f>
        <v>0</v>
      </c>
      <c r="K13" s="24">
        <f>Balance_Sheet!J58-Balance_Sheet!K58</f>
        <v>0</v>
      </c>
      <c r="L13" s="24">
        <f>Balance_Sheet!K58-Balance_Sheet!L58</f>
        <v>0</v>
      </c>
    </row>
    <row r="14" spans="2:15" ht="18.75" x14ac:dyDescent="0.25">
      <c r="B14" s="8" t="str">
        <f>Balance_Sheet!B60</f>
        <v>Other Non-Current Assets</v>
      </c>
      <c r="C14" s="4"/>
      <c r="D14" s="4">
        <f>Balance_Sheet!C60-Balance_Sheet!D60</f>
        <v>-2.08</v>
      </c>
      <c r="E14" s="4">
        <f>Balance_Sheet!D60-Balance_Sheet!E60</f>
        <v>-3.26</v>
      </c>
      <c r="F14" s="4">
        <f>Balance_Sheet!E60-Balance_Sheet!F60</f>
        <v>10.199999999999999</v>
      </c>
      <c r="G14" s="4">
        <f>Balance_Sheet!F60-Balance_Sheet!G60</f>
        <v>-0.17000000000000037</v>
      </c>
      <c r="H14" s="24">
        <f>Balance_Sheet!G60-Balance_Sheet!H60</f>
        <v>3.22</v>
      </c>
      <c r="I14" s="24">
        <f>Balance_Sheet!H60-Balance_Sheet!I60</f>
        <v>0</v>
      </c>
      <c r="J14" s="24">
        <f>Balance_Sheet!I60-Balance_Sheet!J60</f>
        <v>0</v>
      </c>
      <c r="K14" s="24">
        <f>Balance_Sheet!J60-Balance_Sheet!K60</f>
        <v>0</v>
      </c>
      <c r="L14" s="24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6.5900000000000034</v>
      </c>
      <c r="E15" s="4">
        <f>Balance_Sheet!D62-Balance_Sheet!E62</f>
        <v>-67.72</v>
      </c>
      <c r="F15" s="4">
        <f>Balance_Sheet!E62-Balance_Sheet!F62</f>
        <v>40.480000000000004</v>
      </c>
      <c r="G15" s="4">
        <f>Balance_Sheet!F62-Balance_Sheet!G62</f>
        <v>-115.03000000000002</v>
      </c>
      <c r="H15" s="24">
        <f>Balance_Sheet!G62-Balance_Sheet!H62</f>
        <v>-91.43</v>
      </c>
      <c r="I15" s="24">
        <f>Balance_Sheet!H62-Balance_Sheet!I62</f>
        <v>-65.589999999999975</v>
      </c>
      <c r="J15" s="24">
        <f>Balance_Sheet!I62-Balance_Sheet!J62</f>
        <v>-83.300000000000011</v>
      </c>
      <c r="K15" s="24">
        <f>Balance_Sheet!J62-Balance_Sheet!K62</f>
        <v>-114.22999999999996</v>
      </c>
      <c r="L15" s="24">
        <f>Balance_Sheet!K62-Balance_Sheet!L62</f>
        <v>-172.47000000000003</v>
      </c>
    </row>
    <row r="16" spans="2:15" ht="18.75" x14ac:dyDescent="0.25">
      <c r="B16" s="8" t="str">
        <f>Balance_Sheet!B64</f>
        <v>OtherCurrentAssets</v>
      </c>
      <c r="C16" s="4"/>
      <c r="D16" s="4">
        <f>Balance_Sheet!C64-Balance_Sheet!D64</f>
        <v>2.42</v>
      </c>
      <c r="E16" s="4">
        <f>Balance_Sheet!D64-Balance_Sheet!E64</f>
        <v>-2.56</v>
      </c>
      <c r="F16" s="4">
        <f>Balance_Sheet!E64-Balance_Sheet!F64</f>
        <v>2.65</v>
      </c>
      <c r="G16" s="4">
        <f>Balance_Sheet!F64-Balance_Sheet!G64</f>
        <v>-1.1299999999999999</v>
      </c>
      <c r="H16" s="24">
        <f>Balance_Sheet!G64-Balance_Sheet!H64</f>
        <v>-0.5251108752592013</v>
      </c>
      <c r="I16" s="24">
        <f>Balance_Sheet!H64-Balance_Sheet!I64</f>
        <v>-0.37677925228040232</v>
      </c>
      <c r="J16" s="24">
        <f>Balance_Sheet!I64-Balance_Sheet!J64</f>
        <v>-0.47840047429999899</v>
      </c>
      <c r="K16" s="24">
        <f>Balance_Sheet!J64-Balance_Sheet!K64</f>
        <v>-0.65611614551759567</v>
      </c>
      <c r="L16" s="24">
        <f>Balance_Sheet!K64-Balance_Sheet!L64</f>
        <v>-0.99060564661569517</v>
      </c>
    </row>
    <row r="17" spans="2:12" ht="18.75" x14ac:dyDescent="0.25">
      <c r="B17" s="8" t="str">
        <f>Balance_Sheet!B66</f>
        <v>Inventories</v>
      </c>
      <c r="C17" s="4"/>
      <c r="D17" s="4">
        <f>Balance_Sheet!C66-Balance_Sheet!D66</f>
        <v>-6.75</v>
      </c>
      <c r="E17" s="4">
        <f>Balance_Sheet!D66-Balance_Sheet!E66</f>
        <v>12.289999999999964</v>
      </c>
      <c r="F17" s="4">
        <f>Balance_Sheet!E66-Balance_Sheet!F66</f>
        <v>68.590000000000032</v>
      </c>
      <c r="G17" s="4">
        <f>Balance_Sheet!F66-Balance_Sheet!G66</f>
        <v>-79.38</v>
      </c>
      <c r="H17" s="24">
        <f>Balance_Sheet!G66-Balance_Sheet!H66</f>
        <v>-564.95389260335435</v>
      </c>
      <c r="I17" s="24">
        <f>Balance_Sheet!H66-Balance_Sheet!I66</f>
        <v>-257.14972718155218</v>
      </c>
      <c r="J17" s="24">
        <f>Balance_Sheet!I66-Balance_Sheet!J66</f>
        <v>-326.50564144709597</v>
      </c>
      <c r="K17" s="24">
        <f>Balance_Sheet!J66-Balance_Sheet!K66</f>
        <v>-447.7955906491859</v>
      </c>
      <c r="L17" s="24">
        <f>Balance_Sheet!K66-Balance_Sheet!L66</f>
        <v>-676.08279975606501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159.46000000000004</v>
      </c>
      <c r="E18" s="5">
        <f>Balance_Sheet!D68-Balance_Sheet!E68</f>
        <v>98.279999999999973</v>
      </c>
      <c r="F18" s="5">
        <f>Balance_Sheet!E68-Balance_Sheet!F68</f>
        <v>-139.34000000000003</v>
      </c>
      <c r="G18" s="5">
        <f>Balance_Sheet!F68-Balance_Sheet!G68</f>
        <v>-241.55999999999995</v>
      </c>
      <c r="H18" s="28">
        <f>Balance_Sheet!G68-Balance_Sheet!H68</f>
        <v>136.83088691373916</v>
      </c>
      <c r="I18" s="28">
        <f>Balance_Sheet!H68-Balance_Sheet!I68</f>
        <v>-207.42621539985737</v>
      </c>
      <c r="J18" s="28">
        <f>Balance_Sheet!I68-Balance_Sheet!J68</f>
        <v>-263.37118944037729</v>
      </c>
      <c r="K18" s="28">
        <f>Balance_Sheet!J68-Balance_Sheet!K68</f>
        <v>-361.20802327558454</v>
      </c>
      <c r="L18" s="28">
        <f>Balance_Sheet!K68-Balance_Sheet!L68</f>
        <v>-545.35269388534175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4"/>
      <c r="I19" s="24"/>
      <c r="J19" s="24"/>
      <c r="K19" s="24"/>
      <c r="L19" s="24"/>
    </row>
    <row r="20" spans="2:12" ht="18.75" x14ac:dyDescent="0.25">
      <c r="B20" s="8" t="str">
        <f>Balance_Sheet!B23</f>
        <v>Long Term Provisions</v>
      </c>
      <c r="C20" s="4"/>
      <c r="D20" s="4">
        <f>Balance_Sheet!D23-Balance_Sheet!C23</f>
        <v>0.53999999999999915</v>
      </c>
      <c r="E20" s="4">
        <f>Balance_Sheet!E23-Balance_Sheet!D23</f>
        <v>-1.6100000000000003</v>
      </c>
      <c r="F20" s="4">
        <f>Balance_Sheet!F23-Balance_Sheet!E23</f>
        <v>5.4000000000000012</v>
      </c>
      <c r="G20" s="4">
        <f>Balance_Sheet!G23-Balance_Sheet!F23</f>
        <v>0.88999999999999879</v>
      </c>
      <c r="H20" s="24">
        <f>Balance_Sheet!H23-Balance_Sheet!G23</f>
        <v>6.3199184986948094</v>
      </c>
      <c r="I20" s="24">
        <f>Balance_Sheet!I23-Balance_Sheet!H23</f>
        <v>4.5346883460296219</v>
      </c>
      <c r="J20" s="24">
        <f>Balance_Sheet!J23-Balance_Sheet!I23</f>
        <v>5.7577402216637061</v>
      </c>
      <c r="K20" s="24">
        <f>Balance_Sheet!K23-Balance_Sheet!J23</f>
        <v>7.8966190964949554</v>
      </c>
      <c r="L20" s="24">
        <f>Balance_Sheet!L23-Balance_Sheet!K23</f>
        <v>11.922333445994205</v>
      </c>
    </row>
    <row r="21" spans="2:12" ht="18.75" x14ac:dyDescent="0.25">
      <c r="B21" s="8" t="str">
        <f>Balance_Sheet!B25</f>
        <v>Short Term Provisions</v>
      </c>
      <c r="C21" s="4"/>
      <c r="D21" s="4">
        <f>Balance_Sheet!D25-Balance_Sheet!C25</f>
        <v>0</v>
      </c>
      <c r="E21" s="4">
        <f>Balance_Sheet!E25-Balance_Sheet!D25</f>
        <v>0</v>
      </c>
      <c r="F21" s="4">
        <f>Balance_Sheet!F25-Balance_Sheet!E25</f>
        <v>0</v>
      </c>
      <c r="G21" s="4">
        <f>Balance_Sheet!G25-Balance_Sheet!F25</f>
        <v>0</v>
      </c>
      <c r="H21" s="24">
        <f>Balance_Sheet!H25-Balance_Sheet!G25</f>
        <v>0</v>
      </c>
      <c r="I21" s="24">
        <f>Balance_Sheet!I25-Balance_Sheet!H25</f>
        <v>0</v>
      </c>
      <c r="J21" s="24">
        <f>Balance_Sheet!J25-Balance_Sheet!I25</f>
        <v>0</v>
      </c>
      <c r="K21" s="24">
        <f>Balance_Sheet!K25-Balance_Sheet!J25</f>
        <v>0</v>
      </c>
      <c r="L21" s="24">
        <f>Balance_Sheet!L25-Balance_Sheet!K25</f>
        <v>0</v>
      </c>
    </row>
    <row r="22" spans="2:12" ht="18.75" x14ac:dyDescent="0.25">
      <c r="B22" s="8" t="str">
        <f>Balance_Sheet!B27</f>
        <v>Other Long Term Liabilities</v>
      </c>
      <c r="C22" s="4"/>
      <c r="D22" s="4">
        <f>Balance_Sheet!D27-Balance_Sheet!C27</f>
        <v>-2.1999999999999993</v>
      </c>
      <c r="E22" s="4">
        <f>Balance_Sheet!E27-Balance_Sheet!D27</f>
        <v>1.9699999999999998</v>
      </c>
      <c r="F22" s="4">
        <f>Balance_Sheet!F27-Balance_Sheet!E27</f>
        <v>-2.4900000000000002</v>
      </c>
      <c r="G22" s="4">
        <f>Balance_Sheet!G27-Balance_Sheet!F27</f>
        <v>1.6600000000000001</v>
      </c>
      <c r="H22" s="24">
        <f>Balance_Sheet!H27-Balance_Sheet!G27</f>
        <v>3.1400000000000006</v>
      </c>
      <c r="I22" s="24">
        <f>Balance_Sheet!I27-Balance_Sheet!H27</f>
        <v>2.25</v>
      </c>
      <c r="J22" s="24">
        <f>Balance_Sheet!J27-Balance_Sheet!I27</f>
        <v>2.8599999999999994</v>
      </c>
      <c r="K22" s="24">
        <f>Balance_Sheet!K27-Balance_Sheet!J27</f>
        <v>3.91</v>
      </c>
      <c r="L22" s="24">
        <f>Balance_Sheet!L27-Balance_Sheet!K27</f>
        <v>5.9199999999999982</v>
      </c>
    </row>
    <row r="23" spans="2:12" ht="18.75" x14ac:dyDescent="0.25">
      <c r="B23" s="8" t="str">
        <f>Balance_Sheet!B29</f>
        <v>Trade Payables</v>
      </c>
      <c r="C23" s="4"/>
      <c r="D23" s="4">
        <f>Balance_Sheet!D29-Balance_Sheet!C29</f>
        <v>-27.72999999999999</v>
      </c>
      <c r="E23" s="4">
        <f>Balance_Sheet!E29-Balance_Sheet!D29</f>
        <v>-71.06</v>
      </c>
      <c r="F23" s="4">
        <f>Balance_Sheet!F29-Balance_Sheet!E29</f>
        <v>88.860000000000014</v>
      </c>
      <c r="G23" s="4">
        <f>Balance_Sheet!G29-Balance_Sheet!F29</f>
        <v>134.53</v>
      </c>
      <c r="H23" s="24">
        <f>Balance_Sheet!H29-Balance_Sheet!G29</f>
        <v>164.32252796496118</v>
      </c>
      <c r="I23" s="24">
        <f>Balance_Sheet!I29-Balance_Sheet!H29</f>
        <v>117.90523132643636</v>
      </c>
      <c r="J23" s="24">
        <f>Balance_Sheet!J29-Balance_Sheet!I29</f>
        <v>149.70547939577227</v>
      </c>
      <c r="K23" s="24">
        <f>Balance_Sheet!K29-Balance_Sheet!J29</f>
        <v>205.31790284643978</v>
      </c>
      <c r="L23" s="24">
        <f>Balance_Sheet!L29-Balance_Sheet!K29</f>
        <v>309.98943601750068</v>
      </c>
    </row>
    <row r="24" spans="2:12" ht="18.75" x14ac:dyDescent="0.25">
      <c r="B24" s="8" t="str">
        <f>Balance_Sheet!B31</f>
        <v>Other Current Liabilities</v>
      </c>
      <c r="C24" s="4"/>
      <c r="D24" s="4">
        <f>Balance_Sheet!D31-Balance_Sheet!C31</f>
        <v>-165.71</v>
      </c>
      <c r="E24" s="4">
        <f>Balance_Sheet!E31-Balance_Sheet!D31</f>
        <v>-17.650000000000002</v>
      </c>
      <c r="F24" s="4">
        <f>Balance_Sheet!F31-Balance_Sheet!E31</f>
        <v>2.33</v>
      </c>
      <c r="G24" s="4">
        <f>Balance_Sheet!G31-Balance_Sheet!F31</f>
        <v>7.7200000000000006</v>
      </c>
      <c r="H24" s="24">
        <f>Balance_Sheet!H31-Balance_Sheet!G31</f>
        <v>10.688097461027994</v>
      </c>
      <c r="I24" s="24">
        <f>Balance_Sheet!I31-Balance_Sheet!H31</f>
        <v>7.6689582322559744</v>
      </c>
      <c r="J24" s="24">
        <f>Balance_Sheet!J31-Balance_Sheet!I31</f>
        <v>9.7373547866371482</v>
      </c>
      <c r="K24" s="24">
        <f>Balance_Sheet!K31-Balance_Sheet!J31</f>
        <v>13.354576413189996</v>
      </c>
      <c r="L24" s="24">
        <f>Balance_Sheet!L31-Balance_Sheet!K31</f>
        <v>20.162769798372551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4"/>
      <c r="I25" s="24"/>
      <c r="J25" s="24"/>
      <c r="K25" s="24"/>
      <c r="L25" s="24"/>
    </row>
    <row r="26" spans="2:12" ht="18.75" x14ac:dyDescent="0.25">
      <c r="B26" s="8" t="str">
        <f>Income_Statement!B47</f>
        <v>Total Tax Expenses</v>
      </c>
      <c r="C26" s="4"/>
      <c r="D26" s="4">
        <f>Income_Statement!D47</f>
        <v>21.07</v>
      </c>
      <c r="E26" s="4">
        <f>Income_Statement!E47</f>
        <v>14.45</v>
      </c>
      <c r="F26" s="4">
        <f>Income_Statement!F47</f>
        <v>-4.68</v>
      </c>
      <c r="G26" s="4">
        <f>Income_Statement!G47</f>
        <v>19.09</v>
      </c>
      <c r="H26" s="24">
        <f>Income_Statement!H47</f>
        <v>59.173083801985811</v>
      </c>
      <c r="I26" s="24">
        <f>Income_Statement!I47</f>
        <v>61.779077735938458</v>
      </c>
      <c r="J26" s="24">
        <f>Income_Statement!J47</f>
        <v>67.764654875221566</v>
      </c>
      <c r="K26" s="24">
        <f>Income_Statement!K47</f>
        <v>71.413656583921266</v>
      </c>
      <c r="L26" s="24">
        <f>Income_Statement!L47</f>
        <v>62.252886160138154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1418.7012492483914</v>
      </c>
      <c r="E27" s="7">
        <f t="shared" ref="E27:L27" si="1">E12+E13+E14+E15+E16+E17+E18+E20+E21+E22+E23+E24-E26+E10+E5</f>
        <v>1368.5087225428601</v>
      </c>
      <c r="F27" s="7">
        <f t="shared" si="1"/>
        <v>1591.0370154339546</v>
      </c>
      <c r="G27" s="7">
        <f t="shared" si="1"/>
        <v>-220.9482385966661</v>
      </c>
      <c r="H27" s="29">
        <f t="shared" si="1"/>
        <v>-112.71732238512413</v>
      </c>
      <c r="I27" s="29">
        <f t="shared" si="1"/>
        <v>-166.90570126650778</v>
      </c>
      <c r="J27" s="29">
        <f t="shared" si="1"/>
        <v>-247.30396655356856</v>
      </c>
      <c r="K27" s="29">
        <f t="shared" si="1"/>
        <v>-412.68753601999464</v>
      </c>
      <c r="L27" s="29">
        <f t="shared" si="1"/>
        <v>-779.32904930959489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4"/>
      <c r="I28" s="24"/>
      <c r="J28" s="24"/>
      <c r="K28" s="24"/>
      <c r="L28" s="24"/>
    </row>
    <row r="29" spans="2:12" ht="18.75" x14ac:dyDescent="0.25">
      <c r="B29" s="8" t="str">
        <f>Balance_Sheet!B40</f>
        <v>Tangible Assets</v>
      </c>
      <c r="C29" s="4"/>
      <c r="D29" s="4">
        <f>Balance_Sheet!C40-Balance_Sheet!D40</f>
        <v>12.379999999999995</v>
      </c>
      <c r="E29" s="4">
        <f>Balance_Sheet!D40-Balance_Sheet!E40</f>
        <v>11.45999999999998</v>
      </c>
      <c r="F29" s="4">
        <f>Balance_Sheet!E40-Balance_Sheet!F40</f>
        <v>14.320000000000022</v>
      </c>
      <c r="G29" s="4">
        <f>Balance_Sheet!F40-Balance_Sheet!G40</f>
        <v>25.150000000000006</v>
      </c>
      <c r="H29" s="24">
        <f>Balance_Sheet!G40-Balance_Sheet!H40</f>
        <v>-105.89999999999998</v>
      </c>
      <c r="I29" s="24">
        <f>Balance_Sheet!H40-Balance_Sheet!I40</f>
        <v>-75.980000000000018</v>
      </c>
      <c r="J29" s="24">
        <f>Balance_Sheet!I40-Balance_Sheet!J40</f>
        <v>-96.470000000000027</v>
      </c>
      <c r="K29" s="24">
        <f>Balance_Sheet!J40-Balance_Sheet!K40</f>
        <v>-132.31999999999994</v>
      </c>
      <c r="L29" s="24">
        <f>Balance_Sheet!K40-Balance_Sheet!L40</f>
        <v>-199.7700000000001</v>
      </c>
    </row>
    <row r="30" spans="2:12" ht="18.75" x14ac:dyDescent="0.25">
      <c r="B30" s="8" t="str">
        <f>Balance_Sheet!B42</f>
        <v>Intangible Assets</v>
      </c>
      <c r="C30" s="4"/>
      <c r="D30" s="4">
        <f>Balance_Sheet!C42-Balance_Sheet!D42</f>
        <v>0.22</v>
      </c>
      <c r="E30" s="4">
        <f>Balance_Sheet!D42-Balance_Sheet!E42</f>
        <v>0</v>
      </c>
      <c r="F30" s="4">
        <f>Balance_Sheet!E42-Balance_Sheet!F42</f>
        <v>0</v>
      </c>
      <c r="G30" s="4">
        <f>Balance_Sheet!F42-Balance_Sheet!G42</f>
        <v>0</v>
      </c>
      <c r="H30" s="24">
        <f>Balance_Sheet!G42-Balance_Sheet!H42</f>
        <v>0</v>
      </c>
      <c r="I30" s="24">
        <f>Balance_Sheet!H42-Balance_Sheet!I42</f>
        <v>0</v>
      </c>
      <c r="J30" s="24">
        <f>Balance_Sheet!I42-Balance_Sheet!J42</f>
        <v>0</v>
      </c>
      <c r="K30" s="24">
        <f>Balance_Sheet!J42-Balance_Sheet!K42</f>
        <v>0</v>
      </c>
      <c r="L30" s="24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4">
        <f>Balance_Sheet!C48-Balance_Sheet!D48</f>
        <v>-5.5800000000000054</v>
      </c>
      <c r="E31" s="4">
        <f>Balance_Sheet!D48-Balance_Sheet!E48</f>
        <v>-2.7999999999999972</v>
      </c>
      <c r="F31" s="4">
        <f>Balance_Sheet!E48-Balance_Sheet!F48</f>
        <v>-2.2000000000000028</v>
      </c>
      <c r="G31" s="4">
        <f>Balance_Sheet!F48-Balance_Sheet!G48</f>
        <v>7.8400000000000034</v>
      </c>
      <c r="H31" s="24">
        <f>Balance_Sheet!G48-Balance_Sheet!H48</f>
        <v>-56.097892873590474</v>
      </c>
      <c r="I31" s="24">
        <f>Balance_Sheet!H48-Balance_Sheet!I48</f>
        <v>-22.536467261388339</v>
      </c>
      <c r="J31" s="24">
        <f>Balance_Sheet!I48-Balance_Sheet!J48</f>
        <v>-28.614783222911996</v>
      </c>
      <c r="K31" s="24">
        <f>Balance_Sheet!J48-Balance_Sheet!K48</f>
        <v>-39.244570776209656</v>
      </c>
      <c r="L31" s="24">
        <f>Balance_Sheet!K48-Balance_Sheet!L48</f>
        <v>-59.251542086735611</v>
      </c>
    </row>
    <row r="32" spans="2:12" ht="18.75" x14ac:dyDescent="0.25">
      <c r="B32" s="8" t="str">
        <f>Balance_Sheet!B50</f>
        <v>Current Investments</v>
      </c>
      <c r="C32" s="4"/>
      <c r="D32" s="4">
        <f>Balance_Sheet!C50-Balance_Sheet!D50</f>
        <v>-1.3299999999999983</v>
      </c>
      <c r="E32" s="4">
        <f>Balance_Sheet!D50-Balance_Sheet!E50</f>
        <v>8.14</v>
      </c>
      <c r="F32" s="4">
        <f>Balance_Sheet!E50-Balance_Sheet!F50</f>
        <v>-16.100000000000001</v>
      </c>
      <c r="G32" s="4">
        <f>Balance_Sheet!F50-Balance_Sheet!G50</f>
        <v>-6.2100000000000009</v>
      </c>
      <c r="H32" s="24">
        <f>Balance_Sheet!G50-Balance_Sheet!H50</f>
        <v>-18.685582561214588</v>
      </c>
      <c r="I32" s="24">
        <f>Balance_Sheet!H50-Balance_Sheet!I50</f>
        <v>-13.407339587783163</v>
      </c>
      <c r="J32" s="24">
        <f>Balance_Sheet!I50-Balance_Sheet!J50</f>
        <v>-17.023436346551293</v>
      </c>
      <c r="K32" s="24">
        <f>Balance_Sheet!J50-Balance_Sheet!K50</f>
        <v>-23.347283372798699</v>
      </c>
      <c r="L32" s="24">
        <f>Balance_Sheet!K50-Balance_Sheet!L50</f>
        <v>-35.249781460546103</v>
      </c>
    </row>
    <row r="33" spans="2:12" ht="18.75" x14ac:dyDescent="0.25">
      <c r="B33" s="8" t="str">
        <f>Balance_Sheet!B52</f>
        <v>Capital Work-In-Progress</v>
      </c>
      <c r="C33" s="4"/>
      <c r="D33" s="4">
        <f>Balance_Sheet!C52-Balance_Sheet!D52</f>
        <v>0.03</v>
      </c>
      <c r="E33" s="4">
        <f>Balance_Sheet!D52-Balance_Sheet!E52</f>
        <v>0</v>
      </c>
      <c r="F33" s="4">
        <f>Balance_Sheet!E52-Balance_Sheet!F52</f>
        <v>0</v>
      </c>
      <c r="G33" s="4">
        <f>Balance_Sheet!F52-Balance_Sheet!G52</f>
        <v>0</v>
      </c>
      <c r="H33" s="24">
        <f>Balance_Sheet!G52-Balance_Sheet!H52</f>
        <v>0</v>
      </c>
      <c r="I33" s="24">
        <f>Balance_Sheet!H52-Balance_Sheet!I52</f>
        <v>0</v>
      </c>
      <c r="J33" s="24">
        <f>Balance_Sheet!I52-Balance_Sheet!J52</f>
        <v>0</v>
      </c>
      <c r="K33" s="24">
        <f>Balance_Sheet!J52-Balance_Sheet!K52</f>
        <v>0</v>
      </c>
      <c r="L33" s="24">
        <f>Balance_Sheet!K52-Balance_Sheet!L52</f>
        <v>0</v>
      </c>
    </row>
    <row r="34" spans="2:12" ht="18.75" x14ac:dyDescent="0.25">
      <c r="B34" s="8" t="s">
        <v>59</v>
      </c>
      <c r="C34" s="4"/>
      <c r="D34" s="4">
        <f>Income_Statement!D11</f>
        <v>4.55</v>
      </c>
      <c r="E34" s="4">
        <f>Income_Statement!E11</f>
        <v>-3.9</v>
      </c>
      <c r="F34" s="4">
        <f>Income_Statement!F11</f>
        <v>17.850000000000001</v>
      </c>
      <c r="G34" s="4">
        <f>Income_Statement!G11</f>
        <v>7.79</v>
      </c>
      <c r="H34" s="24">
        <f>Income_Statement!H11</f>
        <v>5.879646462837667</v>
      </c>
      <c r="I34" s="24">
        <f>Income_Statement!I11</f>
        <v>6.2458553954281246</v>
      </c>
      <c r="J34" s="24">
        <f>Income_Statement!J11</f>
        <v>6.9515484752147332</v>
      </c>
      <c r="K34" s="24">
        <f>Income_Statement!K11</f>
        <v>7.5093216364627384</v>
      </c>
      <c r="L34" s="24">
        <f>Income_Statement!L11</f>
        <v>7.0321742481119305</v>
      </c>
    </row>
    <row r="35" spans="2:12" ht="18.75" x14ac:dyDescent="0.25">
      <c r="B35" s="9" t="s">
        <v>137</v>
      </c>
      <c r="C35" s="6"/>
      <c r="D35" s="6">
        <f>D29+D30+D31+D32+D33+D34</f>
        <v>10.269999999999992</v>
      </c>
      <c r="E35" s="6">
        <f t="shared" ref="E35:L35" si="2">E29+E30+E31+E32+E33+E34</f>
        <v>12.899999999999983</v>
      </c>
      <c r="F35" s="6">
        <f t="shared" si="2"/>
        <v>13.870000000000019</v>
      </c>
      <c r="G35" s="6">
        <f t="shared" si="2"/>
        <v>34.570000000000007</v>
      </c>
      <c r="H35" s="26">
        <f t="shared" si="2"/>
        <v>-174.80382897196736</v>
      </c>
      <c r="I35" s="26">
        <f t="shared" si="2"/>
        <v>-105.67795145374339</v>
      </c>
      <c r="J35" s="26">
        <f t="shared" si="2"/>
        <v>-135.15667109424857</v>
      </c>
      <c r="K35" s="26">
        <f t="shared" si="2"/>
        <v>-187.40253251254555</v>
      </c>
      <c r="L35" s="26">
        <f t="shared" si="2"/>
        <v>-287.23914929916992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4"/>
      <c r="I36" s="24"/>
      <c r="J36" s="24"/>
      <c r="K36" s="24"/>
      <c r="L36" s="24"/>
    </row>
    <row r="37" spans="2:12" ht="18.75" x14ac:dyDescent="0.25">
      <c r="B37" s="8" t="str">
        <f>Balance_Sheet!B5</f>
        <v>Equity Share Capital</v>
      </c>
      <c r="C37" s="4"/>
      <c r="D37" s="4">
        <f>Balance_Sheet!D5-Balance_Sheet!C5</f>
        <v>0</v>
      </c>
      <c r="E37" s="4">
        <f>Balance_Sheet!E5-Balance_Sheet!D5</f>
        <v>0</v>
      </c>
      <c r="F37" s="4">
        <f>Balance_Sheet!F5-Balance_Sheet!E5</f>
        <v>0</v>
      </c>
      <c r="G37" s="4">
        <f>Balance_Sheet!G5-Balance_Sheet!F5</f>
        <v>0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4">
        <f>Balance_Sheet!H7-Balance_Sheet!G7</f>
        <v>0</v>
      </c>
      <c r="I38" s="24">
        <f>Balance_Sheet!I7-Balance_Sheet!H7</f>
        <v>0</v>
      </c>
      <c r="J38" s="24">
        <f>Balance_Sheet!J7-Balance_Sheet!I7</f>
        <v>0</v>
      </c>
      <c r="K38" s="24">
        <f>Balance_Sheet!K7-Balance_Sheet!J7</f>
        <v>0</v>
      </c>
      <c r="L38" s="24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4">
        <f>Balance_Sheet!D15-Balance_Sheet!C15</f>
        <v>29.04</v>
      </c>
      <c r="E39" s="4">
        <f>Balance_Sheet!E15-Balance_Sheet!D15</f>
        <v>-0.80999999999999517</v>
      </c>
      <c r="F39" s="4">
        <f>Balance_Sheet!F15-Balance_Sheet!E15</f>
        <v>0.39999999999999858</v>
      </c>
      <c r="G39" s="4">
        <f>Balance_Sheet!G15-Balance_Sheet!F15</f>
        <v>-1.3500000000000014</v>
      </c>
      <c r="H39" s="24">
        <f>Balance_Sheet!H15-Balance_Sheet!G15</f>
        <v>23.179999999999993</v>
      </c>
      <c r="I39" s="24">
        <f>Balance_Sheet!I15-Balance_Sheet!H15</f>
        <v>16.64</v>
      </c>
      <c r="J39" s="24">
        <f>Balance_Sheet!J15-Balance_Sheet!I15</f>
        <v>21.120000000000005</v>
      </c>
      <c r="K39" s="24">
        <f>Balance_Sheet!K15-Balance_Sheet!J15</f>
        <v>28.970000000000013</v>
      </c>
      <c r="L39" s="24">
        <f>Balance_Sheet!L15-Balance_Sheet!K15</f>
        <v>43.72999999999999</v>
      </c>
    </row>
    <row r="40" spans="2:12" ht="18.75" x14ac:dyDescent="0.25">
      <c r="B40" s="8" t="str">
        <f>Balance_Sheet!B17</f>
        <v>Deferred Tax Liabilities [Net]</v>
      </c>
      <c r="C40" s="4"/>
      <c r="D40" s="4">
        <f>Balance_Sheet!D17-Balance_Sheet!C17</f>
        <v>1.5</v>
      </c>
      <c r="E40" s="4">
        <f>Balance_Sheet!E17-Balance_Sheet!D17</f>
        <v>0.81000000000000227</v>
      </c>
      <c r="F40" s="4">
        <f>Balance_Sheet!F17-Balance_Sheet!E17</f>
        <v>-14.490000000000002</v>
      </c>
      <c r="G40" s="4">
        <f>Balance_Sheet!G17-Balance_Sheet!F17</f>
        <v>-3.5199999999999996</v>
      </c>
      <c r="H40" s="24">
        <f>Balance_Sheet!H17-Balance_Sheet!G17</f>
        <v>69.465824005824643</v>
      </c>
      <c r="I40" s="24">
        <f>Balance_Sheet!I17-Balance_Sheet!H17</f>
        <v>22.982182312293418</v>
      </c>
      <c r="J40" s="24">
        <f>Balance_Sheet!J17-Balance_Sheet!I17</f>
        <v>29.180712186529547</v>
      </c>
      <c r="K40" s="24">
        <f>Balance_Sheet!K17-Balance_Sheet!J17</f>
        <v>40.020730396011061</v>
      </c>
      <c r="L40" s="24">
        <f>Balance_Sheet!L17-Balance_Sheet!K17</f>
        <v>60.423389643457227</v>
      </c>
    </row>
    <row r="41" spans="2:12" ht="18.75" x14ac:dyDescent="0.25">
      <c r="B41" s="8" t="str">
        <f>Balance_Sheet!B19</f>
        <v>Short Term Borrowings</v>
      </c>
      <c r="C41" s="4"/>
      <c r="D41" s="4">
        <f>Balance_Sheet!D19-Balance_Sheet!C19</f>
        <v>-183.09000000000003</v>
      </c>
      <c r="E41" s="4">
        <f>Balance_Sheet!E19-Balance_Sheet!D19</f>
        <v>-26.169999999999959</v>
      </c>
      <c r="F41" s="4">
        <f>Balance_Sheet!F19-Balance_Sheet!E19</f>
        <v>-114.68</v>
      </c>
      <c r="G41" s="4">
        <f>Balance_Sheet!G19-Balance_Sheet!F19</f>
        <v>143.47999999999996</v>
      </c>
      <c r="H41" s="24">
        <f>Balance_Sheet!H19-Balance_Sheet!G19</f>
        <v>298.01</v>
      </c>
      <c r="I41" s="24">
        <f>Balance_Sheet!I19-Balance_Sheet!H19</f>
        <v>213.83000000000015</v>
      </c>
      <c r="J41" s="24">
        <f>Balance_Sheet!J19-Balance_Sheet!I19</f>
        <v>271.51</v>
      </c>
      <c r="K41" s="24">
        <f>Balance_Sheet!K19-Balance_Sheet!J19</f>
        <v>372.3599999999999</v>
      </c>
      <c r="L41" s="24">
        <f>Balance_Sheet!L19-Balance_Sheet!K19</f>
        <v>562.18999999999983</v>
      </c>
    </row>
    <row r="42" spans="2:12" ht="18.75" x14ac:dyDescent="0.25">
      <c r="B42" s="8" t="str">
        <f>Balance_Sheet!B35:G35</f>
        <v>Minority Interest</v>
      </c>
      <c r="C42" s="4"/>
      <c r="D42" s="4">
        <f>Balance_Sheet!D35-Balance_Sheet!C35</f>
        <v>0</v>
      </c>
      <c r="E42" s="4">
        <f>Balance_Sheet!E35-Balance_Sheet!D35</f>
        <v>0</v>
      </c>
      <c r="F42" s="4">
        <f>Balance_Sheet!F35-Balance_Sheet!E35</f>
        <v>-1.84</v>
      </c>
      <c r="G42" s="4">
        <f>Balance_Sheet!G35-Balance_Sheet!F35</f>
        <v>1.84</v>
      </c>
      <c r="H42" s="24">
        <f>Balance_Sheet!H35-Balance_Sheet!G35</f>
        <v>0</v>
      </c>
      <c r="I42" s="24">
        <f>Balance_Sheet!I35-Balance_Sheet!H35</f>
        <v>0</v>
      </c>
      <c r="J42" s="24">
        <f>Balance_Sheet!J35-Balance_Sheet!I35</f>
        <v>0</v>
      </c>
      <c r="K42" s="24">
        <f>Balance_Sheet!K35-Balance_Sheet!J35</f>
        <v>0</v>
      </c>
      <c r="L42" s="24">
        <f>Balance_Sheet!L35-Balance_Sheet!K35</f>
        <v>0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4"/>
      <c r="I43" s="24"/>
      <c r="J43" s="24"/>
      <c r="K43" s="24"/>
      <c r="L43" s="24"/>
    </row>
    <row r="44" spans="2:12" ht="18.75" x14ac:dyDescent="0.25">
      <c r="B44" s="8" t="str">
        <f>Income_Statement!B51</f>
        <v>Equity Share Dividend</v>
      </c>
      <c r="C44" s="4"/>
      <c r="D44" s="4">
        <f>Income_Statement!D51</f>
        <v>2.4</v>
      </c>
      <c r="E44" s="4">
        <f>Income_Statement!E51</f>
        <v>2.4</v>
      </c>
      <c r="F44" s="4">
        <f>Income_Statement!F51</f>
        <v>2.4</v>
      </c>
      <c r="G44" s="4">
        <f>Income_Statement!G51</f>
        <v>0</v>
      </c>
      <c r="H44" s="24">
        <f>Income_Statement!H51</f>
        <v>0</v>
      </c>
      <c r="I44" s="24">
        <f>Income_Statement!I51</f>
        <v>0</v>
      </c>
      <c r="J44" s="24">
        <f>Income_Statement!J51</f>
        <v>0</v>
      </c>
      <c r="K44" s="24">
        <f>Income_Statement!K51</f>
        <v>0</v>
      </c>
      <c r="L44" s="24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0</v>
      </c>
      <c r="E45" s="4">
        <f>Income_Statement!E53</f>
        <v>0</v>
      </c>
      <c r="F45" s="4">
        <f>Income_Statement!F53</f>
        <v>0</v>
      </c>
      <c r="G45" s="4">
        <f>Income_Statement!G53</f>
        <v>0</v>
      </c>
      <c r="H45" s="24">
        <f>Income_Statement!H53</f>
        <v>0</v>
      </c>
      <c r="I45" s="24">
        <f>Income_Statement!I53</f>
        <v>0</v>
      </c>
      <c r="J45" s="24">
        <f>Income_Statement!J53</f>
        <v>0</v>
      </c>
      <c r="K45" s="24">
        <f>Income_Statement!K53</f>
        <v>0</v>
      </c>
      <c r="L45" s="24">
        <f>Income_Statement!L53</f>
        <v>0</v>
      </c>
    </row>
    <row r="46" spans="2:12" ht="18.75" x14ac:dyDescent="0.25">
      <c r="B46" s="8" t="s">
        <v>140</v>
      </c>
      <c r="C46" s="4"/>
      <c r="D46" s="4">
        <f>Income_Statement!D35</f>
        <v>26.39</v>
      </c>
      <c r="E46" s="4">
        <f>Income_Statement!E35</f>
        <v>19.66</v>
      </c>
      <c r="F46" s="4">
        <f>Income_Statement!F35</f>
        <v>3.57</v>
      </c>
      <c r="G46" s="4">
        <f>Income_Statement!G35</f>
        <v>5.27</v>
      </c>
      <c r="H46" s="24">
        <f>Income_Statement!H35</f>
        <v>7.7189734045497307</v>
      </c>
      <c r="I46" s="24">
        <f>Income_Statement!I35</f>
        <v>9.4761262246084019</v>
      </c>
      <c r="J46" s="24">
        <f>Income_Statement!J35</f>
        <v>11.707278601870813</v>
      </c>
      <c r="K46" s="24">
        <f>Income_Statement!K35</f>
        <v>14.767200974151768</v>
      </c>
      <c r="L46" s="24">
        <f>Income_Statement!L35</f>
        <v>19.387092350694637</v>
      </c>
    </row>
    <row r="47" spans="2:12" ht="18.75" x14ac:dyDescent="0.25">
      <c r="B47" s="9" t="s">
        <v>141</v>
      </c>
      <c r="C47" s="6"/>
      <c r="D47" s="6">
        <f>D37+D38+D39+D40+D41+D42-D44-D45-D46</f>
        <v>-181.34000000000003</v>
      </c>
      <c r="E47" s="6">
        <f t="shared" ref="E47:L47" si="3">E37+E38+E39+E40+E41+E42-E44-E45-E46</f>
        <v>-48.229999999999947</v>
      </c>
      <c r="F47" s="6">
        <f t="shared" si="3"/>
        <v>-136.58000000000001</v>
      </c>
      <c r="G47" s="6">
        <f t="shared" si="3"/>
        <v>135.17999999999995</v>
      </c>
      <c r="H47" s="26">
        <f t="shared" si="3"/>
        <v>382.9368506012749</v>
      </c>
      <c r="I47" s="26">
        <f t="shared" si="3"/>
        <v>243.97605608768518</v>
      </c>
      <c r="J47" s="26">
        <f t="shared" si="3"/>
        <v>310.10343358465872</v>
      </c>
      <c r="K47" s="26">
        <f t="shared" si="3"/>
        <v>426.58352942185923</v>
      </c>
      <c r="L47" s="26">
        <f t="shared" si="3"/>
        <v>646.95629729276243</v>
      </c>
    </row>
    <row r="48" spans="2:12" ht="18.75" x14ac:dyDescent="0.25">
      <c r="B48" s="9" t="s">
        <v>142</v>
      </c>
      <c r="C48" s="6"/>
      <c r="D48" s="7">
        <f>D27+D35+D47</f>
        <v>1247.6312492483912</v>
      </c>
      <c r="E48" s="7">
        <f t="shared" ref="E48:L48" si="4">E27+E35+E47</f>
        <v>1333.1787225428602</v>
      </c>
      <c r="F48" s="7">
        <f t="shared" si="4"/>
        <v>1468.3270154339548</v>
      </c>
      <c r="G48" s="7">
        <f t="shared" si="4"/>
        <v>-51.198238596666158</v>
      </c>
      <c r="H48" s="29">
        <f t="shared" si="4"/>
        <v>95.415699244183372</v>
      </c>
      <c r="I48" s="29">
        <f t="shared" si="4"/>
        <v>-28.607596632565986</v>
      </c>
      <c r="J48" s="29">
        <f t="shared" si="4"/>
        <v>-72.357204063158406</v>
      </c>
      <c r="K48" s="29">
        <f t="shared" si="4"/>
        <v>-173.50653911068093</v>
      </c>
      <c r="L48" s="29">
        <f t="shared" si="4"/>
        <v>-419.61190131600233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CD8A208F-193D-4E46-A7AF-FBB5669087CB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4F5EF-F2E0-4B81-9E80-8BC2F02CA594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1.5703125" bestFit="1" customWidth="1"/>
    <col min="4" max="5" width="12.28515625" bestFit="1" customWidth="1"/>
    <col min="6" max="7" width="12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4" t="s">
        <v>145</v>
      </c>
      <c r="C5" s="44"/>
      <c r="D5" s="44"/>
      <c r="E5" s="44"/>
      <c r="F5" s="44"/>
      <c r="G5" s="44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1390.4721075382265</v>
      </c>
      <c r="D6" s="13">
        <f>Income_Statement!D49</f>
        <v>1415.1112492483915</v>
      </c>
      <c r="E6" s="13">
        <f>Income_Statement!E49</f>
        <v>1380.2987225428601</v>
      </c>
      <c r="F6" s="13">
        <f>Income_Statement!F49</f>
        <v>1513.7870154339546</v>
      </c>
      <c r="G6" s="13">
        <f>Income_Statement!G49</f>
        <v>62.901761403333737</v>
      </c>
      <c r="I6" s="35"/>
      <c r="J6" s="36"/>
      <c r="K6" s="36"/>
      <c r="L6" s="37"/>
    </row>
    <row r="7" spans="2:15" ht="18.75" x14ac:dyDescent="0.25">
      <c r="B7" s="12" t="str">
        <f>Income_Statement!B61</f>
        <v>Total Shares Outstanding(cr)</v>
      </c>
      <c r="C7" s="13">
        <f>Income_Statement!C61</f>
        <v>20.44811922850333</v>
      </c>
      <c r="D7" s="13">
        <f>Income_Statement!D61</f>
        <v>19.654322906227659</v>
      </c>
      <c r="E7" s="13">
        <f>Income_Statement!E61</f>
        <v>34.507468063571501</v>
      </c>
      <c r="F7" s="13">
        <f>Income_Statement!F61</f>
        <v>37.844675385848866</v>
      </c>
      <c r="G7" s="13">
        <f>Income_Statement!G61</f>
        <v>1.0661315492090464</v>
      </c>
      <c r="I7" s="38"/>
      <c r="J7" s="39"/>
      <c r="K7" s="39"/>
      <c r="L7" s="40"/>
    </row>
    <row r="8" spans="2:15" ht="19.5" thickBot="1" x14ac:dyDescent="0.3">
      <c r="B8" s="14" t="s">
        <v>146</v>
      </c>
      <c r="C8" s="14">
        <f>ROUND(C6/C7, 2)</f>
        <v>68</v>
      </c>
      <c r="D8" s="14">
        <f t="shared" ref="D8:G8" si="0">ROUND(D6/D7, 2)</f>
        <v>72</v>
      </c>
      <c r="E8" s="14">
        <f t="shared" si="0"/>
        <v>40</v>
      </c>
      <c r="F8" s="14">
        <f t="shared" si="0"/>
        <v>40</v>
      </c>
      <c r="G8" s="14">
        <f t="shared" si="0"/>
        <v>59</v>
      </c>
      <c r="I8" s="41"/>
      <c r="J8" s="42"/>
      <c r="K8" s="42"/>
      <c r="L8" s="43"/>
    </row>
    <row r="9" spans="2:15" ht="15.75" thickTop="1" x14ac:dyDescent="0.25"/>
    <row r="10" spans="2:15" ht="19.5" thickBot="1" x14ac:dyDescent="0.3">
      <c r="B10" s="44" t="s">
        <v>147</v>
      </c>
      <c r="C10" s="44"/>
      <c r="D10" s="44"/>
      <c r="E10" s="44"/>
      <c r="F10" s="44"/>
      <c r="G10" s="44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2.4</v>
      </c>
      <c r="D11" s="13">
        <f>Income_Statement!D51</f>
        <v>2.4</v>
      </c>
      <c r="E11" s="13">
        <f>Income_Statement!E51</f>
        <v>2.4</v>
      </c>
      <c r="F11" s="13">
        <f>Income_Statement!F51</f>
        <v>2.4</v>
      </c>
      <c r="G11" s="13">
        <f>Income_Statement!G51</f>
        <v>0</v>
      </c>
      <c r="I11" s="35"/>
      <c r="J11" s="36"/>
      <c r="K11" s="36"/>
      <c r="L11" s="37"/>
    </row>
    <row r="12" spans="2:15" ht="18.75" x14ac:dyDescent="0.25">
      <c r="B12" s="12" t="str">
        <f>Income_Statement!B61</f>
        <v>Total Shares Outstanding(cr)</v>
      </c>
      <c r="C12" s="13">
        <f>Income_Statement!C61</f>
        <v>20.44811922850333</v>
      </c>
      <c r="D12" s="13">
        <f>Income_Statement!D61</f>
        <v>19.654322906227659</v>
      </c>
      <c r="E12" s="13">
        <f>Income_Statement!E61</f>
        <v>34.507468063571501</v>
      </c>
      <c r="F12" s="13">
        <f>Income_Statement!F61</f>
        <v>37.844675385848866</v>
      </c>
      <c r="G12" s="13">
        <f>Income_Statement!G61</f>
        <v>1.0661315492090464</v>
      </c>
      <c r="I12" s="38"/>
      <c r="J12" s="39"/>
      <c r="K12" s="39"/>
      <c r="L12" s="40"/>
    </row>
    <row r="13" spans="2:15" ht="19.5" thickBot="1" x14ac:dyDescent="0.3">
      <c r="B13" s="14" t="s">
        <v>148</v>
      </c>
      <c r="C13" s="14">
        <f>ROUND(C11/C12, 2)</f>
        <v>0.12</v>
      </c>
      <c r="D13" s="14">
        <f t="shared" ref="D13:G13" si="1">ROUND(D11/D12, 2)</f>
        <v>0.12</v>
      </c>
      <c r="E13" s="14">
        <f t="shared" si="1"/>
        <v>7.0000000000000007E-2</v>
      </c>
      <c r="F13" s="14">
        <f t="shared" si="1"/>
        <v>0.06</v>
      </c>
      <c r="G13" s="14">
        <f t="shared" si="1"/>
        <v>0</v>
      </c>
      <c r="I13" s="41"/>
      <c r="J13" s="42"/>
      <c r="K13" s="42"/>
      <c r="L13" s="43"/>
    </row>
    <row r="14" spans="2:15" ht="15.75" thickTop="1" x14ac:dyDescent="0.25"/>
    <row r="15" spans="2:15" ht="19.5" thickBot="1" x14ac:dyDescent="0.3">
      <c r="B15" s="44" t="s">
        <v>149</v>
      </c>
      <c r="C15" s="44"/>
      <c r="D15" s="44"/>
      <c r="E15" s="44"/>
      <c r="F15" s="44"/>
      <c r="G15" s="44"/>
    </row>
    <row r="16" spans="2:15" ht="19.5" thickTop="1" x14ac:dyDescent="0.25">
      <c r="B16" s="12" t="str">
        <f>Balance_Sheet!B13</f>
        <v>Net Worth</v>
      </c>
      <c r="C16" s="13">
        <f>Balance_Sheet!C13</f>
        <v>983.81999999999994</v>
      </c>
      <c r="D16" s="13">
        <f>Balance_Sheet!D13</f>
        <v>2396.5312492483918</v>
      </c>
      <c r="E16" s="13">
        <f>Balance_Sheet!E13</f>
        <v>3774.4299717912518</v>
      </c>
      <c r="F16" s="13">
        <f>Balance_Sheet!F13</f>
        <v>5285.8169872252065</v>
      </c>
      <c r="G16" s="13">
        <f>Balance_Sheet!G13</f>
        <v>5348.7187486285402</v>
      </c>
      <c r="I16" s="35"/>
      <c r="J16" s="36"/>
      <c r="K16" s="36"/>
      <c r="L16" s="37"/>
    </row>
    <row r="17" spans="2:12" ht="18.75" x14ac:dyDescent="0.25">
      <c r="B17" s="12" t="str">
        <f>Income_Statement!B61</f>
        <v>Total Shares Outstanding(cr)</v>
      </c>
      <c r="C17" s="13">
        <f>Income_Statement!C61</f>
        <v>20.44811922850333</v>
      </c>
      <c r="D17" s="13">
        <f>Income_Statement!D61</f>
        <v>19.654322906227659</v>
      </c>
      <c r="E17" s="13">
        <f>Income_Statement!E61</f>
        <v>34.507468063571501</v>
      </c>
      <c r="F17" s="13">
        <f>Income_Statement!F61</f>
        <v>37.844675385848866</v>
      </c>
      <c r="G17" s="13">
        <f>Income_Statement!G61</f>
        <v>1.0661315492090464</v>
      </c>
      <c r="I17" s="38"/>
      <c r="J17" s="39"/>
      <c r="K17" s="39"/>
      <c r="L17" s="40"/>
    </row>
    <row r="18" spans="2:12" ht="19.5" thickBot="1" x14ac:dyDescent="0.3">
      <c r="B18" s="14" t="s">
        <v>150</v>
      </c>
      <c r="C18" s="14">
        <f>ROUND(C16/C17, 2)</f>
        <v>48.11</v>
      </c>
      <c r="D18" s="14">
        <f t="shared" ref="D18:G18" si="2">ROUND(D16/D17, 2)</f>
        <v>121.93</v>
      </c>
      <c r="E18" s="14">
        <f t="shared" si="2"/>
        <v>109.38</v>
      </c>
      <c r="F18" s="14">
        <f t="shared" si="2"/>
        <v>139.66999999999999</v>
      </c>
      <c r="G18" s="14">
        <f t="shared" si="2"/>
        <v>5016.9399999999996</v>
      </c>
      <c r="I18" s="41"/>
      <c r="J18" s="42"/>
      <c r="K18" s="42"/>
      <c r="L18" s="43"/>
    </row>
    <row r="19" spans="2:12" ht="15.75" thickTop="1" x14ac:dyDescent="0.25"/>
    <row r="20" spans="2:12" ht="18.75" x14ac:dyDescent="0.25">
      <c r="B20" s="44" t="s">
        <v>151</v>
      </c>
      <c r="C20" s="44"/>
      <c r="D20" s="44"/>
      <c r="E20" s="44"/>
      <c r="F20" s="44"/>
      <c r="G20" s="44"/>
    </row>
    <row r="21" spans="2:12" ht="18.75" x14ac:dyDescent="0.25">
      <c r="B21" s="12" t="str">
        <f>Income_Statement!B51</f>
        <v>Equity Share Dividend</v>
      </c>
      <c r="C21" s="13">
        <f>Income_Statement!C51</f>
        <v>2.4</v>
      </c>
      <c r="D21" s="13">
        <f>Income_Statement!D51</f>
        <v>2.4</v>
      </c>
      <c r="E21" s="13">
        <f>Income_Statement!E51</f>
        <v>2.4</v>
      </c>
      <c r="F21" s="13">
        <f>Income_Statement!F51</f>
        <v>2.4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20.44811922850333</v>
      </c>
      <c r="D22" s="13">
        <f>Income_Statement!D61</f>
        <v>19.654322906227659</v>
      </c>
      <c r="E22" s="13">
        <f>Income_Statement!E61</f>
        <v>34.507468063571501</v>
      </c>
      <c r="F22" s="13">
        <f>Income_Statement!F61</f>
        <v>37.844675385848866</v>
      </c>
      <c r="G22" s="13">
        <f>Income_Statement!G61</f>
        <v>1.0661315492090464</v>
      </c>
    </row>
    <row r="23" spans="2:12" ht="18.75" x14ac:dyDescent="0.25">
      <c r="B23" s="12" t="s">
        <v>148</v>
      </c>
      <c r="C23" s="13">
        <f>ROUND(C21/C22, 2)</f>
        <v>0.12</v>
      </c>
      <c r="D23" s="13">
        <f t="shared" ref="D23:G23" si="3">ROUND(D21/D22, 2)</f>
        <v>0.12</v>
      </c>
      <c r="E23" s="13">
        <f t="shared" si="3"/>
        <v>7.0000000000000007E-2</v>
      </c>
      <c r="F23" s="13">
        <f t="shared" si="3"/>
        <v>0.06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1390.4721075382265</v>
      </c>
      <c r="D24" s="13">
        <f>Income_Statement!D49</f>
        <v>1415.1112492483915</v>
      </c>
      <c r="E24" s="13">
        <f>Income_Statement!E49</f>
        <v>1380.2987225428601</v>
      </c>
      <c r="F24" s="13">
        <f>Income_Statement!F49</f>
        <v>1513.7870154339546</v>
      </c>
      <c r="G24" s="13">
        <f>Income_Statement!G49</f>
        <v>62.901761403333737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20.44811922850333</v>
      </c>
      <c r="D25" s="13">
        <f>Income_Statement!D61</f>
        <v>19.654322906227659</v>
      </c>
      <c r="E25" s="13">
        <f>Income_Statement!E61</f>
        <v>34.507468063571501</v>
      </c>
      <c r="F25" s="13">
        <f>Income_Statement!F61</f>
        <v>37.844675385848866</v>
      </c>
      <c r="G25" s="13">
        <f>Income_Statement!G61</f>
        <v>1.0661315492090464</v>
      </c>
      <c r="I25" s="35"/>
      <c r="J25" s="36"/>
      <c r="K25" s="36"/>
      <c r="L25" s="37"/>
    </row>
    <row r="26" spans="2:12" ht="18.75" x14ac:dyDescent="0.25">
      <c r="B26" s="12" t="s">
        <v>146</v>
      </c>
      <c r="C26" s="13">
        <f>C24/C25</f>
        <v>68</v>
      </c>
      <c r="D26" s="13">
        <f t="shared" ref="D26:G26" si="4">D24/D25</f>
        <v>72</v>
      </c>
      <c r="E26" s="13">
        <f t="shared" si="4"/>
        <v>40</v>
      </c>
      <c r="F26" s="13">
        <f t="shared" si="4"/>
        <v>40</v>
      </c>
      <c r="G26" s="13">
        <f t="shared" si="4"/>
        <v>59</v>
      </c>
      <c r="I26" s="38"/>
      <c r="J26" s="39"/>
      <c r="K26" s="39"/>
      <c r="L26" s="40"/>
    </row>
    <row r="27" spans="2:12" ht="19.5" thickBot="1" x14ac:dyDescent="0.3">
      <c r="B27" s="14" t="s">
        <v>152</v>
      </c>
      <c r="C27" s="14">
        <f>ROUND(C23/C26, 2)</f>
        <v>0</v>
      </c>
      <c r="D27" s="14">
        <f t="shared" ref="D27:G27" si="5">ROUND(D23/D26, 2)</f>
        <v>0</v>
      </c>
      <c r="E27" s="14">
        <f t="shared" si="5"/>
        <v>0</v>
      </c>
      <c r="F27" s="14">
        <f t="shared" si="5"/>
        <v>0</v>
      </c>
      <c r="G27" s="14">
        <f t="shared" si="5"/>
        <v>0</v>
      </c>
      <c r="I27" s="41"/>
      <c r="J27" s="42"/>
      <c r="K27" s="42"/>
      <c r="L27" s="43"/>
    </row>
    <row r="28" spans="2:12" ht="15.75" thickTop="1" x14ac:dyDescent="0.25"/>
    <row r="29" spans="2:12" ht="18.75" x14ac:dyDescent="0.25">
      <c r="B29" s="44" t="s">
        <v>153</v>
      </c>
      <c r="C29" s="44"/>
      <c r="D29" s="44"/>
      <c r="E29" s="44"/>
      <c r="F29" s="44"/>
      <c r="G29" s="44"/>
    </row>
    <row r="30" spans="2:12" ht="19.5" thickBot="1" x14ac:dyDescent="0.3">
      <c r="B30" s="12" t="str">
        <f>Income_Statement!B51</f>
        <v>Equity Share Dividend</v>
      </c>
      <c r="C30" s="13">
        <f>Income_Statement!C51</f>
        <v>2.4</v>
      </c>
      <c r="D30" s="13">
        <f>Income_Statement!D51</f>
        <v>2.4</v>
      </c>
      <c r="E30" s="13">
        <f>Income_Statement!E51</f>
        <v>2.4</v>
      </c>
      <c r="F30" s="13">
        <f>Income_Statement!F51</f>
        <v>2.4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20.44811922850333</v>
      </c>
      <c r="D31" s="13">
        <f>Income_Statement!D61</f>
        <v>19.654322906227659</v>
      </c>
      <c r="E31" s="13">
        <f>Income_Statement!E61</f>
        <v>34.507468063571501</v>
      </c>
      <c r="F31" s="13">
        <f>Income_Statement!F61</f>
        <v>37.844675385848866</v>
      </c>
      <c r="G31" s="13">
        <f>Income_Statement!G61</f>
        <v>1.0661315492090464</v>
      </c>
      <c r="I31" s="35"/>
      <c r="J31" s="36"/>
      <c r="K31" s="36"/>
      <c r="L31" s="37"/>
    </row>
    <row r="32" spans="2:12" ht="18.75" x14ac:dyDescent="0.25">
      <c r="B32" s="12" t="s">
        <v>154</v>
      </c>
      <c r="C32" s="13">
        <f>ROUND(C30/C31, 2)</f>
        <v>0.12</v>
      </c>
      <c r="D32" s="13">
        <f t="shared" ref="D32:G32" si="6">ROUND(D30/D31, 2)</f>
        <v>0.12</v>
      </c>
      <c r="E32" s="13">
        <f t="shared" si="6"/>
        <v>7.0000000000000007E-2</v>
      </c>
      <c r="F32" s="13">
        <f t="shared" si="6"/>
        <v>0.06</v>
      </c>
      <c r="G32" s="13">
        <f t="shared" si="6"/>
        <v>0</v>
      </c>
      <c r="I32" s="38"/>
      <c r="J32" s="39"/>
      <c r="K32" s="39"/>
      <c r="L32" s="40"/>
    </row>
    <row r="33" spans="2:12" ht="19.5" thickBot="1" x14ac:dyDescent="0.3">
      <c r="B33" s="14" t="s">
        <v>155</v>
      </c>
      <c r="C33" s="15">
        <f>1-C32</f>
        <v>0.88</v>
      </c>
      <c r="D33" s="15">
        <f t="shared" ref="D33:G33" si="7">1-D32</f>
        <v>0.88</v>
      </c>
      <c r="E33" s="15">
        <f t="shared" si="7"/>
        <v>0.92999999999999994</v>
      </c>
      <c r="F33" s="15">
        <f t="shared" si="7"/>
        <v>0.94</v>
      </c>
      <c r="G33" s="15">
        <f t="shared" si="7"/>
        <v>1</v>
      </c>
      <c r="I33" s="41"/>
      <c r="J33" s="42"/>
      <c r="K33" s="42"/>
      <c r="L33" s="43"/>
    </row>
    <row r="34" spans="2:12" ht="15.75" thickTop="1" x14ac:dyDescent="0.25"/>
    <row r="35" spans="2:12" ht="19.5" thickBot="1" x14ac:dyDescent="0.3">
      <c r="B35" s="44" t="s">
        <v>156</v>
      </c>
      <c r="C35" s="44"/>
      <c r="D35" s="44"/>
      <c r="E35" s="44"/>
      <c r="F35" s="44"/>
      <c r="G35" s="44"/>
    </row>
    <row r="36" spans="2:12" ht="19.5" thickTop="1" x14ac:dyDescent="0.25">
      <c r="B36" s="12" t="str">
        <f>Income_Statement!B5</f>
        <v>Gross Sales</v>
      </c>
      <c r="C36" s="13">
        <f>Income_Statement!C5</f>
        <v>3905.03</v>
      </c>
      <c r="D36" s="13">
        <f>Income_Statement!D5</f>
        <v>3642.19</v>
      </c>
      <c r="E36" s="13">
        <f>Income_Statement!E5</f>
        <v>3052.94</v>
      </c>
      <c r="F36" s="13">
        <f>Income_Statement!F5</f>
        <v>2544.39</v>
      </c>
      <c r="G36" s="13">
        <f>Income_Statement!G5</f>
        <v>4422.6099999999997</v>
      </c>
      <c r="I36" s="35"/>
      <c r="J36" s="36"/>
      <c r="K36" s="36"/>
      <c r="L36" s="37"/>
    </row>
    <row r="37" spans="2:12" ht="18.75" x14ac:dyDescent="0.25">
      <c r="B37" s="12" t="str">
        <f>Income_Statement!B17</f>
        <v>Cost Of Materials Consumed</v>
      </c>
      <c r="C37" s="13">
        <f>Income_Statement!C17</f>
        <v>2073.46</v>
      </c>
      <c r="D37" s="13">
        <f>Income_Statement!D17</f>
        <v>1780.46</v>
      </c>
      <c r="E37" s="13">
        <f>Income_Statement!E17</f>
        <v>1207.0999999999999</v>
      </c>
      <c r="F37" s="13">
        <f>Income_Statement!F17</f>
        <v>741.5</v>
      </c>
      <c r="G37" s="13">
        <f>Income_Statement!G17</f>
        <v>3844.36</v>
      </c>
      <c r="I37" s="38"/>
      <c r="J37" s="39"/>
      <c r="K37" s="39"/>
      <c r="L37" s="40"/>
    </row>
    <row r="38" spans="2:12" ht="19.5" thickBot="1" x14ac:dyDescent="0.3">
      <c r="B38" s="14" t="s">
        <v>157</v>
      </c>
      <c r="C38" s="16">
        <f>ROUND(C36- C37, 2)</f>
        <v>1831.57</v>
      </c>
      <c r="D38" s="16">
        <f t="shared" ref="D38:G38" si="8">ROUND(D36- D37, 2)</f>
        <v>1861.73</v>
      </c>
      <c r="E38" s="16">
        <f t="shared" si="8"/>
        <v>1845.84</v>
      </c>
      <c r="F38" s="16">
        <f t="shared" si="8"/>
        <v>1802.89</v>
      </c>
      <c r="G38" s="16">
        <f t="shared" si="8"/>
        <v>578.25</v>
      </c>
      <c r="I38" s="41"/>
      <c r="J38" s="42"/>
      <c r="K38" s="42"/>
      <c r="L38" s="43"/>
    </row>
    <row r="39" spans="2:12" ht="15.75" thickTop="1" x14ac:dyDescent="0.25"/>
    <row r="40" spans="2:12" ht="19.5" thickBot="1" x14ac:dyDescent="0.3">
      <c r="B40" s="44" t="s">
        <v>158</v>
      </c>
      <c r="C40" s="44"/>
      <c r="D40" s="44"/>
      <c r="E40" s="44"/>
      <c r="F40" s="44"/>
      <c r="G40" s="44"/>
    </row>
    <row r="41" spans="2:12" ht="19.5" thickTop="1" x14ac:dyDescent="0.25">
      <c r="B41" s="12" t="str">
        <f>Income_Statement!B5</f>
        <v>Gross Sales</v>
      </c>
      <c r="C41" s="13">
        <f>Income_Statement!C5</f>
        <v>3905.03</v>
      </c>
      <c r="D41" s="13">
        <f>Income_Statement!D5</f>
        <v>3642.19</v>
      </c>
      <c r="E41" s="13">
        <f>Income_Statement!E5</f>
        <v>3052.94</v>
      </c>
      <c r="F41" s="13">
        <f>Income_Statement!F5</f>
        <v>2544.39</v>
      </c>
      <c r="G41" s="13">
        <f>Income_Statement!G5</f>
        <v>4422.6099999999997</v>
      </c>
      <c r="I41" s="35"/>
      <c r="J41" s="36"/>
      <c r="K41" s="36"/>
      <c r="L41" s="37"/>
    </row>
    <row r="42" spans="2:12" ht="18.75" x14ac:dyDescent="0.25">
      <c r="B42" s="12" t="str">
        <f>Income_Statement!B25</f>
        <v>Total Expenditure</v>
      </c>
      <c r="C42" s="13">
        <f>Income_Statement!C25</f>
        <v>2453.34</v>
      </c>
      <c r="D42" s="13">
        <f>Income_Statement!D25</f>
        <v>2164.4900000000002</v>
      </c>
      <c r="E42" s="13">
        <f>Income_Statement!E25</f>
        <v>1619.52</v>
      </c>
      <c r="F42" s="13">
        <f>Income_Statement!F25</f>
        <v>1032.07</v>
      </c>
      <c r="G42" s="13">
        <f>Income_Statement!G25</f>
        <v>4324.79</v>
      </c>
      <c r="I42" s="38"/>
      <c r="J42" s="39"/>
      <c r="K42" s="39"/>
      <c r="L42" s="40"/>
    </row>
    <row r="43" spans="2:12" ht="19.5" thickBot="1" x14ac:dyDescent="0.3">
      <c r="B43" s="14" t="s">
        <v>159</v>
      </c>
      <c r="C43" s="16">
        <f>ROUND(C41- C42, 2)</f>
        <v>1451.69</v>
      </c>
      <c r="D43" s="16">
        <f t="shared" ref="D43:G43" si="9">ROUND(D41- D42, 2)</f>
        <v>1477.7</v>
      </c>
      <c r="E43" s="16">
        <f t="shared" si="9"/>
        <v>1433.42</v>
      </c>
      <c r="F43" s="16">
        <f t="shared" si="9"/>
        <v>1512.32</v>
      </c>
      <c r="G43" s="16">
        <f t="shared" si="9"/>
        <v>97.82</v>
      </c>
      <c r="I43" s="41"/>
      <c r="J43" s="42"/>
      <c r="K43" s="42"/>
      <c r="L43" s="43"/>
    </row>
    <row r="44" spans="2:12" ht="15.75" thickTop="1" x14ac:dyDescent="0.25"/>
    <row r="45" spans="2:12" ht="19.5" thickBot="1" x14ac:dyDescent="0.3">
      <c r="B45" s="44" t="s">
        <v>160</v>
      </c>
      <c r="C45" s="44"/>
      <c r="D45" s="44"/>
      <c r="E45" s="44"/>
      <c r="F45" s="44"/>
      <c r="G45" s="44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1390.4721075382265</v>
      </c>
      <c r="D46" s="13">
        <f>Income_Statement!D49</f>
        <v>1415.1112492483915</v>
      </c>
      <c r="E46" s="13">
        <f>Income_Statement!E49</f>
        <v>1380.2987225428601</v>
      </c>
      <c r="F46" s="13">
        <f>Income_Statement!F49</f>
        <v>1513.7870154339546</v>
      </c>
      <c r="G46" s="13">
        <f>Income_Statement!G49</f>
        <v>62.901761403333737</v>
      </c>
      <c r="I46" s="35"/>
      <c r="J46" s="36"/>
      <c r="K46" s="36"/>
      <c r="L46" s="37"/>
    </row>
    <row r="47" spans="2:12" ht="18.75" x14ac:dyDescent="0.25">
      <c r="B47" s="12" t="str">
        <f>Balance_Sheet!B74</f>
        <v>Total Assets</v>
      </c>
      <c r="C47" s="13">
        <f>Balance_Sheet!C74</f>
        <v>2316.89</v>
      </c>
      <c r="D47" s="13">
        <f>Balance_Sheet!D74</f>
        <v>3381.9512492483909</v>
      </c>
      <c r="E47" s="13">
        <f>Balance_Sheet!E74</f>
        <v>4645.3299717912514</v>
      </c>
      <c r="F47" s="13">
        <f>Balance_Sheet!F74</f>
        <v>6120.206987225205</v>
      </c>
      <c r="G47" s="13">
        <f>Balance_Sheet!G74</f>
        <v>6468.3587486285396</v>
      </c>
      <c r="I47" s="38"/>
      <c r="J47" s="39"/>
      <c r="K47" s="39"/>
      <c r="L47" s="40"/>
    </row>
    <row r="48" spans="2:12" ht="19.5" thickBot="1" x14ac:dyDescent="0.3">
      <c r="B48" s="14" t="s">
        <v>161</v>
      </c>
      <c r="C48" s="15">
        <f>ROUND(C46/ C47, 2)</f>
        <v>0.6</v>
      </c>
      <c r="D48" s="15">
        <f t="shared" ref="D48:G48" si="10">ROUND(D46/ D47, 2)</f>
        <v>0.42</v>
      </c>
      <c r="E48" s="15">
        <f t="shared" si="10"/>
        <v>0.3</v>
      </c>
      <c r="F48" s="15">
        <f t="shared" si="10"/>
        <v>0.25</v>
      </c>
      <c r="G48" s="15">
        <f t="shared" si="10"/>
        <v>0.01</v>
      </c>
      <c r="I48" s="41"/>
      <c r="J48" s="42"/>
      <c r="K48" s="42"/>
      <c r="L48" s="43"/>
    </row>
    <row r="49" spans="2:12" ht="15.75" thickTop="1" x14ac:dyDescent="0.25"/>
    <row r="50" spans="2:12" ht="18.75" x14ac:dyDescent="0.25">
      <c r="B50" s="44" t="s">
        <v>162</v>
      </c>
      <c r="C50" s="44"/>
      <c r="D50" s="44"/>
      <c r="E50" s="44"/>
      <c r="F50" s="44"/>
      <c r="G50" s="44"/>
    </row>
    <row r="51" spans="2:12" ht="19.5" thickBot="1" x14ac:dyDescent="0.3">
      <c r="B51" s="12" t="str">
        <f>Income_Statement!B33</f>
        <v>PBIT</v>
      </c>
      <c r="C51" s="13">
        <f>Income_Statement!C33</f>
        <v>1443.5221075382265</v>
      </c>
      <c r="D51" s="13">
        <f>Income_Statement!D33</f>
        <v>1466.0412492483915</v>
      </c>
      <c r="E51" s="13">
        <f>Income_Statement!E33</f>
        <v>1414.5487225428603</v>
      </c>
      <c r="F51" s="13">
        <f>Income_Statement!F33</f>
        <v>1516.3270154339546</v>
      </c>
      <c r="G51" s="13">
        <f>Income_Statement!G33</f>
        <v>92.561761403333733</v>
      </c>
    </row>
    <row r="52" spans="2:12" ht="19.5" thickTop="1" x14ac:dyDescent="0.25">
      <c r="B52" s="12" t="str">
        <f>Balance_Sheet!B21</f>
        <v>Total Debt</v>
      </c>
      <c r="C52" s="13">
        <f>Balance_Sheet!C21</f>
        <v>891.56</v>
      </c>
      <c r="D52" s="13">
        <f>Balance_Sheet!D21</f>
        <v>739.01</v>
      </c>
      <c r="E52" s="13">
        <f>Balance_Sheet!E21</f>
        <v>712.84</v>
      </c>
      <c r="F52" s="13">
        <f>Balance_Sheet!F21</f>
        <v>584.06999999999994</v>
      </c>
      <c r="G52" s="13">
        <f>Balance_Sheet!G21</f>
        <v>722.68</v>
      </c>
      <c r="I52" s="35"/>
      <c r="J52" s="36"/>
      <c r="K52" s="36"/>
      <c r="L52" s="37"/>
    </row>
    <row r="53" spans="2:12" ht="18.75" x14ac:dyDescent="0.25">
      <c r="B53" s="12" t="str">
        <f>Balance_Sheet!B13</f>
        <v>Net Worth</v>
      </c>
      <c r="C53" s="13">
        <f>Balance_Sheet!C13</f>
        <v>983.81999999999994</v>
      </c>
      <c r="D53" s="13">
        <f>Balance_Sheet!D13</f>
        <v>2396.5312492483918</v>
      </c>
      <c r="E53" s="13">
        <f>Balance_Sheet!E13</f>
        <v>3774.4299717912518</v>
      </c>
      <c r="F53" s="13">
        <f>Balance_Sheet!F13</f>
        <v>5285.8169872252065</v>
      </c>
      <c r="G53" s="13">
        <f>Balance_Sheet!G13</f>
        <v>5348.7187486285402</v>
      </c>
      <c r="I53" s="38"/>
      <c r="J53" s="39"/>
      <c r="K53" s="39"/>
      <c r="L53" s="40"/>
    </row>
    <row r="54" spans="2:12" ht="19.5" thickBot="1" x14ac:dyDescent="0.3">
      <c r="B54" s="14" t="s">
        <v>163</v>
      </c>
      <c r="C54" s="15">
        <f>ROUND(C51/ (C52+ C52), 2)</f>
        <v>0.81</v>
      </c>
      <c r="D54" s="15">
        <f t="shared" ref="D54:G54" si="11">ROUND(D51/ (D52+ D52), 2)</f>
        <v>0.99</v>
      </c>
      <c r="E54" s="15">
        <f t="shared" si="11"/>
        <v>0.99</v>
      </c>
      <c r="F54" s="15">
        <f t="shared" si="11"/>
        <v>1.3</v>
      </c>
      <c r="G54" s="15">
        <f t="shared" si="11"/>
        <v>0.06</v>
      </c>
      <c r="I54" s="41"/>
      <c r="J54" s="42"/>
      <c r="K54" s="42"/>
      <c r="L54" s="43"/>
    </row>
    <row r="55" spans="2:12" ht="15.75" thickTop="1" x14ac:dyDescent="0.25"/>
    <row r="56" spans="2:12" ht="19.5" thickBot="1" x14ac:dyDescent="0.3">
      <c r="B56" s="44" t="s">
        <v>164</v>
      </c>
      <c r="C56" s="44"/>
      <c r="D56" s="44"/>
      <c r="E56" s="44"/>
      <c r="F56" s="44"/>
      <c r="G56" s="44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1390.4721075382265</v>
      </c>
      <c r="D57" s="13">
        <f>Income_Statement!D49</f>
        <v>1415.1112492483915</v>
      </c>
      <c r="E57" s="13">
        <f>Income_Statement!E49</f>
        <v>1380.2987225428601</v>
      </c>
      <c r="F57" s="13">
        <f>Income_Statement!F49</f>
        <v>1513.7870154339546</v>
      </c>
      <c r="G57" s="13">
        <f>Income_Statement!G49</f>
        <v>62.901761403333737</v>
      </c>
      <c r="I57" s="35"/>
      <c r="J57" s="36"/>
      <c r="K57" s="36"/>
      <c r="L57" s="37"/>
    </row>
    <row r="58" spans="2:12" ht="18.75" x14ac:dyDescent="0.25">
      <c r="B58" s="12" t="str">
        <f>Balance_Sheet!B13</f>
        <v>Net Worth</v>
      </c>
      <c r="C58" s="13">
        <f>Balance_Sheet!C13</f>
        <v>983.81999999999994</v>
      </c>
      <c r="D58" s="13">
        <f>Balance_Sheet!D13</f>
        <v>2396.5312492483918</v>
      </c>
      <c r="E58" s="13">
        <f>Balance_Sheet!E13</f>
        <v>3774.4299717912518</v>
      </c>
      <c r="F58" s="13">
        <f>Balance_Sheet!F13</f>
        <v>5285.8169872252065</v>
      </c>
      <c r="G58" s="13">
        <f>Balance_Sheet!G13</f>
        <v>5348.7187486285402</v>
      </c>
      <c r="I58" s="38"/>
      <c r="J58" s="39"/>
      <c r="K58" s="39"/>
      <c r="L58" s="40"/>
    </row>
    <row r="59" spans="2:12" ht="19.5" thickBot="1" x14ac:dyDescent="0.3">
      <c r="B59" s="14" t="s">
        <v>165</v>
      </c>
      <c r="C59" s="15">
        <f>ROUND(C57/ (C58+ C58), 2)</f>
        <v>0.71</v>
      </c>
      <c r="D59" s="15">
        <f t="shared" ref="D59:G59" si="12">ROUND(D57/ (D58+ D58), 2)</f>
        <v>0.3</v>
      </c>
      <c r="E59" s="15">
        <f t="shared" si="12"/>
        <v>0.18</v>
      </c>
      <c r="F59" s="15">
        <f t="shared" si="12"/>
        <v>0.14000000000000001</v>
      </c>
      <c r="G59" s="15">
        <f t="shared" si="12"/>
        <v>0.01</v>
      </c>
      <c r="I59" s="41"/>
      <c r="J59" s="42"/>
      <c r="K59" s="42"/>
      <c r="L59" s="43"/>
    </row>
    <row r="60" spans="2:12" ht="15.75" thickTop="1" x14ac:dyDescent="0.25"/>
    <row r="61" spans="2:12" ht="19.5" thickBot="1" x14ac:dyDescent="0.3">
      <c r="B61" s="44" t="s">
        <v>166</v>
      </c>
      <c r="C61" s="44"/>
      <c r="D61" s="44"/>
      <c r="E61" s="44"/>
      <c r="F61" s="44"/>
      <c r="G61" s="44"/>
    </row>
    <row r="62" spans="2:12" ht="19.5" thickTop="1" x14ac:dyDescent="0.25">
      <c r="B62" s="12" t="str">
        <f>Balance_Sheet!B21</f>
        <v>Total Debt</v>
      </c>
      <c r="C62" s="13">
        <f>Balance_Sheet!C21</f>
        <v>891.56</v>
      </c>
      <c r="D62" s="13">
        <f>Balance_Sheet!D21</f>
        <v>739.01</v>
      </c>
      <c r="E62" s="13">
        <f>Balance_Sheet!E21</f>
        <v>712.84</v>
      </c>
      <c r="F62" s="13">
        <f>Balance_Sheet!F21</f>
        <v>584.06999999999994</v>
      </c>
      <c r="G62" s="13">
        <f>Balance_Sheet!G21</f>
        <v>722.68</v>
      </c>
      <c r="I62" s="35"/>
      <c r="J62" s="36"/>
      <c r="K62" s="36"/>
      <c r="L62" s="37"/>
    </row>
    <row r="63" spans="2:12" ht="18.75" x14ac:dyDescent="0.25">
      <c r="B63" s="12" t="str">
        <f>Balance_Sheet!B13</f>
        <v>Net Worth</v>
      </c>
      <c r="C63" s="13">
        <f>Balance_Sheet!C13</f>
        <v>983.81999999999994</v>
      </c>
      <c r="D63" s="13">
        <f>Balance_Sheet!D13</f>
        <v>2396.5312492483918</v>
      </c>
      <c r="E63" s="13">
        <f>Balance_Sheet!E13</f>
        <v>3774.4299717912518</v>
      </c>
      <c r="F63" s="13">
        <f>Balance_Sheet!F13</f>
        <v>5285.8169872252065</v>
      </c>
      <c r="G63" s="13">
        <f>Balance_Sheet!G13</f>
        <v>5348.7187486285402</v>
      </c>
      <c r="I63" s="38"/>
      <c r="J63" s="39"/>
      <c r="K63" s="39"/>
      <c r="L63" s="40"/>
    </row>
    <row r="64" spans="2:12" ht="19.5" thickBot="1" x14ac:dyDescent="0.3">
      <c r="B64" s="14" t="s">
        <v>167</v>
      </c>
      <c r="C64" s="14">
        <f>ROUND(C62/ C63, 2)</f>
        <v>0.91</v>
      </c>
      <c r="D64" s="14">
        <f t="shared" ref="D64:G64" si="13">ROUND(D62/ D63, 2)</f>
        <v>0.31</v>
      </c>
      <c r="E64" s="14">
        <f t="shared" si="13"/>
        <v>0.19</v>
      </c>
      <c r="F64" s="14">
        <f t="shared" si="13"/>
        <v>0.11</v>
      </c>
      <c r="G64" s="14">
        <f t="shared" si="13"/>
        <v>0.14000000000000001</v>
      </c>
      <c r="I64" s="41"/>
      <c r="J64" s="42"/>
      <c r="K64" s="42"/>
      <c r="L64" s="43"/>
    </row>
    <row r="65" spans="2:12" ht="15.75" thickTop="1" x14ac:dyDescent="0.25"/>
    <row r="66" spans="2:12" ht="19.5" thickBot="1" x14ac:dyDescent="0.3">
      <c r="B66" s="44" t="s">
        <v>168</v>
      </c>
      <c r="C66" s="44"/>
      <c r="D66" s="44"/>
      <c r="E66" s="44"/>
      <c r="F66" s="44"/>
      <c r="G66" s="44"/>
    </row>
    <row r="67" spans="2:12" ht="19.5" thickTop="1" x14ac:dyDescent="0.25">
      <c r="B67" s="12" t="str">
        <f>Balance_Sheet!B72</f>
        <v>Total Current Assets</v>
      </c>
      <c r="C67" s="13">
        <f>Balance_Sheet!C72</f>
        <v>1960.58</v>
      </c>
      <c r="D67" s="13">
        <f>Balance_Sheet!D72</f>
        <v>3048.5712492483908</v>
      </c>
      <c r="E67" s="13">
        <f>Balance_Sheet!E72</f>
        <v>4344.7199717912517</v>
      </c>
      <c r="F67" s="13">
        <f>Balance_Sheet!F72</f>
        <v>5830.4669872252052</v>
      </c>
      <c r="G67" s="13">
        <f>Balance_Sheet!G72</f>
        <v>6219.4487486285398</v>
      </c>
      <c r="I67" s="35"/>
      <c r="J67" s="36"/>
      <c r="K67" s="36"/>
      <c r="L67" s="37"/>
    </row>
    <row r="68" spans="2:12" ht="18.75" x14ac:dyDescent="0.25">
      <c r="B68" s="12" t="str">
        <f>Balance_Sheet!B33</f>
        <v>Total Current Liabilities</v>
      </c>
      <c r="C68" s="13">
        <f>Balance_Sheet!C33</f>
        <v>441.51</v>
      </c>
      <c r="D68" s="13">
        <f>Balance_Sheet!D33</f>
        <v>246.41</v>
      </c>
      <c r="E68" s="13">
        <f>Balance_Sheet!E33</f>
        <v>158.06</v>
      </c>
      <c r="F68" s="13">
        <f>Balance_Sheet!F33</f>
        <v>252.16000000000003</v>
      </c>
      <c r="G68" s="13">
        <f>Balance_Sheet!G33</f>
        <v>396.96000000000004</v>
      </c>
      <c r="I68" s="38"/>
      <c r="J68" s="39"/>
      <c r="K68" s="39"/>
      <c r="L68" s="40"/>
    </row>
    <row r="69" spans="2:12" ht="19.5" thickBot="1" x14ac:dyDescent="0.3">
      <c r="B69" s="14" t="s">
        <v>169</v>
      </c>
      <c r="C69" s="14">
        <f>ROUND(C67/ C68, 2)</f>
        <v>4.4400000000000004</v>
      </c>
      <c r="D69" s="14">
        <f t="shared" ref="D69:G69" si="14">ROUND(D67/ D68, 2)</f>
        <v>12.37</v>
      </c>
      <c r="E69" s="14">
        <f t="shared" si="14"/>
        <v>27.49</v>
      </c>
      <c r="F69" s="14">
        <f t="shared" si="14"/>
        <v>23.12</v>
      </c>
      <c r="G69" s="14">
        <f t="shared" si="14"/>
        <v>15.67</v>
      </c>
      <c r="I69" s="41"/>
      <c r="J69" s="42"/>
      <c r="K69" s="42"/>
      <c r="L69" s="43"/>
    </row>
    <row r="70" spans="2:12" ht="15.75" thickTop="1" x14ac:dyDescent="0.25"/>
    <row r="71" spans="2:12" ht="18.75" x14ac:dyDescent="0.25">
      <c r="B71" s="44" t="s">
        <v>170</v>
      </c>
      <c r="C71" s="44"/>
      <c r="D71" s="44"/>
      <c r="E71" s="44"/>
      <c r="F71" s="44"/>
      <c r="G71" s="44"/>
    </row>
    <row r="72" spans="2:12" ht="19.5" thickBot="1" x14ac:dyDescent="0.3">
      <c r="B72" s="12" t="str">
        <f>Balance_Sheet!B72</f>
        <v>Total Current Assets</v>
      </c>
      <c r="C72" s="13">
        <f>Balance_Sheet!C72</f>
        <v>1960.58</v>
      </c>
      <c r="D72" s="13">
        <f>Balance_Sheet!D72</f>
        <v>3048.5712492483908</v>
      </c>
      <c r="E72" s="13">
        <f>Balance_Sheet!E72</f>
        <v>4344.7199717912517</v>
      </c>
      <c r="F72" s="13">
        <f>Balance_Sheet!F72</f>
        <v>5830.4669872252052</v>
      </c>
      <c r="G72" s="13">
        <f>Balance_Sheet!G72</f>
        <v>6219.4487486285398</v>
      </c>
    </row>
    <row r="73" spans="2:12" ht="19.5" thickTop="1" x14ac:dyDescent="0.25">
      <c r="B73" s="12" t="str">
        <f>Balance_Sheet!B66</f>
        <v>Inventories</v>
      </c>
      <c r="C73" s="13">
        <f>Balance_Sheet!C66</f>
        <v>559.4</v>
      </c>
      <c r="D73" s="13">
        <f>Balance_Sheet!D66</f>
        <v>566.15</v>
      </c>
      <c r="E73" s="13">
        <f>Balance_Sheet!E66</f>
        <v>553.86</v>
      </c>
      <c r="F73" s="13">
        <f>Balance_Sheet!F66</f>
        <v>485.27</v>
      </c>
      <c r="G73" s="13">
        <f>Balance_Sheet!G66</f>
        <v>564.65</v>
      </c>
      <c r="I73" s="35"/>
      <c r="J73" s="36"/>
      <c r="K73" s="36"/>
      <c r="L73" s="37"/>
    </row>
    <row r="74" spans="2:12" ht="18.75" x14ac:dyDescent="0.25">
      <c r="B74" s="12" t="str">
        <f>Balance_Sheet!B33</f>
        <v>Total Current Liabilities</v>
      </c>
      <c r="C74" s="13">
        <f>Balance_Sheet!C33</f>
        <v>441.51</v>
      </c>
      <c r="D74" s="13">
        <f>Balance_Sheet!D33</f>
        <v>246.41</v>
      </c>
      <c r="E74" s="13">
        <f>Balance_Sheet!E33</f>
        <v>158.06</v>
      </c>
      <c r="F74" s="13">
        <f>Balance_Sheet!F33</f>
        <v>252.16000000000003</v>
      </c>
      <c r="G74" s="13">
        <f>Balance_Sheet!G33</f>
        <v>396.96000000000004</v>
      </c>
      <c r="I74" s="38"/>
      <c r="J74" s="39"/>
      <c r="K74" s="39"/>
      <c r="L74" s="40"/>
    </row>
    <row r="75" spans="2:12" ht="19.5" thickBot="1" x14ac:dyDescent="0.3">
      <c r="B75" s="14" t="s">
        <v>171</v>
      </c>
      <c r="C75" s="14">
        <f>ROUND((C72-C73)/ C74, 2)</f>
        <v>3.17</v>
      </c>
      <c r="D75" s="14">
        <f t="shared" ref="D75:G75" si="15">ROUND((D72-D73)/ D74, 2)</f>
        <v>10.07</v>
      </c>
      <c r="E75" s="14">
        <f t="shared" si="15"/>
        <v>23.98</v>
      </c>
      <c r="F75" s="14">
        <f t="shared" si="15"/>
        <v>21.2</v>
      </c>
      <c r="G75" s="14">
        <f t="shared" si="15"/>
        <v>14.25</v>
      </c>
      <c r="I75" s="41"/>
      <c r="J75" s="42"/>
      <c r="K75" s="42"/>
      <c r="L75" s="43"/>
    </row>
    <row r="76" spans="2:12" ht="15.75" thickTop="1" x14ac:dyDescent="0.25"/>
    <row r="77" spans="2:12" ht="19.5" thickBot="1" x14ac:dyDescent="0.3">
      <c r="B77" s="44" t="s">
        <v>172</v>
      </c>
      <c r="C77" s="44"/>
      <c r="D77" s="44"/>
      <c r="E77" s="44"/>
      <c r="F77" s="44"/>
      <c r="G77" s="44"/>
    </row>
    <row r="78" spans="2:12" ht="19.5" thickTop="1" x14ac:dyDescent="0.25">
      <c r="B78" s="12" t="str">
        <f>Income_Statement!B33</f>
        <v>PBIT</v>
      </c>
      <c r="C78" s="13">
        <f>Income_Statement!C33</f>
        <v>1443.5221075382265</v>
      </c>
      <c r="D78" s="13">
        <f>Income_Statement!D33</f>
        <v>1466.0412492483915</v>
      </c>
      <c r="E78" s="13">
        <f>Income_Statement!E33</f>
        <v>1414.5487225428603</v>
      </c>
      <c r="F78" s="13">
        <f>Income_Statement!F33</f>
        <v>1516.3270154339546</v>
      </c>
      <c r="G78" s="13">
        <f>Income_Statement!G33</f>
        <v>92.561761403333733</v>
      </c>
      <c r="I78" s="35"/>
      <c r="J78" s="36"/>
      <c r="K78" s="36"/>
      <c r="L78" s="37"/>
    </row>
    <row r="79" spans="2:12" ht="18.75" x14ac:dyDescent="0.25">
      <c r="B79" s="12" t="str">
        <f>Income_Statement!B35</f>
        <v>Finance Costs</v>
      </c>
      <c r="C79" s="13">
        <f>Income_Statement!C35</f>
        <v>30.56</v>
      </c>
      <c r="D79" s="13">
        <f>Income_Statement!D35</f>
        <v>26.39</v>
      </c>
      <c r="E79" s="13">
        <f>Income_Statement!E35</f>
        <v>19.66</v>
      </c>
      <c r="F79" s="13">
        <f>Income_Statement!F35</f>
        <v>3.57</v>
      </c>
      <c r="G79" s="13">
        <f>Income_Statement!G35</f>
        <v>5.27</v>
      </c>
      <c r="I79" s="38"/>
      <c r="J79" s="39"/>
      <c r="K79" s="39"/>
      <c r="L79" s="40"/>
    </row>
    <row r="80" spans="2:12" ht="19.5" thickBot="1" x14ac:dyDescent="0.3">
      <c r="B80" s="14" t="s">
        <v>173</v>
      </c>
      <c r="C80" s="14">
        <f>ROUND(C78/C79, 2)</f>
        <v>47.24</v>
      </c>
      <c r="D80" s="14">
        <f t="shared" ref="D80:G80" si="16">ROUND(D78/D79, 2)</f>
        <v>55.55</v>
      </c>
      <c r="E80" s="14">
        <f t="shared" si="16"/>
        <v>71.95</v>
      </c>
      <c r="F80" s="14">
        <f t="shared" si="16"/>
        <v>424.74</v>
      </c>
      <c r="G80" s="14">
        <f t="shared" si="16"/>
        <v>17.559999999999999</v>
      </c>
      <c r="I80" s="41"/>
      <c r="J80" s="42"/>
      <c r="K80" s="42"/>
      <c r="L80" s="43"/>
    </row>
    <row r="81" spans="2:12" ht="15.75" thickTop="1" x14ac:dyDescent="0.25"/>
    <row r="82" spans="2:12" ht="19.5" thickBot="1" x14ac:dyDescent="0.3">
      <c r="B82" s="44" t="s">
        <v>174</v>
      </c>
      <c r="C82" s="44"/>
      <c r="D82" s="44"/>
      <c r="E82" s="44"/>
      <c r="F82" s="44"/>
      <c r="G82" s="44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2073.46</v>
      </c>
      <c r="D83" s="13">
        <f>Income_Statement!D17</f>
        <v>1780.46</v>
      </c>
      <c r="E83" s="13">
        <f>Income_Statement!E17</f>
        <v>1207.0999999999999</v>
      </c>
      <c r="F83" s="13">
        <f>Income_Statement!F17</f>
        <v>741.5</v>
      </c>
      <c r="G83" s="13">
        <f>Income_Statement!G17</f>
        <v>3844.36</v>
      </c>
      <c r="I83" s="35"/>
      <c r="J83" s="36"/>
      <c r="K83" s="36"/>
      <c r="L83" s="37"/>
    </row>
    <row r="84" spans="2:12" ht="18.75" x14ac:dyDescent="0.25">
      <c r="B84" s="12" t="str">
        <f>Income_Statement!B9</f>
        <v>Net Sales</v>
      </c>
      <c r="C84" s="13">
        <f>Income_Statement!C9</f>
        <v>3905.03</v>
      </c>
      <c r="D84" s="13">
        <f>Income_Statement!D9</f>
        <v>3642.19</v>
      </c>
      <c r="E84" s="13">
        <f>Income_Statement!E9</f>
        <v>3052.94</v>
      </c>
      <c r="F84" s="13">
        <f>Income_Statement!F9</f>
        <v>2544.39</v>
      </c>
      <c r="G84" s="13">
        <f>Income_Statement!G9</f>
        <v>4422.6099999999997</v>
      </c>
      <c r="I84" s="38"/>
      <c r="J84" s="39"/>
      <c r="K84" s="39"/>
      <c r="L84" s="40"/>
    </row>
    <row r="85" spans="2:12" ht="19.5" thickBot="1" x14ac:dyDescent="0.3">
      <c r="B85" s="14" t="s">
        <v>175</v>
      </c>
      <c r="C85" s="14">
        <f>ROUND(C83/C84, 2)</f>
        <v>0.53</v>
      </c>
      <c r="D85" s="14">
        <f t="shared" ref="D85:G85" si="17">ROUND(D83/D84, 2)</f>
        <v>0.49</v>
      </c>
      <c r="E85" s="14">
        <f t="shared" si="17"/>
        <v>0.4</v>
      </c>
      <c r="F85" s="14">
        <f t="shared" si="17"/>
        <v>0.28999999999999998</v>
      </c>
      <c r="G85" s="14">
        <f t="shared" si="17"/>
        <v>0.87</v>
      </c>
      <c r="I85" s="41"/>
      <c r="J85" s="42"/>
      <c r="K85" s="42"/>
      <c r="L85" s="43"/>
    </row>
    <row r="86" spans="2:12" ht="15.75" thickTop="1" x14ac:dyDescent="0.25"/>
    <row r="87" spans="2:12" ht="19.5" thickBot="1" x14ac:dyDescent="0.3">
      <c r="B87" s="44" t="s">
        <v>176</v>
      </c>
      <c r="C87" s="44"/>
      <c r="D87" s="44"/>
      <c r="E87" s="44"/>
      <c r="F87" s="44"/>
      <c r="G87" s="44"/>
    </row>
    <row r="88" spans="2:12" ht="19.5" thickTop="1" x14ac:dyDescent="0.25">
      <c r="B88" s="12" t="str">
        <f>Balance_Sheet!B70</f>
        <v>Cash And Cash Equivalents</v>
      </c>
      <c r="C88" s="13">
        <f>Balance_Sheet!C70</f>
        <v>404.85</v>
      </c>
      <c r="D88" s="13">
        <f>Balance_Sheet!D70</f>
        <v>1652.4812492483911</v>
      </c>
      <c r="E88" s="13">
        <f>Balance_Sheet!E70</f>
        <v>2985.6599717912513</v>
      </c>
      <c r="F88" s="13">
        <f>Balance_Sheet!F70</f>
        <v>4453.9869872252057</v>
      </c>
      <c r="G88" s="13">
        <f>Balance_Sheet!G70</f>
        <v>4402.7887486285399</v>
      </c>
      <c r="I88" s="35"/>
      <c r="J88" s="36"/>
      <c r="K88" s="36"/>
      <c r="L88" s="37"/>
    </row>
    <row r="89" spans="2:12" ht="18.75" x14ac:dyDescent="0.25">
      <c r="B89" s="12" t="str">
        <f>Income_Statement!B17</f>
        <v>Cost Of Materials Consumed</v>
      </c>
      <c r="C89" s="13">
        <f>Income_Statement!C17</f>
        <v>2073.46</v>
      </c>
      <c r="D89" s="13">
        <f>Income_Statement!D17</f>
        <v>1780.46</v>
      </c>
      <c r="E89" s="13">
        <f>Income_Statement!E17</f>
        <v>1207.0999999999999</v>
      </c>
      <c r="F89" s="13">
        <f>Income_Statement!F17</f>
        <v>741.5</v>
      </c>
      <c r="G89" s="13">
        <f>Income_Statement!G17</f>
        <v>3844.36</v>
      </c>
      <c r="I89" s="38"/>
      <c r="J89" s="39"/>
      <c r="K89" s="39"/>
      <c r="L89" s="40"/>
    </row>
    <row r="90" spans="2:12" ht="19.5" thickBot="1" x14ac:dyDescent="0.3">
      <c r="B90" s="14" t="s">
        <v>177</v>
      </c>
      <c r="C90" s="14">
        <f>ROUND(C88/C89*365, 2)</f>
        <v>71.27</v>
      </c>
      <c r="D90" s="14">
        <f t="shared" ref="D90:G90" si="18">ROUND(D88/D89*365, 2)</f>
        <v>338.76</v>
      </c>
      <c r="E90" s="14">
        <f t="shared" si="18"/>
        <v>902.8</v>
      </c>
      <c r="F90" s="14">
        <f t="shared" si="18"/>
        <v>2192.4499999999998</v>
      </c>
      <c r="G90" s="14">
        <f t="shared" si="18"/>
        <v>418.02</v>
      </c>
      <c r="I90" s="41"/>
      <c r="J90" s="42"/>
      <c r="K90" s="42"/>
      <c r="L90" s="43"/>
    </row>
    <row r="91" spans="2:12" ht="15.75" thickTop="1" x14ac:dyDescent="0.25"/>
    <row r="92" spans="2:12" ht="19.5" thickBot="1" x14ac:dyDescent="0.3">
      <c r="B92" s="44" t="s">
        <v>178</v>
      </c>
      <c r="C92" s="44"/>
      <c r="D92" s="44"/>
      <c r="E92" s="44"/>
      <c r="F92" s="44"/>
      <c r="G92" s="44"/>
    </row>
    <row r="93" spans="2:12" ht="19.5" thickTop="1" x14ac:dyDescent="0.25">
      <c r="B93" s="12" t="str">
        <f>Balance_Sheet!B70</f>
        <v>Cash And Cash Equivalents</v>
      </c>
      <c r="C93" s="13">
        <f>Balance_Sheet!C70</f>
        <v>404.85</v>
      </c>
      <c r="D93" s="13">
        <f>Balance_Sheet!D70</f>
        <v>1652.4812492483911</v>
      </c>
      <c r="E93" s="13">
        <f>Balance_Sheet!E70</f>
        <v>2985.6599717912513</v>
      </c>
      <c r="F93" s="13">
        <f>Balance_Sheet!F70</f>
        <v>4453.9869872252057</v>
      </c>
      <c r="G93" s="13">
        <f>Balance_Sheet!G70</f>
        <v>4402.7887486285399</v>
      </c>
      <c r="I93" s="35"/>
      <c r="J93" s="36"/>
      <c r="K93" s="36"/>
      <c r="L93" s="37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8"/>
      <c r="J94" s="39"/>
      <c r="K94" s="39"/>
      <c r="L94" s="40"/>
    </row>
    <row r="95" spans="2:12" ht="19.5" thickBot="1" x14ac:dyDescent="0.3">
      <c r="B95" s="14" t="s">
        <v>180</v>
      </c>
      <c r="C95" s="14">
        <f>ROUND(C93/C94*365, 2)</f>
        <v>404.85</v>
      </c>
      <c r="D95" s="14">
        <f t="shared" ref="D95:G95" si="19">ROUND(D93/D94*365, 2)</f>
        <v>1652.48</v>
      </c>
      <c r="E95" s="14">
        <f t="shared" si="19"/>
        <v>2985.66</v>
      </c>
      <c r="F95" s="14">
        <f t="shared" si="19"/>
        <v>4453.99</v>
      </c>
      <c r="G95" s="14">
        <f t="shared" si="19"/>
        <v>4402.79</v>
      </c>
      <c r="I95" s="41"/>
      <c r="J95" s="42"/>
      <c r="K95" s="42"/>
      <c r="L95" s="43"/>
    </row>
    <row r="96" spans="2:12" ht="15.75" thickTop="1" x14ac:dyDescent="0.25"/>
    <row r="97" spans="2:12" ht="19.5" thickBot="1" x14ac:dyDescent="0.3">
      <c r="B97" s="44" t="s">
        <v>181</v>
      </c>
      <c r="C97" s="44"/>
      <c r="D97" s="44"/>
      <c r="E97" s="44"/>
      <c r="F97" s="44"/>
      <c r="G97" s="44"/>
    </row>
    <row r="98" spans="2:12" ht="19.5" thickTop="1" x14ac:dyDescent="0.25">
      <c r="B98" s="12" t="str">
        <f>Income_Statement!B5</f>
        <v>Gross Sales</v>
      </c>
      <c r="C98" s="13">
        <f>Income_Statement!C5</f>
        <v>3905.03</v>
      </c>
      <c r="D98" s="13">
        <f>Income_Statement!D5</f>
        <v>3642.19</v>
      </c>
      <c r="E98" s="13">
        <f>Income_Statement!E5</f>
        <v>3052.94</v>
      </c>
      <c r="F98" s="13">
        <f>Income_Statement!F5</f>
        <v>2544.39</v>
      </c>
      <c r="G98" s="13">
        <f>Income_Statement!G5</f>
        <v>4422.6099999999997</v>
      </c>
      <c r="I98" s="35"/>
      <c r="J98" s="36"/>
      <c r="K98" s="36"/>
      <c r="L98" s="37"/>
    </row>
    <row r="99" spans="2:12" ht="18.75" x14ac:dyDescent="0.25">
      <c r="B99" s="12" t="str">
        <f>Balance_Sheet!B74</f>
        <v>Total Assets</v>
      </c>
      <c r="C99" s="13">
        <f>Balance_Sheet!C74</f>
        <v>2316.89</v>
      </c>
      <c r="D99" s="13">
        <f>Balance_Sheet!D74</f>
        <v>3381.9512492483909</v>
      </c>
      <c r="E99" s="13">
        <f>Balance_Sheet!E74</f>
        <v>4645.3299717912514</v>
      </c>
      <c r="F99" s="13">
        <f>Balance_Sheet!F74</f>
        <v>6120.206987225205</v>
      </c>
      <c r="G99" s="13">
        <f>Balance_Sheet!G74</f>
        <v>6468.3587486285396</v>
      </c>
      <c r="I99" s="38"/>
      <c r="J99" s="39"/>
      <c r="K99" s="39"/>
      <c r="L99" s="40"/>
    </row>
    <row r="100" spans="2:12" ht="19.5" thickBot="1" x14ac:dyDescent="0.3">
      <c r="B100" s="14" t="s">
        <v>182</v>
      </c>
      <c r="C100" s="14">
        <f>ROUND(C98/C99, 2)</f>
        <v>1.69</v>
      </c>
      <c r="D100" s="14">
        <f t="shared" ref="D100:G100" si="20">ROUND(D98/D99, 2)</f>
        <v>1.08</v>
      </c>
      <c r="E100" s="14">
        <f t="shared" si="20"/>
        <v>0.66</v>
      </c>
      <c r="F100" s="14">
        <f t="shared" si="20"/>
        <v>0.42</v>
      </c>
      <c r="G100" s="14">
        <f t="shared" si="20"/>
        <v>0.68</v>
      </c>
      <c r="I100" s="41"/>
      <c r="J100" s="42"/>
      <c r="K100" s="42"/>
      <c r="L100" s="43"/>
    </row>
    <row r="101" spans="2:12" ht="15.75" thickTop="1" x14ac:dyDescent="0.25"/>
    <row r="102" spans="2:12" ht="19.5" thickBot="1" x14ac:dyDescent="0.3">
      <c r="B102" s="44" t="s">
        <v>183</v>
      </c>
      <c r="C102" s="44"/>
      <c r="D102" s="44"/>
      <c r="E102" s="44"/>
      <c r="F102" s="44"/>
      <c r="G102" s="44"/>
    </row>
    <row r="103" spans="2:12" ht="19.5" thickTop="1" x14ac:dyDescent="0.25">
      <c r="B103" s="12" t="str">
        <f>Income_Statement!B5</f>
        <v>Gross Sales</v>
      </c>
      <c r="C103" s="13">
        <f>Income_Statement!C5</f>
        <v>3905.03</v>
      </c>
      <c r="D103" s="13">
        <f>Income_Statement!D5</f>
        <v>3642.19</v>
      </c>
      <c r="E103" s="13">
        <f>Income_Statement!E5</f>
        <v>3052.94</v>
      </c>
      <c r="F103" s="13">
        <f>Income_Statement!F5</f>
        <v>2544.39</v>
      </c>
      <c r="G103" s="13">
        <f>Income_Statement!G5</f>
        <v>4422.6099999999997</v>
      </c>
      <c r="I103" s="35"/>
      <c r="J103" s="36"/>
      <c r="K103" s="36"/>
      <c r="L103" s="37"/>
    </row>
    <row r="104" spans="2:12" ht="18.75" x14ac:dyDescent="0.25">
      <c r="B104" s="12" t="str">
        <f>Balance_Sheet!B66</f>
        <v>Inventories</v>
      </c>
      <c r="C104" s="13">
        <f>Balance_Sheet!C66</f>
        <v>559.4</v>
      </c>
      <c r="D104" s="13">
        <f>Balance_Sheet!D66</f>
        <v>566.15</v>
      </c>
      <c r="E104" s="13">
        <f>Balance_Sheet!E66</f>
        <v>553.86</v>
      </c>
      <c r="F104" s="13">
        <f>Balance_Sheet!F66</f>
        <v>485.27</v>
      </c>
      <c r="G104" s="13">
        <f>Balance_Sheet!G66</f>
        <v>564.65</v>
      </c>
      <c r="I104" s="38"/>
      <c r="J104" s="39"/>
      <c r="K104" s="39"/>
      <c r="L104" s="40"/>
    </row>
    <row r="105" spans="2:12" ht="19.5" thickBot="1" x14ac:dyDescent="0.3">
      <c r="B105" s="14" t="s">
        <v>184</v>
      </c>
      <c r="C105" s="14">
        <f>ROUND(C103/C104, 2)</f>
        <v>6.98</v>
      </c>
      <c r="D105" s="14">
        <f t="shared" ref="D105:G105" si="21">ROUND(D103/D104, 2)</f>
        <v>6.43</v>
      </c>
      <c r="E105" s="14">
        <f t="shared" si="21"/>
        <v>5.51</v>
      </c>
      <c r="F105" s="14">
        <f t="shared" si="21"/>
        <v>5.24</v>
      </c>
      <c r="G105" s="14">
        <f t="shared" si="21"/>
        <v>7.83</v>
      </c>
      <c r="I105" s="41"/>
      <c r="J105" s="42"/>
      <c r="K105" s="42"/>
      <c r="L105" s="43"/>
    </row>
    <row r="106" spans="2:12" ht="15.75" thickTop="1" x14ac:dyDescent="0.25"/>
    <row r="107" spans="2:12" ht="19.5" thickBot="1" x14ac:dyDescent="0.3">
      <c r="B107" s="44" t="s">
        <v>185</v>
      </c>
      <c r="C107" s="44"/>
      <c r="D107" s="44"/>
      <c r="E107" s="44"/>
      <c r="F107" s="44"/>
      <c r="G107" s="44"/>
    </row>
    <row r="108" spans="2:12" ht="19.5" thickTop="1" x14ac:dyDescent="0.25">
      <c r="B108" s="12" t="str">
        <f>Income_Statement!B5</f>
        <v>Gross Sales</v>
      </c>
      <c r="C108" s="13">
        <f>Income_Statement!C5</f>
        <v>3905.03</v>
      </c>
      <c r="D108" s="13">
        <f>Income_Statement!D5</f>
        <v>3642.19</v>
      </c>
      <c r="E108" s="13">
        <f>Income_Statement!E5</f>
        <v>3052.94</v>
      </c>
      <c r="F108" s="13">
        <f>Income_Statement!F5</f>
        <v>2544.39</v>
      </c>
      <c r="G108" s="13">
        <f>Income_Statement!G5</f>
        <v>4422.6099999999997</v>
      </c>
      <c r="I108" s="35"/>
      <c r="J108" s="36"/>
      <c r="K108" s="36"/>
      <c r="L108" s="37"/>
    </row>
    <row r="109" spans="2:12" ht="18.75" x14ac:dyDescent="0.25">
      <c r="B109" s="12" t="str">
        <f>Balance_Sheet!B68</f>
        <v>Trade Receivables</v>
      </c>
      <c r="C109" s="13">
        <f>Balance_Sheet!C68</f>
        <v>924.85</v>
      </c>
      <c r="D109" s="13">
        <f>Balance_Sheet!D68</f>
        <v>765.39</v>
      </c>
      <c r="E109" s="13">
        <f>Balance_Sheet!E68</f>
        <v>667.11</v>
      </c>
      <c r="F109" s="13">
        <f>Balance_Sheet!F68</f>
        <v>806.45</v>
      </c>
      <c r="G109" s="13">
        <f>Balance_Sheet!G68</f>
        <v>1048.01</v>
      </c>
      <c r="I109" s="38"/>
      <c r="J109" s="39"/>
      <c r="K109" s="39"/>
      <c r="L109" s="40"/>
    </row>
    <row r="110" spans="2:12" ht="19.5" thickBot="1" x14ac:dyDescent="0.3">
      <c r="B110" s="14" t="s">
        <v>186</v>
      </c>
      <c r="C110" s="14">
        <f>ROUND(C108/C109, 2)</f>
        <v>4.22</v>
      </c>
      <c r="D110" s="14">
        <f t="shared" ref="D110:G110" si="22">ROUND(D108/D109, 2)</f>
        <v>4.76</v>
      </c>
      <c r="E110" s="14">
        <f t="shared" si="22"/>
        <v>4.58</v>
      </c>
      <c r="F110" s="14">
        <f t="shared" si="22"/>
        <v>3.16</v>
      </c>
      <c r="G110" s="14">
        <f t="shared" si="22"/>
        <v>4.22</v>
      </c>
      <c r="I110" s="41"/>
      <c r="J110" s="42"/>
      <c r="K110" s="42"/>
      <c r="L110" s="43"/>
    </row>
    <row r="111" spans="2:12" ht="15.75" thickTop="1" x14ac:dyDescent="0.25"/>
    <row r="112" spans="2:12" ht="19.5" thickBot="1" x14ac:dyDescent="0.3">
      <c r="B112" s="44" t="s">
        <v>187</v>
      </c>
      <c r="C112" s="44"/>
      <c r="D112" s="44"/>
      <c r="E112" s="44"/>
      <c r="F112" s="44"/>
      <c r="G112" s="44"/>
    </row>
    <row r="113" spans="2:12" ht="19.5" thickTop="1" x14ac:dyDescent="0.25">
      <c r="B113" s="12" t="str">
        <f>Income_Statement!B5</f>
        <v>Gross Sales</v>
      </c>
      <c r="C113" s="13">
        <f>Income_Statement!C5</f>
        <v>3905.03</v>
      </c>
      <c r="D113" s="13">
        <f>Income_Statement!D5</f>
        <v>3642.19</v>
      </c>
      <c r="E113" s="13">
        <f>Income_Statement!E5</f>
        <v>3052.94</v>
      </c>
      <c r="F113" s="13">
        <f>Income_Statement!F5</f>
        <v>2544.39</v>
      </c>
      <c r="G113" s="13">
        <f>Income_Statement!G5</f>
        <v>4422.6099999999997</v>
      </c>
      <c r="I113" s="35"/>
      <c r="J113" s="36"/>
      <c r="K113" s="36"/>
      <c r="L113" s="37"/>
    </row>
    <row r="114" spans="2:12" ht="18.75" x14ac:dyDescent="0.25">
      <c r="B114" s="12" t="str">
        <f>Balance_Sheet!B40</f>
        <v>Tangible Assets</v>
      </c>
      <c r="C114" s="13">
        <f>Balance_Sheet!C40</f>
        <v>291.19</v>
      </c>
      <c r="D114" s="13">
        <f>Balance_Sheet!D40</f>
        <v>278.81</v>
      </c>
      <c r="E114" s="13">
        <f>Balance_Sheet!E40</f>
        <v>267.35000000000002</v>
      </c>
      <c r="F114" s="13">
        <f>Balance_Sheet!F40</f>
        <v>253.03</v>
      </c>
      <c r="G114" s="13">
        <f>Balance_Sheet!G40</f>
        <v>227.88</v>
      </c>
      <c r="I114" s="38"/>
      <c r="J114" s="39"/>
      <c r="K114" s="39"/>
      <c r="L114" s="40"/>
    </row>
    <row r="115" spans="2:12" ht="19.5" thickBot="1" x14ac:dyDescent="0.3">
      <c r="B115" s="14" t="s">
        <v>188</v>
      </c>
      <c r="C115" s="14">
        <f>ROUND(C113/C114, 2)</f>
        <v>13.41</v>
      </c>
      <c r="D115" s="14">
        <f t="shared" ref="D115:G115" si="23">ROUND(D113/D114, 2)</f>
        <v>13.06</v>
      </c>
      <c r="E115" s="14">
        <f t="shared" si="23"/>
        <v>11.42</v>
      </c>
      <c r="F115" s="14">
        <f t="shared" si="23"/>
        <v>10.06</v>
      </c>
      <c r="G115" s="14">
        <f t="shared" si="23"/>
        <v>19.41</v>
      </c>
      <c r="I115" s="41"/>
      <c r="J115" s="42"/>
      <c r="K115" s="42"/>
      <c r="L115" s="43"/>
    </row>
    <row r="116" spans="2:12" ht="15.75" thickTop="1" x14ac:dyDescent="0.25"/>
    <row r="117" spans="2:12" ht="19.5" thickBot="1" x14ac:dyDescent="0.3">
      <c r="B117" s="44" t="s">
        <v>189</v>
      </c>
      <c r="C117" s="44"/>
      <c r="D117" s="44"/>
      <c r="E117" s="44"/>
      <c r="F117" s="44"/>
      <c r="G117" s="44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2073.46</v>
      </c>
      <c r="D118" s="13">
        <f>Income_Statement!D17</f>
        <v>1780.46</v>
      </c>
      <c r="E118" s="13">
        <f>Income_Statement!E17</f>
        <v>1207.0999999999999</v>
      </c>
      <c r="F118" s="13">
        <f>Income_Statement!F17</f>
        <v>741.5</v>
      </c>
      <c r="G118" s="13">
        <f>Income_Statement!G17</f>
        <v>3844.36</v>
      </c>
      <c r="I118" s="35"/>
      <c r="J118" s="36"/>
      <c r="K118" s="36"/>
      <c r="L118" s="37"/>
    </row>
    <row r="119" spans="2:12" ht="18.75" x14ac:dyDescent="0.25">
      <c r="B119" s="12" t="str">
        <f>Balance_Sheet!B33</f>
        <v>Total Current Liabilities</v>
      </c>
      <c r="C119" s="13">
        <f>Balance_Sheet!C33</f>
        <v>441.51</v>
      </c>
      <c r="D119" s="13">
        <f>Balance_Sheet!D33</f>
        <v>246.41</v>
      </c>
      <c r="E119" s="13">
        <f>Balance_Sheet!E33</f>
        <v>158.06</v>
      </c>
      <c r="F119" s="13">
        <f>Balance_Sheet!F33</f>
        <v>252.16000000000003</v>
      </c>
      <c r="G119" s="13">
        <f>Balance_Sheet!G33</f>
        <v>396.96000000000004</v>
      </c>
      <c r="I119" s="38"/>
      <c r="J119" s="39"/>
      <c r="K119" s="39"/>
      <c r="L119" s="40"/>
    </row>
    <row r="120" spans="2:12" ht="19.5" thickBot="1" x14ac:dyDescent="0.3">
      <c r="B120" s="14" t="s">
        <v>190</v>
      </c>
      <c r="C120" s="14">
        <f>ROUND(C118/C119, 2)</f>
        <v>4.7</v>
      </c>
      <c r="D120" s="14">
        <f t="shared" ref="D120:G120" si="24">ROUND(D118/D119, 2)</f>
        <v>7.23</v>
      </c>
      <c r="E120" s="14">
        <f t="shared" si="24"/>
        <v>7.64</v>
      </c>
      <c r="F120" s="14">
        <f t="shared" si="24"/>
        <v>2.94</v>
      </c>
      <c r="G120" s="14">
        <f t="shared" si="24"/>
        <v>9.68</v>
      </c>
      <c r="I120" s="41"/>
      <c r="J120" s="42"/>
      <c r="K120" s="42"/>
      <c r="L120" s="43"/>
    </row>
    <row r="121" spans="2:12" ht="15.75" thickTop="1" x14ac:dyDescent="0.25"/>
    <row r="122" spans="2:12" ht="19.5" thickBot="1" x14ac:dyDescent="0.3">
      <c r="B122" s="44" t="s">
        <v>191</v>
      </c>
      <c r="C122" s="44"/>
      <c r="D122" s="44"/>
      <c r="E122" s="44"/>
      <c r="F122" s="44"/>
      <c r="G122" s="44"/>
    </row>
    <row r="123" spans="2:12" ht="19.5" thickTop="1" x14ac:dyDescent="0.25">
      <c r="B123" s="12" t="str">
        <f>Income_Statement!B5</f>
        <v>Gross Sales</v>
      </c>
      <c r="C123" s="13">
        <f>Income_Statement!C5</f>
        <v>3905.03</v>
      </c>
      <c r="D123" s="13">
        <f>Income_Statement!D5</f>
        <v>3642.19</v>
      </c>
      <c r="E123" s="13">
        <f>Income_Statement!E5</f>
        <v>3052.94</v>
      </c>
      <c r="F123" s="13">
        <f>Income_Statement!F5</f>
        <v>2544.39</v>
      </c>
      <c r="G123" s="13">
        <f>Income_Statement!G5</f>
        <v>4422.6099999999997</v>
      </c>
      <c r="I123" s="35"/>
      <c r="J123" s="36"/>
      <c r="K123" s="36"/>
      <c r="L123" s="37"/>
    </row>
    <row r="124" spans="2:12" ht="18.75" x14ac:dyDescent="0.25">
      <c r="B124" s="12" t="str">
        <f>Balance_Sheet!B66</f>
        <v>Inventories</v>
      </c>
      <c r="C124" s="13">
        <f>Balance_Sheet!C66</f>
        <v>559.4</v>
      </c>
      <c r="D124" s="13">
        <f>Balance_Sheet!D66</f>
        <v>566.15</v>
      </c>
      <c r="E124" s="13">
        <f>Balance_Sheet!E66</f>
        <v>553.86</v>
      </c>
      <c r="F124" s="13">
        <f>Balance_Sheet!F66</f>
        <v>485.27</v>
      </c>
      <c r="G124" s="13">
        <f>Balance_Sheet!G66</f>
        <v>564.65</v>
      </c>
      <c r="I124" s="38"/>
      <c r="J124" s="39"/>
      <c r="K124" s="39"/>
      <c r="L124" s="40"/>
    </row>
    <row r="125" spans="2:12" ht="19.5" thickBot="1" x14ac:dyDescent="0.3">
      <c r="B125" s="14" t="s">
        <v>192</v>
      </c>
      <c r="C125" s="14">
        <f>ROUND(365/C123*C124, 2)</f>
        <v>52.29</v>
      </c>
      <c r="D125" s="14">
        <f t="shared" ref="D125:G125" si="25">ROUND(365/D123*D124, 2)</f>
        <v>56.74</v>
      </c>
      <c r="E125" s="14">
        <f t="shared" si="25"/>
        <v>66.22</v>
      </c>
      <c r="F125" s="14">
        <f t="shared" si="25"/>
        <v>69.61</v>
      </c>
      <c r="G125" s="14">
        <f t="shared" si="25"/>
        <v>46.6</v>
      </c>
      <c r="I125" s="41"/>
      <c r="J125" s="42"/>
      <c r="K125" s="42"/>
      <c r="L125" s="43"/>
    </row>
    <row r="126" spans="2:12" ht="15.75" thickTop="1" x14ac:dyDescent="0.25"/>
    <row r="127" spans="2:12" ht="19.5" thickBot="1" x14ac:dyDescent="0.3">
      <c r="B127" s="44" t="s">
        <v>193</v>
      </c>
      <c r="C127" s="44"/>
      <c r="D127" s="44"/>
      <c r="E127" s="44"/>
      <c r="F127" s="44"/>
      <c r="G127" s="44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2073.46</v>
      </c>
      <c r="D128" s="13">
        <f>Income_Statement!D17</f>
        <v>1780.46</v>
      </c>
      <c r="E128" s="13">
        <f>Income_Statement!E17</f>
        <v>1207.0999999999999</v>
      </c>
      <c r="F128" s="13">
        <f>Income_Statement!F17</f>
        <v>741.5</v>
      </c>
      <c r="G128" s="13">
        <f>Income_Statement!G17</f>
        <v>3844.36</v>
      </c>
      <c r="I128" s="35"/>
      <c r="J128" s="36"/>
      <c r="K128" s="36"/>
      <c r="L128" s="37"/>
    </row>
    <row r="129" spans="2:12" ht="18.75" x14ac:dyDescent="0.25">
      <c r="B129" s="12" t="str">
        <f>Balance_Sheet!B33</f>
        <v>Total Current Liabilities</v>
      </c>
      <c r="C129" s="13">
        <f>Balance_Sheet!C33</f>
        <v>441.51</v>
      </c>
      <c r="D129" s="13">
        <f>Balance_Sheet!D33</f>
        <v>246.41</v>
      </c>
      <c r="E129" s="13">
        <f>Balance_Sheet!E33</f>
        <v>158.06</v>
      </c>
      <c r="F129" s="13">
        <f>Balance_Sheet!F33</f>
        <v>252.16000000000003</v>
      </c>
      <c r="G129" s="13">
        <f>Balance_Sheet!G33</f>
        <v>396.96000000000004</v>
      </c>
      <c r="I129" s="38"/>
      <c r="J129" s="39"/>
      <c r="K129" s="39"/>
      <c r="L129" s="40"/>
    </row>
    <row r="130" spans="2:12" ht="19.5" thickBot="1" x14ac:dyDescent="0.3">
      <c r="B130" s="14" t="s">
        <v>194</v>
      </c>
      <c r="C130" s="14">
        <f>ROUND(365/C128*C129, 2)</f>
        <v>77.72</v>
      </c>
      <c r="D130" s="14">
        <f t="shared" ref="D130:G130" si="26">ROUND(365/D128*D129, 2)</f>
        <v>50.51</v>
      </c>
      <c r="E130" s="14">
        <f t="shared" si="26"/>
        <v>47.79</v>
      </c>
      <c r="F130" s="14">
        <f t="shared" si="26"/>
        <v>124.12</v>
      </c>
      <c r="G130" s="14">
        <f t="shared" si="26"/>
        <v>37.69</v>
      </c>
      <c r="I130" s="41"/>
      <c r="J130" s="42"/>
      <c r="K130" s="42"/>
      <c r="L130" s="43"/>
    </row>
    <row r="131" spans="2:12" ht="15.75" thickTop="1" x14ac:dyDescent="0.25"/>
    <row r="132" spans="2:12" ht="19.5" thickBot="1" x14ac:dyDescent="0.3">
      <c r="B132" s="44" t="s">
        <v>195</v>
      </c>
      <c r="C132" s="44"/>
      <c r="D132" s="44"/>
      <c r="E132" s="44"/>
      <c r="F132" s="44"/>
      <c r="G132" s="44"/>
    </row>
    <row r="133" spans="2:12" ht="19.5" thickTop="1" x14ac:dyDescent="0.25">
      <c r="B133" s="12" t="str">
        <f>Income_Statement!B5</f>
        <v>Gross Sales</v>
      </c>
      <c r="C133" s="13">
        <f>Income_Statement!C5</f>
        <v>3905.03</v>
      </c>
      <c r="D133" s="13">
        <f>Income_Statement!D5</f>
        <v>3642.19</v>
      </c>
      <c r="E133" s="13">
        <f>Income_Statement!E5</f>
        <v>3052.94</v>
      </c>
      <c r="F133" s="13">
        <f>Income_Statement!F5</f>
        <v>2544.39</v>
      </c>
      <c r="G133" s="13">
        <f>Income_Statement!G5</f>
        <v>4422.6099999999997</v>
      </c>
      <c r="I133" s="35"/>
      <c r="J133" s="36"/>
      <c r="K133" s="36"/>
      <c r="L133" s="37"/>
    </row>
    <row r="134" spans="2:12" ht="18.75" x14ac:dyDescent="0.25">
      <c r="B134" s="12" t="str">
        <f>Balance_Sheet!B68</f>
        <v>Trade Receivables</v>
      </c>
      <c r="C134" s="13">
        <f>Balance_Sheet!C68</f>
        <v>924.85</v>
      </c>
      <c r="D134" s="13">
        <f>Balance_Sheet!D68</f>
        <v>765.39</v>
      </c>
      <c r="E134" s="13">
        <f>Balance_Sheet!E68</f>
        <v>667.11</v>
      </c>
      <c r="F134" s="13">
        <f>Balance_Sheet!F68</f>
        <v>806.45</v>
      </c>
      <c r="G134" s="13">
        <f>Balance_Sheet!G68</f>
        <v>1048.01</v>
      </c>
      <c r="I134" s="38"/>
      <c r="J134" s="39"/>
      <c r="K134" s="39"/>
      <c r="L134" s="40"/>
    </row>
    <row r="135" spans="2:12" ht="19.5" thickBot="1" x14ac:dyDescent="0.3">
      <c r="B135" s="14" t="s">
        <v>196</v>
      </c>
      <c r="C135" s="14">
        <f>ROUND(365/C133*C134, 2)</f>
        <v>86.44</v>
      </c>
      <c r="D135" s="14">
        <f t="shared" ref="D135:G135" si="27">ROUND(365/D133*D134, 2)</f>
        <v>76.7</v>
      </c>
      <c r="E135" s="14">
        <f t="shared" si="27"/>
        <v>79.760000000000005</v>
      </c>
      <c r="F135" s="14">
        <f t="shared" si="27"/>
        <v>115.69</v>
      </c>
      <c r="G135" s="14">
        <f t="shared" si="27"/>
        <v>86.49</v>
      </c>
      <c r="I135" s="41"/>
      <c r="J135" s="42"/>
      <c r="K135" s="42"/>
      <c r="L135" s="43"/>
    </row>
    <row r="136" spans="2:12" ht="15.75" thickTop="1" x14ac:dyDescent="0.25"/>
    <row r="137" spans="2:12" ht="18.75" x14ac:dyDescent="0.25">
      <c r="B137" s="44" t="s">
        <v>197</v>
      </c>
      <c r="C137" s="44"/>
      <c r="D137" s="44"/>
      <c r="E137" s="44"/>
      <c r="F137" s="44"/>
      <c r="G137" s="44"/>
    </row>
    <row r="138" spans="2:12" ht="18.75" x14ac:dyDescent="0.25">
      <c r="B138" s="12" t="str">
        <f>Income_Statement!B5</f>
        <v>Gross Sales</v>
      </c>
      <c r="C138" s="13">
        <f>Income_Statement!C5</f>
        <v>3905.03</v>
      </c>
      <c r="D138" s="13">
        <f>Income_Statement!D5</f>
        <v>3642.19</v>
      </c>
      <c r="E138" s="13">
        <f>Income_Statement!E5</f>
        <v>3052.94</v>
      </c>
      <c r="F138" s="13">
        <f>Income_Statement!F5</f>
        <v>2544.39</v>
      </c>
      <c r="G138" s="13">
        <f>Income_Statement!G5</f>
        <v>4422.6099999999997</v>
      </c>
    </row>
    <row r="139" spans="2:12" ht="18.75" x14ac:dyDescent="0.25">
      <c r="B139" s="12" t="str">
        <f>Balance_Sheet!B66</f>
        <v>Inventories</v>
      </c>
      <c r="C139" s="13">
        <f>Balance_Sheet!C66</f>
        <v>559.4</v>
      </c>
      <c r="D139" s="13">
        <f>Balance_Sheet!D66</f>
        <v>566.15</v>
      </c>
      <c r="E139" s="13">
        <f>Balance_Sheet!E66</f>
        <v>553.86</v>
      </c>
      <c r="F139" s="13">
        <f>Balance_Sheet!F66</f>
        <v>485.27</v>
      </c>
      <c r="G139" s="13">
        <f>Balance_Sheet!G66</f>
        <v>564.65</v>
      </c>
    </row>
    <row r="140" spans="2:12" ht="18.75" x14ac:dyDescent="0.25">
      <c r="B140" s="12" t="s">
        <v>192</v>
      </c>
      <c r="C140" s="13">
        <f>ROUND(365/C138*C139, 2)</f>
        <v>52.29</v>
      </c>
      <c r="D140" s="13">
        <f t="shared" ref="D140:G140" si="28">ROUND(365/D138*D139, 2)</f>
        <v>56.74</v>
      </c>
      <c r="E140" s="13">
        <f t="shared" si="28"/>
        <v>66.22</v>
      </c>
      <c r="F140" s="13">
        <f t="shared" si="28"/>
        <v>69.61</v>
      </c>
      <c r="G140" s="13">
        <f t="shared" si="28"/>
        <v>46.6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2073.46</v>
      </c>
      <c r="D141" s="13">
        <f>Income_Statement!D17</f>
        <v>1780.46</v>
      </c>
      <c r="E141" s="13">
        <f>Income_Statement!E17</f>
        <v>1207.0999999999999</v>
      </c>
      <c r="F141" s="13">
        <f>Income_Statement!F17</f>
        <v>741.5</v>
      </c>
      <c r="G141" s="13">
        <f>Income_Statement!G17</f>
        <v>3844.36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441.51</v>
      </c>
      <c r="D142" s="13">
        <f>Balance_Sheet!D33</f>
        <v>246.41</v>
      </c>
      <c r="E142" s="13">
        <f>Balance_Sheet!E33</f>
        <v>158.06</v>
      </c>
      <c r="F142" s="13">
        <f>Balance_Sheet!F33</f>
        <v>252.16000000000003</v>
      </c>
      <c r="G142" s="13">
        <f>Balance_Sheet!G33</f>
        <v>396.96000000000004</v>
      </c>
      <c r="I142" s="35"/>
      <c r="J142" s="36"/>
      <c r="K142" s="36"/>
      <c r="L142" s="37"/>
    </row>
    <row r="143" spans="2:12" ht="18.75" x14ac:dyDescent="0.25">
      <c r="B143" s="12" t="s">
        <v>194</v>
      </c>
      <c r="C143" s="13">
        <f>ROUND(365/C141*C142, 2)</f>
        <v>77.72</v>
      </c>
      <c r="D143" s="13">
        <f t="shared" ref="D143:G143" si="29">ROUND(365/D141*D142, 2)</f>
        <v>50.51</v>
      </c>
      <c r="E143" s="13">
        <f t="shared" si="29"/>
        <v>47.79</v>
      </c>
      <c r="F143" s="13">
        <f t="shared" si="29"/>
        <v>124.12</v>
      </c>
      <c r="G143" s="13">
        <f t="shared" si="29"/>
        <v>37.69</v>
      </c>
      <c r="I143" s="38"/>
      <c r="J143" s="39"/>
      <c r="K143" s="39"/>
      <c r="L143" s="40"/>
    </row>
    <row r="144" spans="2:12" ht="19.5" thickBot="1" x14ac:dyDescent="0.3">
      <c r="B144" s="14" t="s">
        <v>198</v>
      </c>
      <c r="C144" s="16">
        <f>ROUND(C143+C140, 2)</f>
        <v>130.01</v>
      </c>
      <c r="D144" s="16">
        <f t="shared" ref="D144:G144" si="30">ROUND(D143+D140, 2)</f>
        <v>107.25</v>
      </c>
      <c r="E144" s="16">
        <f t="shared" si="30"/>
        <v>114.01</v>
      </c>
      <c r="F144" s="16">
        <f t="shared" si="30"/>
        <v>193.73</v>
      </c>
      <c r="G144" s="16">
        <f t="shared" si="30"/>
        <v>84.29</v>
      </c>
      <c r="I144" s="41"/>
      <c r="J144" s="42"/>
      <c r="K144" s="42"/>
      <c r="L144" s="43"/>
    </row>
    <row r="145" spans="2:12" ht="15.75" thickTop="1" x14ac:dyDescent="0.25"/>
    <row r="146" spans="2:12" ht="18.75" x14ac:dyDescent="0.25">
      <c r="B146" s="44" t="s">
        <v>199</v>
      </c>
      <c r="C146" s="44"/>
      <c r="D146" s="44"/>
      <c r="E146" s="44"/>
      <c r="F146" s="44"/>
      <c r="G146" s="44"/>
    </row>
    <row r="147" spans="2:12" ht="18.75" x14ac:dyDescent="0.25">
      <c r="B147" s="12" t="str">
        <f>Income_Statement!B5</f>
        <v>Gross Sales</v>
      </c>
      <c r="C147" s="13">
        <f>Income_Statement!C5</f>
        <v>3905.03</v>
      </c>
      <c r="D147" s="13">
        <f>Income_Statement!D5</f>
        <v>3642.19</v>
      </c>
      <c r="E147" s="13">
        <f>Income_Statement!E5</f>
        <v>3052.94</v>
      </c>
      <c r="F147" s="13">
        <f>Income_Statement!F5</f>
        <v>2544.39</v>
      </c>
      <c r="G147" s="13">
        <f>Income_Statement!G5</f>
        <v>4422.6099999999997</v>
      </c>
    </row>
    <row r="148" spans="2:12" ht="18.75" x14ac:dyDescent="0.25">
      <c r="B148" s="12" t="str">
        <f>Balance_Sheet!B66</f>
        <v>Inventories</v>
      </c>
      <c r="C148" s="13">
        <f>Balance_Sheet!C66</f>
        <v>559.4</v>
      </c>
      <c r="D148" s="13">
        <f>Balance_Sheet!D66</f>
        <v>566.15</v>
      </c>
      <c r="E148" s="13">
        <f>Balance_Sheet!E66</f>
        <v>553.86</v>
      </c>
      <c r="F148" s="13">
        <f>Balance_Sheet!F66</f>
        <v>485.27</v>
      </c>
      <c r="G148" s="13">
        <f>Balance_Sheet!G66</f>
        <v>564.65</v>
      </c>
    </row>
    <row r="149" spans="2:12" ht="18.75" x14ac:dyDescent="0.25">
      <c r="B149" s="12" t="s">
        <v>192</v>
      </c>
      <c r="C149" s="13">
        <f>ROUND(365/C147*C148, 2)</f>
        <v>52.29</v>
      </c>
      <c r="D149" s="13">
        <f t="shared" ref="D149:G149" si="31">ROUND(365/D147*D148, 2)</f>
        <v>56.74</v>
      </c>
      <c r="E149" s="13">
        <f t="shared" si="31"/>
        <v>66.22</v>
      </c>
      <c r="F149" s="13">
        <f t="shared" si="31"/>
        <v>69.61</v>
      </c>
      <c r="G149" s="13">
        <f t="shared" si="31"/>
        <v>46.6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2073.46</v>
      </c>
      <c r="D150" s="13">
        <f>Income_Statement!D17</f>
        <v>1780.46</v>
      </c>
      <c r="E150" s="13">
        <f>Income_Statement!E17</f>
        <v>1207.0999999999999</v>
      </c>
      <c r="F150" s="13">
        <f>Income_Statement!F17</f>
        <v>741.5</v>
      </c>
      <c r="G150" s="13">
        <f>Income_Statement!G17</f>
        <v>3844.36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441.51</v>
      </c>
      <c r="D151" s="13">
        <f>Balance_Sheet!D33</f>
        <v>246.41</v>
      </c>
      <c r="E151" s="13">
        <f>Balance_Sheet!E33</f>
        <v>158.06</v>
      </c>
      <c r="F151" s="13">
        <f>Balance_Sheet!F33</f>
        <v>252.16000000000003</v>
      </c>
      <c r="G151" s="13">
        <f>Balance_Sheet!G33</f>
        <v>396.96000000000004</v>
      </c>
    </row>
    <row r="152" spans="2:12" ht="18.75" x14ac:dyDescent="0.25">
      <c r="B152" s="12" t="s">
        <v>194</v>
      </c>
      <c r="C152" s="13">
        <f>ROUND(365/C150*C151, 2)</f>
        <v>77.72</v>
      </c>
      <c r="D152" s="13">
        <f t="shared" ref="D152:G152" si="32">ROUND(365/D150*D151, 2)</f>
        <v>50.51</v>
      </c>
      <c r="E152" s="13">
        <f t="shared" si="32"/>
        <v>47.79</v>
      </c>
      <c r="F152" s="13">
        <f t="shared" si="32"/>
        <v>124.12</v>
      </c>
      <c r="G152" s="13">
        <f t="shared" si="32"/>
        <v>37.69</v>
      </c>
    </row>
    <row r="153" spans="2:12" ht="18.75" x14ac:dyDescent="0.25">
      <c r="B153" s="12" t="s">
        <v>200</v>
      </c>
      <c r="C153" s="13">
        <f>ROUND(C152+C149, 2)</f>
        <v>130.01</v>
      </c>
      <c r="D153" s="13">
        <f t="shared" ref="D153:G153" si="33">ROUND(D152+D149, 2)</f>
        <v>107.25</v>
      </c>
      <c r="E153" s="13">
        <f t="shared" si="33"/>
        <v>114.01</v>
      </c>
      <c r="F153" s="13">
        <f t="shared" si="33"/>
        <v>193.73</v>
      </c>
      <c r="G153" s="13">
        <f t="shared" si="33"/>
        <v>84.29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2073.46</v>
      </c>
      <c r="D154" s="13">
        <f>Income_Statement!D17</f>
        <v>1780.46</v>
      </c>
      <c r="E154" s="13">
        <f>Income_Statement!E17</f>
        <v>1207.0999999999999</v>
      </c>
      <c r="F154" s="13">
        <f>Income_Statement!F17</f>
        <v>741.5</v>
      </c>
      <c r="G154" s="13">
        <f>Income_Statement!G17</f>
        <v>3844.36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441.51</v>
      </c>
      <c r="D155" s="13">
        <f>Balance_Sheet!D33</f>
        <v>246.41</v>
      </c>
      <c r="E155" s="13">
        <f>Balance_Sheet!E33</f>
        <v>158.06</v>
      </c>
      <c r="F155" s="13">
        <f>Balance_Sheet!F33</f>
        <v>252.16000000000003</v>
      </c>
      <c r="G155" s="13">
        <f>Balance_Sheet!G33</f>
        <v>396.96000000000004</v>
      </c>
      <c r="I155" s="35"/>
      <c r="J155" s="36"/>
      <c r="K155" s="36"/>
      <c r="L155" s="37"/>
    </row>
    <row r="156" spans="2:12" ht="18.75" x14ac:dyDescent="0.25">
      <c r="B156" s="12" t="s">
        <v>194</v>
      </c>
      <c r="C156" s="13">
        <f>ROUND(365/C154*C155, 2)</f>
        <v>77.72</v>
      </c>
      <c r="D156" s="13">
        <f t="shared" ref="D156:G156" si="34">ROUND(365/D154*D155, 2)</f>
        <v>50.51</v>
      </c>
      <c r="E156" s="13">
        <f t="shared" si="34"/>
        <v>47.79</v>
      </c>
      <c r="F156" s="13">
        <f t="shared" si="34"/>
        <v>124.12</v>
      </c>
      <c r="G156" s="13">
        <f t="shared" si="34"/>
        <v>37.69</v>
      </c>
      <c r="I156" s="38"/>
      <c r="J156" s="39"/>
      <c r="K156" s="39"/>
      <c r="L156" s="40"/>
    </row>
    <row r="157" spans="2:12" ht="19.5" thickBot="1" x14ac:dyDescent="0.3">
      <c r="B157" s="14" t="s">
        <v>201</v>
      </c>
      <c r="C157" s="16">
        <f>ROUND(C156-C153, 2)</f>
        <v>-52.29</v>
      </c>
      <c r="D157" s="16">
        <f t="shared" ref="D157:G157" si="35">ROUND(D156-D153, 2)</f>
        <v>-56.74</v>
      </c>
      <c r="E157" s="16">
        <f t="shared" si="35"/>
        <v>-66.22</v>
      </c>
      <c r="F157" s="16">
        <f t="shared" si="35"/>
        <v>-69.61</v>
      </c>
      <c r="G157" s="16">
        <f t="shared" si="35"/>
        <v>-46.6</v>
      </c>
      <c r="I157" s="41"/>
      <c r="J157" s="42"/>
      <c r="K157" s="42"/>
      <c r="L157" s="43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E8B5F715-2A09-4167-B827-42EE4D0274E4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7CCD7649-1375-49F3-BD9E-4E2FA645C00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20F811AE-62F1-4479-931B-FCF9E15F60D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6ECD1BEF-3932-4EAC-9BDC-58D805FFDC5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07906B0D-B80D-49EA-A3BF-D55F259F1D9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18173201-CC67-4AAE-9469-EBE8F3F1D0A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27B23653-4BCF-436B-8264-A7A7DFCA2DB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7FED4077-EE8E-40A8-910E-D9541C3E19A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B8402176-3FD4-48C9-83CC-B87731B6619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F7CFD826-53BF-46DA-85AA-34BC57C7CA7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706E8213-1CD2-4EC4-84CD-7313B50F364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5EA72D96-B8D7-4C3C-96AE-4D2AA8DF6AF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0404ACDB-1F6A-4812-88A9-0755E31EC47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244BBD87-CA33-42AC-A395-3D89762D166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AA65D9FB-23B5-459B-8F35-D5D150D4861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CDABF51C-305B-4605-98E9-1463A03D04F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77BE8F1F-9354-4DBC-99D0-FAC746F5E3F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B949FE95-B47C-42CB-A5F3-7090A0A885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99C15327-D72D-4461-9F02-09050A03BFA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A4DBD293-D4F7-4F3C-A871-1E70D54E196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BEA2DAC8-3C70-4563-B457-099FEB785F4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4501B20F-D321-48CA-940F-F5A53A5D774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1EF4DCAA-4DBB-486E-A3C3-86D97686C46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2438FBCF-8D80-4499-AF15-C538ACDC651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3CFF35B5-8DBE-417C-806D-EDF9E13329E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610A485F-C9BC-4D79-9B38-860F40CEBEA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6163F8B5-5FBF-4CBC-B300-2C2B7627A03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430000BA-EC20-4ACB-8619-0357A813E13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31502-B6C8-4963-B6B8-C92E9C9102EB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8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145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1390.4721075382265</v>
      </c>
      <c r="D6" s="13">
        <f>Income_Statement!D49</f>
        <v>1415.1112492483915</v>
      </c>
      <c r="E6" s="13">
        <f>Income_Statement!E49</f>
        <v>1380.2987225428601</v>
      </c>
      <c r="F6" s="13">
        <f>Income_Statement!F49</f>
        <v>1513.7870154339546</v>
      </c>
      <c r="G6" s="13">
        <f>Income_Statement!G49</f>
        <v>62.901761403333737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20.44811922850333</v>
      </c>
      <c r="D7" s="13">
        <f>Income_Statement!D61</f>
        <v>19.654322906227659</v>
      </c>
      <c r="E7" s="13">
        <f>Income_Statement!E61</f>
        <v>34.507468063571501</v>
      </c>
      <c r="F7" s="13">
        <f>Income_Statement!F61</f>
        <v>37.844675385848866</v>
      </c>
      <c r="G7" s="13">
        <f>Income_Statement!G61</f>
        <v>1.0661315492090464</v>
      </c>
    </row>
    <row r="8" spans="2:15" ht="18.75" x14ac:dyDescent="0.25">
      <c r="B8" s="14" t="s">
        <v>146</v>
      </c>
      <c r="C8" s="14">
        <f>ROUND(C6/C7, 2)</f>
        <v>68</v>
      </c>
      <c r="D8" s="14">
        <f t="shared" ref="D8:G8" si="0">ROUND(D6/D7, 2)</f>
        <v>72</v>
      </c>
      <c r="E8" s="14">
        <f t="shared" si="0"/>
        <v>40</v>
      </c>
      <c r="F8" s="14">
        <f t="shared" si="0"/>
        <v>40</v>
      </c>
      <c r="G8" s="14">
        <f t="shared" si="0"/>
        <v>59</v>
      </c>
    </row>
  </sheetData>
  <mergeCells count="1">
    <mergeCell ref="B5:G5"/>
  </mergeCells>
  <hyperlinks>
    <hyperlink ref="F1" location="Index_Data!A1" tooltip="Hi click here To return Index page" display="Index_Data!A1" xr:uid="{24771EDA-A456-4668-B7F6-C7FAD12371E7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BB48C-3CAE-4EE1-A209-70EF5B21DF9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8.42578125" bestFit="1" customWidth="1"/>
    <col min="7" max="7" width="8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147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2.4</v>
      </c>
      <c r="D6" s="13">
        <f>Income_Statement!D51</f>
        <v>2.4</v>
      </c>
      <c r="E6" s="13">
        <f>Income_Statement!E51</f>
        <v>2.4</v>
      </c>
      <c r="F6" s="13">
        <f>Income_Statement!F51</f>
        <v>2.4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20.44811922850333</v>
      </c>
      <c r="D7" s="13">
        <f>Income_Statement!D61</f>
        <v>19.654322906227659</v>
      </c>
      <c r="E7" s="13">
        <f>Income_Statement!E61</f>
        <v>34.507468063571501</v>
      </c>
      <c r="F7" s="13">
        <f>Income_Statement!F61</f>
        <v>37.844675385848866</v>
      </c>
      <c r="G7" s="13">
        <f>Income_Statement!G61</f>
        <v>1.0661315492090464</v>
      </c>
    </row>
    <row r="8" spans="2:15" ht="18.75" x14ac:dyDescent="0.25">
      <c r="B8" s="14" t="s">
        <v>148</v>
      </c>
      <c r="C8" s="14">
        <f>ROUND(C6/C7, 2)</f>
        <v>0.12</v>
      </c>
      <c r="D8" s="14">
        <f t="shared" ref="D8:G8" si="0">ROUND(D6/D7, 2)</f>
        <v>0.12</v>
      </c>
      <c r="E8" s="14">
        <f t="shared" si="0"/>
        <v>7.0000000000000007E-2</v>
      </c>
      <c r="F8" s="14">
        <f t="shared" si="0"/>
        <v>0.06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5882B316-B58A-43AD-9273-123DD3239857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2022-07-03T10:57:17Z</dcterms:created>
  <dcterms:modified xsi:type="dcterms:W3CDTF">2022-07-04T07:51:25Z</dcterms:modified>
</cp:coreProperties>
</file>