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97721CE8-3857-4697-894F-453495757935}" xr6:coauthVersionLast="47" xr6:coauthVersionMax="47" xr10:uidLastSave="{00000000-0000-0000-0000-000000000000}"/>
  <bookViews>
    <workbookView xWindow="-120" yWindow="-120" windowWidth="20730" windowHeight="11160" firstSheet="2" activeTab="2" xr2:uid="{5C8B854A-3E29-450F-837D-7AB6C6415B8E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H47" i="3"/>
  <c r="I64" i="3"/>
  <c r="J64" i="3"/>
  <c r="K64" i="3"/>
  <c r="L64" i="3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H46" i="5" s="1"/>
  <c r="H47" i="5" s="1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K33" i="3" s="1"/>
  <c r="L31" i="3"/>
  <c r="L7" i="5" s="1"/>
  <c r="H31" i="3"/>
  <c r="H44" i="4" s="1"/>
  <c r="I62" i="3"/>
  <c r="J62" i="3" s="1"/>
  <c r="K62" i="3" s="1"/>
  <c r="L62" i="3" s="1"/>
  <c r="H62" i="3"/>
  <c r="D62" i="3"/>
  <c r="E62" i="3"/>
  <c r="F62" i="3"/>
  <c r="G62" i="3"/>
  <c r="C62" i="3"/>
  <c r="I46" i="5"/>
  <c r="I47" i="5" s="1"/>
  <c r="J46" i="5"/>
  <c r="J47" i="5" s="1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L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I10" i="5" s="1"/>
  <c r="J8" i="5"/>
  <c r="J10" i="5" s="1"/>
  <c r="K8" i="5"/>
  <c r="L8" i="5"/>
  <c r="H7" i="5"/>
  <c r="H10" i="5" s="1"/>
  <c r="I7" i="5"/>
  <c r="J7" i="5"/>
  <c r="K7" i="5"/>
  <c r="K10" i="5" s="1"/>
  <c r="L66" i="4"/>
  <c r="H66" i="4"/>
  <c r="I67" i="4"/>
  <c r="J67" i="4" s="1"/>
  <c r="K67" i="4" s="1"/>
  <c r="L67" i="4" s="1"/>
  <c r="H67" i="4"/>
  <c r="L64" i="4"/>
  <c r="H64" i="4"/>
  <c r="I65" i="4"/>
  <c r="J65" i="4" s="1"/>
  <c r="K65" i="4" s="1"/>
  <c r="L65" i="4" s="1"/>
  <c r="H65" i="4"/>
  <c r="K62" i="4"/>
  <c r="L62" i="4"/>
  <c r="H62" i="4"/>
  <c r="I63" i="4"/>
  <c r="J63" i="4" s="1"/>
  <c r="K63" i="4" s="1"/>
  <c r="L63" i="4" s="1"/>
  <c r="H63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H52" i="4"/>
  <c r="I53" i="4"/>
  <c r="I52" i="4" s="1"/>
  <c r="H53" i="4"/>
  <c r="L50" i="4"/>
  <c r="H50" i="4"/>
  <c r="I51" i="4"/>
  <c r="J51" i="4" s="1"/>
  <c r="K51" i="4" s="1"/>
  <c r="L51" i="4" s="1"/>
  <c r="H51" i="4"/>
  <c r="L48" i="4"/>
  <c r="H48" i="4"/>
  <c r="I49" i="4"/>
  <c r="J49" i="4" s="1"/>
  <c r="K49" i="4" s="1"/>
  <c r="L49" i="4" s="1"/>
  <c r="H49" i="4"/>
  <c r="L42" i="4"/>
  <c r="H42" i="4"/>
  <c r="I43" i="4"/>
  <c r="J43" i="4" s="1"/>
  <c r="K43" i="4" s="1"/>
  <c r="L43" i="4" s="1"/>
  <c r="H43" i="4"/>
  <c r="L40" i="4"/>
  <c r="H40" i="4"/>
  <c r="I41" i="4"/>
  <c r="J41" i="4" s="1"/>
  <c r="K41" i="4" s="1"/>
  <c r="L41" i="4" s="1"/>
  <c r="H41" i="4"/>
  <c r="L35" i="4"/>
  <c r="H35" i="4"/>
  <c r="I36" i="4"/>
  <c r="J36" i="4" s="1"/>
  <c r="K36" i="4" s="1"/>
  <c r="L36" i="4" s="1"/>
  <c r="H36" i="4"/>
  <c r="L31" i="4"/>
  <c r="H31" i="4"/>
  <c r="I32" i="4"/>
  <c r="I31" i="4" s="1"/>
  <c r="J32" i="4"/>
  <c r="K32" i="4" s="1"/>
  <c r="L32" i="4" s="1"/>
  <c r="H32" i="4"/>
  <c r="L29" i="4"/>
  <c r="H29" i="4"/>
  <c r="I30" i="4"/>
  <c r="I29" i="4" s="1"/>
  <c r="J30" i="4"/>
  <c r="K30" i="4" s="1"/>
  <c r="L30" i="4" s="1"/>
  <c r="H30" i="4"/>
  <c r="L27" i="4"/>
  <c r="H27" i="4"/>
  <c r="I28" i="4"/>
  <c r="J28" i="4" s="1"/>
  <c r="K28" i="4" s="1"/>
  <c r="L28" i="4" s="1"/>
  <c r="H28" i="4"/>
  <c r="L25" i="4"/>
  <c r="H25" i="4"/>
  <c r="I26" i="4"/>
  <c r="I25" i="4" s="1"/>
  <c r="J26" i="4"/>
  <c r="K26" i="4" s="1"/>
  <c r="L26" i="4" s="1"/>
  <c r="H26" i="4"/>
  <c r="L23" i="4"/>
  <c r="L33" i="4" s="1"/>
  <c r="L34" i="4" s="1"/>
  <c r="H23" i="4"/>
  <c r="H33" i="4" s="1"/>
  <c r="H34" i="4" s="1"/>
  <c r="I24" i="4"/>
  <c r="J24" i="4" s="1"/>
  <c r="K24" i="4" s="1"/>
  <c r="L24" i="4" s="1"/>
  <c r="H24" i="4"/>
  <c r="K21" i="4"/>
  <c r="L21" i="4"/>
  <c r="H21" i="4"/>
  <c r="I22" i="4"/>
  <c r="J22" i="4" s="1"/>
  <c r="K22" i="4" s="1"/>
  <c r="L22" i="4" s="1"/>
  <c r="H22" i="4"/>
  <c r="H19" i="4"/>
  <c r="I20" i="4"/>
  <c r="I19" i="4" s="1"/>
  <c r="J20" i="4"/>
  <c r="J19" i="4" s="1"/>
  <c r="K20" i="4"/>
  <c r="L20" i="4" s="1"/>
  <c r="L19" i="4" s="1"/>
  <c r="H20" i="4"/>
  <c r="L17" i="4"/>
  <c r="H17" i="4"/>
  <c r="I18" i="4"/>
  <c r="J18" i="4" s="1"/>
  <c r="K18" i="4" s="1"/>
  <c r="L18" i="4" s="1"/>
  <c r="H18" i="4"/>
  <c r="K15" i="4"/>
  <c r="L15" i="4"/>
  <c r="H15" i="4"/>
  <c r="I16" i="4"/>
  <c r="J16" i="4" s="1"/>
  <c r="K16" i="4" s="1"/>
  <c r="L16" i="4" s="1"/>
  <c r="H16" i="4"/>
  <c r="H13" i="4"/>
  <c r="I13" i="4"/>
  <c r="J13" i="4"/>
  <c r="K13" i="4"/>
  <c r="K14" i="4" s="1"/>
  <c r="L13" i="4"/>
  <c r="H14" i="4"/>
  <c r="I14" i="4"/>
  <c r="J14" i="4"/>
  <c r="L14" i="4"/>
  <c r="H9" i="4"/>
  <c r="I9" i="4"/>
  <c r="J9" i="4"/>
  <c r="K9" i="4"/>
  <c r="L9" i="4"/>
  <c r="H10" i="4"/>
  <c r="I10" i="4"/>
  <c r="J10" i="4"/>
  <c r="K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H68" i="4"/>
  <c r="I69" i="4"/>
  <c r="J69" i="4" s="1"/>
  <c r="K69" i="4" s="1"/>
  <c r="L69" i="4" s="1"/>
  <c r="H69" i="4"/>
  <c r="L53" i="3"/>
  <c r="H53" i="3"/>
  <c r="I54" i="3"/>
  <c r="J54" i="3" s="1"/>
  <c r="K54" i="3" s="1"/>
  <c r="L54" i="3" s="1"/>
  <c r="H54" i="3"/>
  <c r="L51" i="3"/>
  <c r="H51" i="3"/>
  <c r="I52" i="3"/>
  <c r="J52" i="3" s="1"/>
  <c r="K52" i="3" s="1"/>
  <c r="L52" i="3" s="1"/>
  <c r="H52" i="3"/>
  <c r="L43" i="3"/>
  <c r="H43" i="3"/>
  <c r="I44" i="3"/>
  <c r="J44" i="3" s="1"/>
  <c r="K44" i="3" s="1"/>
  <c r="L44" i="3" s="1"/>
  <c r="H44" i="3"/>
  <c r="H39" i="3"/>
  <c r="I40" i="3"/>
  <c r="I39" i="3" s="1"/>
  <c r="J40" i="3"/>
  <c r="J39" i="3" s="1"/>
  <c r="K40" i="3"/>
  <c r="L40" i="3" s="1"/>
  <c r="L39" i="3" s="1"/>
  <c r="H40" i="3"/>
  <c r="H33" i="3"/>
  <c r="H34" i="3" s="1"/>
  <c r="I33" i="3"/>
  <c r="I37" i="3" s="1"/>
  <c r="J33" i="3"/>
  <c r="J37" i="3" s="1"/>
  <c r="I34" i="3"/>
  <c r="J34" i="3"/>
  <c r="H29" i="3"/>
  <c r="I29" i="3"/>
  <c r="J29" i="3"/>
  <c r="K29" i="3"/>
  <c r="L29" i="3"/>
  <c r="H30" i="3"/>
  <c r="I30" i="3"/>
  <c r="J30" i="3"/>
  <c r="K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L21" i="3"/>
  <c r="H21" i="3"/>
  <c r="I22" i="3"/>
  <c r="J22" i="3" s="1"/>
  <c r="K22" i="3" s="1"/>
  <c r="L22" i="3" s="1"/>
  <c r="H22" i="3"/>
  <c r="H19" i="3"/>
  <c r="I20" i="3"/>
  <c r="I19" i="3" s="1"/>
  <c r="J20" i="3"/>
  <c r="J19" i="3" s="1"/>
  <c r="K20" i="3"/>
  <c r="L20" i="3" s="1"/>
  <c r="L19" i="3" s="1"/>
  <c r="H20" i="3"/>
  <c r="K17" i="3"/>
  <c r="L17" i="3"/>
  <c r="H17" i="3"/>
  <c r="I18" i="3"/>
  <c r="J18" i="3" s="1"/>
  <c r="K18" i="3" s="1"/>
  <c r="L18" i="3" s="1"/>
  <c r="H18" i="3"/>
  <c r="H15" i="3"/>
  <c r="I15" i="3"/>
  <c r="J15" i="3"/>
  <c r="K15" i="3"/>
  <c r="K16" i="3" s="1"/>
  <c r="L15" i="3"/>
  <c r="H16" i="3"/>
  <c r="I16" i="3"/>
  <c r="J16" i="3"/>
  <c r="L16" i="3"/>
  <c r="K13" i="3"/>
  <c r="L13" i="3"/>
  <c r="H13" i="3"/>
  <c r="I14" i="3"/>
  <c r="J14" i="3" s="1"/>
  <c r="K14" i="3" s="1"/>
  <c r="L14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L9" i="3"/>
  <c r="H10" i="3"/>
  <c r="I10" i="3"/>
  <c r="J10" i="3"/>
  <c r="K10" i="3"/>
  <c r="L10" i="3"/>
  <c r="L7" i="3"/>
  <c r="H7" i="3"/>
  <c r="I8" i="3"/>
  <c r="J8" i="3" s="1"/>
  <c r="K8" i="3" s="1"/>
  <c r="L8" i="3" s="1"/>
  <c r="H8" i="3"/>
  <c r="H6" i="3"/>
  <c r="J6" i="3"/>
  <c r="I5" i="3"/>
  <c r="J5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F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F7" i="5"/>
  <c r="F10" i="5" s="1"/>
  <c r="G7" i="5"/>
  <c r="G10" i="5" s="1"/>
  <c r="D7" i="5"/>
  <c r="D10" i="5" s="1"/>
  <c r="D33" i="4"/>
  <c r="D6" i="41" s="1"/>
  <c r="E33" i="4"/>
  <c r="E10" i="32" s="1"/>
  <c r="F33" i="4"/>
  <c r="G33" i="4"/>
  <c r="G6" i="36" s="1"/>
  <c r="D21" i="4"/>
  <c r="D6" i="17" s="1"/>
  <c r="E21" i="4"/>
  <c r="E62" i="6" s="1"/>
  <c r="F21" i="4"/>
  <c r="F62" i="6" s="1"/>
  <c r="G21" i="4"/>
  <c r="G6" i="17" s="1"/>
  <c r="D9" i="4"/>
  <c r="E9" i="4"/>
  <c r="F9" i="4"/>
  <c r="G9" i="4"/>
  <c r="C72" i="4"/>
  <c r="C67" i="6" s="1"/>
  <c r="C46" i="4"/>
  <c r="C54" i="4" s="1"/>
  <c r="C33" i="4"/>
  <c r="C119" i="6" s="1"/>
  <c r="C120" i="6" s="1"/>
  <c r="C21" i="4"/>
  <c r="C6" i="17" s="1"/>
  <c r="C9" i="4"/>
  <c r="C13" i="4" s="1"/>
  <c r="C7" i="17" s="1"/>
  <c r="D25" i="3"/>
  <c r="D5" i="44" s="1"/>
  <c r="E25" i="3"/>
  <c r="E26" i="3" s="1"/>
  <c r="F25" i="3"/>
  <c r="F26" i="3" s="1"/>
  <c r="G25" i="3"/>
  <c r="G26" i="3" s="1"/>
  <c r="D9" i="3"/>
  <c r="E9" i="3"/>
  <c r="F9" i="3"/>
  <c r="F10" i="3" s="1"/>
  <c r="G9" i="3"/>
  <c r="G10" i="3" s="1"/>
  <c r="C25" i="3"/>
  <c r="C42" i="6" s="1"/>
  <c r="C9" i="3"/>
  <c r="C10" i="3" s="1"/>
  <c r="L37" i="4" l="1"/>
  <c r="L38" i="4" s="1"/>
  <c r="H37" i="4"/>
  <c r="H38" i="4" s="1"/>
  <c r="L10" i="5"/>
  <c r="K34" i="3"/>
  <c r="K37" i="3"/>
  <c r="J41" i="3"/>
  <c r="J38" i="3"/>
  <c r="I38" i="3"/>
  <c r="I41" i="3"/>
  <c r="L33" i="3"/>
  <c r="I44" i="4"/>
  <c r="H45" i="4"/>
  <c r="H37" i="3"/>
  <c r="H46" i="4"/>
  <c r="H47" i="4"/>
  <c r="H54" i="4"/>
  <c r="H55" i="4" s="1"/>
  <c r="L68" i="4"/>
  <c r="I68" i="4"/>
  <c r="K68" i="4"/>
  <c r="J68" i="4"/>
  <c r="K66" i="4"/>
  <c r="J66" i="4"/>
  <c r="I66" i="4"/>
  <c r="K64" i="4"/>
  <c r="J64" i="4"/>
  <c r="I64" i="4"/>
  <c r="J62" i="4"/>
  <c r="I62" i="4"/>
  <c r="K58" i="4"/>
  <c r="J58" i="4"/>
  <c r="I58" i="4"/>
  <c r="K56" i="4"/>
  <c r="J56" i="4"/>
  <c r="I56" i="4"/>
  <c r="J53" i="4"/>
  <c r="K50" i="4"/>
  <c r="J50" i="4"/>
  <c r="I50" i="4"/>
  <c r="K48" i="4"/>
  <c r="J48" i="4"/>
  <c r="I48" i="4"/>
  <c r="K42" i="4"/>
  <c r="J42" i="4"/>
  <c r="I42" i="4"/>
  <c r="K40" i="4"/>
  <c r="J40" i="4"/>
  <c r="I40" i="4"/>
  <c r="I46" i="4" s="1"/>
  <c r="K35" i="4"/>
  <c r="J35" i="4"/>
  <c r="I35" i="4"/>
  <c r="J31" i="4"/>
  <c r="K31" i="4"/>
  <c r="K29" i="4"/>
  <c r="J29" i="4"/>
  <c r="K27" i="4"/>
  <c r="J27" i="4"/>
  <c r="I27" i="4"/>
  <c r="K25" i="4"/>
  <c r="J25" i="4"/>
  <c r="K23" i="4"/>
  <c r="J23" i="4"/>
  <c r="I23" i="4"/>
  <c r="I33" i="4" s="1"/>
  <c r="I34" i="4" s="1"/>
  <c r="J21" i="4"/>
  <c r="I21" i="4"/>
  <c r="I37" i="4" s="1"/>
  <c r="I38" i="4" s="1"/>
  <c r="K19" i="4"/>
  <c r="K17" i="4"/>
  <c r="J17" i="4"/>
  <c r="I17" i="4"/>
  <c r="J15" i="4"/>
  <c r="I15" i="4"/>
  <c r="K80" i="4"/>
  <c r="L80" i="4" s="1"/>
  <c r="K53" i="3"/>
  <c r="J53" i="3"/>
  <c r="I53" i="3"/>
  <c r="K51" i="3"/>
  <c r="J51" i="3"/>
  <c r="I51" i="3"/>
  <c r="K43" i="3"/>
  <c r="J43" i="3"/>
  <c r="I43" i="3"/>
  <c r="K39" i="3"/>
  <c r="K23" i="3"/>
  <c r="J23" i="3"/>
  <c r="I23" i="3"/>
  <c r="K21" i="3"/>
  <c r="J21" i="3"/>
  <c r="I21" i="3"/>
  <c r="K19" i="3"/>
  <c r="J17" i="3"/>
  <c r="I17" i="3"/>
  <c r="J13" i="3"/>
  <c r="I13" i="3"/>
  <c r="K11" i="3"/>
  <c r="J11" i="3"/>
  <c r="I11" i="3"/>
  <c r="K7" i="3"/>
  <c r="J7" i="3"/>
  <c r="I7" i="3"/>
  <c r="I6" i="3"/>
  <c r="K5" i="3"/>
  <c r="E10" i="5"/>
  <c r="C26" i="3"/>
  <c r="D26" i="3"/>
  <c r="C43" i="6"/>
  <c r="D8" i="25"/>
  <c r="D8" i="26"/>
  <c r="D8" i="27"/>
  <c r="G8" i="29"/>
  <c r="C8" i="29"/>
  <c r="F8" i="31"/>
  <c r="F8" i="32"/>
  <c r="E8" i="33"/>
  <c r="C15" i="3"/>
  <c r="C16" i="3" s="1"/>
  <c r="F8" i="12"/>
  <c r="E10" i="3"/>
  <c r="E15" i="3" s="1"/>
  <c r="E16" i="3" s="1"/>
  <c r="E38" i="6"/>
  <c r="F105" i="6"/>
  <c r="F110" i="6"/>
  <c r="F115" i="6"/>
  <c r="E125" i="6"/>
  <c r="D135" i="6"/>
  <c r="D140" i="6"/>
  <c r="G149" i="6"/>
  <c r="C149" i="6"/>
  <c r="E8" i="12"/>
  <c r="D10" i="3"/>
  <c r="D15" i="3" s="1"/>
  <c r="D16" i="3" s="1"/>
  <c r="D38" i="6"/>
  <c r="D105" i="6"/>
  <c r="D110" i="6"/>
  <c r="D115" i="6"/>
  <c r="G125" i="6"/>
  <c r="C125" i="6"/>
  <c r="F135" i="6"/>
  <c r="F140" i="6"/>
  <c r="E149" i="6"/>
  <c r="F8" i="25"/>
  <c r="F8" i="26"/>
  <c r="F8" i="27"/>
  <c r="E8" i="29"/>
  <c r="D8" i="31"/>
  <c r="D8" i="32"/>
  <c r="G8" i="33"/>
  <c r="C8" i="33"/>
  <c r="F38" i="6"/>
  <c r="D42" i="6"/>
  <c r="D43" i="6" s="1"/>
  <c r="E105" i="6"/>
  <c r="E110" i="6"/>
  <c r="E115" i="6"/>
  <c r="D125" i="6"/>
  <c r="G135" i="6"/>
  <c r="C135" i="6"/>
  <c r="G140" i="6"/>
  <c r="C140" i="6"/>
  <c r="F149" i="6"/>
  <c r="G8" i="12"/>
  <c r="C8" i="12"/>
  <c r="D8" i="12"/>
  <c r="F8" i="33"/>
  <c r="E7" i="13"/>
  <c r="E8" i="13" s="1"/>
  <c r="E42" i="6"/>
  <c r="E43" i="6" s="1"/>
  <c r="E5" i="44"/>
  <c r="E7" i="21"/>
  <c r="E8" i="21" s="1"/>
  <c r="E84" i="6"/>
  <c r="E85" i="6" s="1"/>
  <c r="D84" i="6"/>
  <c r="D85" i="6" s="1"/>
  <c r="D7" i="13"/>
  <c r="D8" i="13" s="1"/>
  <c r="D7" i="21"/>
  <c r="D8" i="21" s="1"/>
  <c r="G7" i="21"/>
  <c r="G8" i="21" s="1"/>
  <c r="G84" i="6"/>
  <c r="G85" i="6" s="1"/>
  <c r="G15" i="3"/>
  <c r="G16" i="3" s="1"/>
  <c r="G5" i="44"/>
  <c r="G7" i="13"/>
  <c r="G8" i="13" s="1"/>
  <c r="G38" i="6"/>
  <c r="C38" i="6"/>
  <c r="C5" i="44"/>
  <c r="C7" i="13"/>
  <c r="C8" i="13" s="1"/>
  <c r="C7" i="21"/>
  <c r="C8" i="21" s="1"/>
  <c r="C84" i="6"/>
  <c r="C85" i="6" s="1"/>
  <c r="F7" i="21"/>
  <c r="F8" i="21" s="1"/>
  <c r="F84" i="6"/>
  <c r="F85" i="6" s="1"/>
  <c r="F15" i="3"/>
  <c r="F16" i="3" s="1"/>
  <c r="F7" i="13"/>
  <c r="F8" i="13" s="1"/>
  <c r="F42" i="6"/>
  <c r="F43" i="6" s="1"/>
  <c r="G42" i="6"/>
  <c r="G43" i="6" s="1"/>
  <c r="F5" i="44"/>
  <c r="E8" i="25"/>
  <c r="E8" i="26"/>
  <c r="E8" i="27"/>
  <c r="D8" i="29"/>
  <c r="G8" i="31"/>
  <c r="C8" i="31"/>
  <c r="G8" i="32"/>
  <c r="C8" i="32"/>
  <c r="C90" i="6"/>
  <c r="G105" i="6"/>
  <c r="C105" i="6"/>
  <c r="G110" i="6"/>
  <c r="C110" i="6"/>
  <c r="G115" i="6"/>
  <c r="C115" i="6"/>
  <c r="F125" i="6"/>
  <c r="E135" i="6"/>
  <c r="E140" i="6"/>
  <c r="D149" i="6"/>
  <c r="C8" i="22"/>
  <c r="G8" i="25"/>
  <c r="C8" i="25"/>
  <c r="G8" i="26"/>
  <c r="C8" i="26"/>
  <c r="G8" i="27"/>
  <c r="C8" i="27"/>
  <c r="F8" i="29"/>
  <c r="E8" i="31"/>
  <c r="E8" i="32"/>
  <c r="D8" i="33"/>
  <c r="E35" i="47"/>
  <c r="E30" i="47"/>
  <c r="F35" i="47"/>
  <c r="F30" i="47"/>
  <c r="C35" i="47"/>
  <c r="C30" i="47"/>
  <c r="G35" i="47"/>
  <c r="G30" i="47"/>
  <c r="D30" i="47"/>
  <c r="D35" i="47"/>
  <c r="D46" i="4"/>
  <c r="G129" i="6"/>
  <c r="G130" i="6" s="1"/>
  <c r="E11" i="32"/>
  <c r="F35" i="5"/>
  <c r="C72" i="6"/>
  <c r="C129" i="6"/>
  <c r="C130" i="6" s="1"/>
  <c r="E35" i="5"/>
  <c r="G35" i="5"/>
  <c r="F47" i="5"/>
  <c r="C53" i="6"/>
  <c r="G62" i="6"/>
  <c r="G68" i="6"/>
  <c r="E46" i="4"/>
  <c r="E47" i="5"/>
  <c r="G47" i="5"/>
  <c r="D47" i="5"/>
  <c r="D52" i="6"/>
  <c r="C62" i="6"/>
  <c r="C68" i="6"/>
  <c r="C69" i="6" s="1"/>
  <c r="E74" i="6"/>
  <c r="C8" i="17"/>
  <c r="G44" i="4"/>
  <c r="F46" i="4"/>
  <c r="C74" i="4"/>
  <c r="C71" i="4" s="1"/>
  <c r="C6" i="42"/>
  <c r="F10" i="32"/>
  <c r="F11" i="32" s="1"/>
  <c r="F6" i="41"/>
  <c r="F10" i="33"/>
  <c r="F11" i="33" s="1"/>
  <c r="F7" i="28"/>
  <c r="F8" i="28" s="1"/>
  <c r="F6" i="36"/>
  <c r="E119" i="6"/>
  <c r="E120" i="6" s="1"/>
  <c r="F142" i="6"/>
  <c r="F143" i="6" s="1"/>
  <c r="D155" i="6"/>
  <c r="D156" i="6" s="1"/>
  <c r="G7" i="15"/>
  <c r="F8" i="19"/>
  <c r="D7" i="28"/>
  <c r="D8" i="28" s="1"/>
  <c r="F7" i="30"/>
  <c r="F8" i="30" s="1"/>
  <c r="C6" i="40"/>
  <c r="G52" i="6"/>
  <c r="C52" i="6"/>
  <c r="F68" i="6"/>
  <c r="D74" i="6"/>
  <c r="D119" i="6"/>
  <c r="D120" i="6" s="1"/>
  <c r="F129" i="6"/>
  <c r="F130" i="6" s="1"/>
  <c r="E142" i="6"/>
  <c r="E143" i="6" s="1"/>
  <c r="F151" i="6"/>
  <c r="F152" i="6" s="1"/>
  <c r="E7" i="15"/>
  <c r="D8" i="19"/>
  <c r="F14" i="33"/>
  <c r="F15" i="33" s="1"/>
  <c r="F6" i="40"/>
  <c r="F7" i="15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7" i="18"/>
  <c r="E151" i="6"/>
  <c r="E152" i="6" s="1"/>
  <c r="C6" i="43"/>
  <c r="C6" i="19"/>
  <c r="C5" i="36"/>
  <c r="D6" i="40"/>
  <c r="D7" i="15"/>
  <c r="D6" i="36"/>
  <c r="D14" i="33"/>
  <c r="D15" i="33" s="1"/>
  <c r="D7" i="30"/>
  <c r="D8" i="30" s="1"/>
  <c r="D10" i="32"/>
  <c r="D11" i="32" s="1"/>
  <c r="F52" i="6"/>
  <c r="C58" i="6"/>
  <c r="E68" i="6"/>
  <c r="G74" i="6"/>
  <c r="C74" i="6"/>
  <c r="G119" i="6"/>
  <c r="G120" i="6" s="1"/>
  <c r="E129" i="6"/>
  <c r="E130" i="6" s="1"/>
  <c r="D142" i="6"/>
  <c r="D143" i="6" s="1"/>
  <c r="D151" i="6"/>
  <c r="D152" i="6" s="1"/>
  <c r="C6" i="9"/>
  <c r="C7" i="15"/>
  <c r="F7" i="18"/>
  <c r="C6" i="18"/>
  <c r="D10" i="33"/>
  <c r="D11" i="33" s="1"/>
  <c r="C37" i="4"/>
  <c r="C5" i="34"/>
  <c r="C8" i="15"/>
  <c r="C7" i="16"/>
  <c r="E6" i="40"/>
  <c r="E6" i="17"/>
  <c r="D35" i="5"/>
  <c r="C14" i="33"/>
  <c r="C15" i="33" s="1"/>
  <c r="C7" i="30"/>
  <c r="C8" i="30" s="1"/>
  <c r="C7" i="18"/>
  <c r="C151" i="6"/>
  <c r="C152" i="6" s="1"/>
  <c r="C10" i="32"/>
  <c r="C11" i="32" s="1"/>
  <c r="C12" i="32" s="1"/>
  <c r="C6" i="41"/>
  <c r="C10" i="33"/>
  <c r="C11" i="33" s="1"/>
  <c r="C7" i="28"/>
  <c r="C8" i="28" s="1"/>
  <c r="C8" i="19"/>
  <c r="C155" i="6"/>
  <c r="C156" i="6" s="1"/>
  <c r="G14" i="33"/>
  <c r="G15" i="33" s="1"/>
  <c r="G7" i="30"/>
  <c r="G8" i="30" s="1"/>
  <c r="G7" i="18"/>
  <c r="G151" i="6"/>
  <c r="G152" i="6" s="1"/>
  <c r="G10" i="32"/>
  <c r="G11" i="32" s="1"/>
  <c r="G6" i="41"/>
  <c r="G10" i="33"/>
  <c r="G11" i="33" s="1"/>
  <c r="G7" i="28"/>
  <c r="G8" i="28" s="1"/>
  <c r="G8" i="19"/>
  <c r="G155" i="6"/>
  <c r="G156" i="6" s="1"/>
  <c r="C16" i="6"/>
  <c r="E52" i="6"/>
  <c r="C63" i="6"/>
  <c r="D62" i="6"/>
  <c r="D68" i="6"/>
  <c r="F74" i="6"/>
  <c r="F119" i="6"/>
  <c r="F120" i="6" s="1"/>
  <c r="D129" i="6"/>
  <c r="D130" i="6" s="1"/>
  <c r="G142" i="6"/>
  <c r="G143" i="6" s="1"/>
  <c r="G144" i="6" s="1"/>
  <c r="C142" i="6"/>
  <c r="C143" i="6" s="1"/>
  <c r="F155" i="6"/>
  <c r="F156" i="6" s="1"/>
  <c r="F6" i="17"/>
  <c r="D7" i="18"/>
  <c r="C6" i="36"/>
  <c r="G6" i="40"/>
  <c r="E25" i="46"/>
  <c r="K38" i="3" l="1"/>
  <c r="K41" i="3"/>
  <c r="I45" i="3"/>
  <c r="I42" i="3"/>
  <c r="L34" i="3"/>
  <c r="L37" i="3"/>
  <c r="J42" i="3"/>
  <c r="J45" i="3"/>
  <c r="J44" i="4"/>
  <c r="I45" i="4"/>
  <c r="H41" i="3"/>
  <c r="H38" i="3"/>
  <c r="I47" i="4"/>
  <c r="I54" i="4"/>
  <c r="I55" i="4" s="1"/>
  <c r="J46" i="4"/>
  <c r="J33" i="4"/>
  <c r="J34" i="4" s="1"/>
  <c r="K33" i="4"/>
  <c r="K53" i="4"/>
  <c r="J52" i="4"/>
  <c r="L5" i="3"/>
  <c r="L6" i="3" s="1"/>
  <c r="K6" i="3"/>
  <c r="E12" i="33"/>
  <c r="D12" i="32"/>
  <c r="C27" i="3"/>
  <c r="C6" i="39"/>
  <c r="C6" i="44"/>
  <c r="C12" i="33"/>
  <c r="F12" i="32"/>
  <c r="G153" i="6"/>
  <c r="G157" i="6" s="1"/>
  <c r="E153" i="6"/>
  <c r="E157" i="6" s="1"/>
  <c r="C153" i="6"/>
  <c r="E27" i="3"/>
  <c r="E6" i="39"/>
  <c r="E6" i="44"/>
  <c r="D6" i="44"/>
  <c r="D27" i="3"/>
  <c r="D6" i="39"/>
  <c r="D144" i="6"/>
  <c r="G12" i="32"/>
  <c r="F153" i="6"/>
  <c r="F157" i="6" s="1"/>
  <c r="C144" i="6"/>
  <c r="E144" i="6"/>
  <c r="G12" i="33"/>
  <c r="G16" i="33" s="1"/>
  <c r="D12" i="33"/>
  <c r="D16" i="33" s="1"/>
  <c r="F144" i="6"/>
  <c r="F12" i="33"/>
  <c r="F16" i="33" s="1"/>
  <c r="E12" i="32"/>
  <c r="D153" i="6"/>
  <c r="D157" i="6" s="1"/>
  <c r="G6" i="44"/>
  <c r="G6" i="39"/>
  <c r="G27" i="3"/>
  <c r="F6" i="44"/>
  <c r="F6" i="39"/>
  <c r="F27" i="3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F54" i="4"/>
  <c r="D54" i="4"/>
  <c r="E54" i="4"/>
  <c r="C47" i="4"/>
  <c r="G46" i="4"/>
  <c r="C41" i="4"/>
  <c r="C43" i="4"/>
  <c r="C38" i="4"/>
  <c r="C34" i="4"/>
  <c r="C36" i="4"/>
  <c r="C30" i="4"/>
  <c r="C32" i="4"/>
  <c r="C26" i="4"/>
  <c r="C28" i="4"/>
  <c r="C22" i="4"/>
  <c r="C24" i="4"/>
  <c r="C18" i="4"/>
  <c r="C20" i="4"/>
  <c r="C14" i="4"/>
  <c r="C16" i="4"/>
  <c r="C75" i="6"/>
  <c r="C10" i="4"/>
  <c r="C12" i="4"/>
  <c r="C8" i="18"/>
  <c r="C6" i="4"/>
  <c r="C8" i="4"/>
  <c r="C64" i="6"/>
  <c r="C5" i="42"/>
  <c r="C7" i="24"/>
  <c r="C8" i="24" s="1"/>
  <c r="C7" i="14"/>
  <c r="C99" i="6"/>
  <c r="C100" i="6" s="1"/>
  <c r="C47" i="6"/>
  <c r="C5" i="43"/>
  <c r="C157" i="6"/>
  <c r="C5" i="41"/>
  <c r="C6" i="34"/>
  <c r="C5" i="40"/>
  <c r="C16" i="33"/>
  <c r="C9" i="19"/>
  <c r="E16" i="33"/>
  <c r="E26" i="46"/>
  <c r="E30" i="46" s="1"/>
  <c r="F25" i="46"/>
  <c r="I5" i="5" l="1"/>
  <c r="I27" i="5" s="1"/>
  <c r="I48" i="5" s="1"/>
  <c r="I46" i="3"/>
  <c r="I49" i="3"/>
  <c r="L41" i="3"/>
  <c r="L38" i="3"/>
  <c r="K42" i="3"/>
  <c r="K45" i="3"/>
  <c r="J46" i="3"/>
  <c r="J5" i="5"/>
  <c r="J27" i="5" s="1"/>
  <c r="J48" i="5" s="1"/>
  <c r="J49" i="3"/>
  <c r="H45" i="3"/>
  <c r="H42" i="3"/>
  <c r="K44" i="4"/>
  <c r="J45" i="4"/>
  <c r="J54" i="4"/>
  <c r="J55" i="4" s="1"/>
  <c r="J47" i="4"/>
  <c r="K34" i="4"/>
  <c r="K37" i="4"/>
  <c r="K38" i="4" s="1"/>
  <c r="J37" i="4"/>
  <c r="J38" i="4" s="1"/>
  <c r="L53" i="4"/>
  <c r="L52" i="4" s="1"/>
  <c r="K52" i="4"/>
  <c r="G29" i="3"/>
  <c r="G30" i="3" s="1"/>
  <c r="G28" i="3"/>
  <c r="F29" i="3"/>
  <c r="F30" i="3" s="1"/>
  <c r="F28" i="3"/>
  <c r="D29" i="3"/>
  <c r="D28" i="3"/>
  <c r="E29" i="3"/>
  <c r="E33" i="3" s="1"/>
  <c r="E34" i="3" s="1"/>
  <c r="E28" i="3"/>
  <c r="C29" i="3"/>
  <c r="C30" i="3" s="1"/>
  <c r="C28" i="3"/>
  <c r="D33" i="3"/>
  <c r="G5" i="35"/>
  <c r="G33" i="3"/>
  <c r="G34" i="3" s="1"/>
  <c r="E6" i="42"/>
  <c r="D6" i="42"/>
  <c r="F6" i="42"/>
  <c r="G54" i="4"/>
  <c r="F26" i="46"/>
  <c r="F30" i="46" s="1"/>
  <c r="G25" i="46"/>
  <c r="G26" i="46" s="1"/>
  <c r="G30" i="46" s="1"/>
  <c r="L45" i="3" l="1"/>
  <c r="L42" i="3"/>
  <c r="K46" i="3"/>
  <c r="K49" i="3"/>
  <c r="K5" i="5"/>
  <c r="K27" i="5" s="1"/>
  <c r="K48" i="5" s="1"/>
  <c r="J55" i="3"/>
  <c r="J56" i="3" s="1"/>
  <c r="J50" i="3"/>
  <c r="I55" i="3"/>
  <c r="I56" i="3" s="1"/>
  <c r="I50" i="3"/>
  <c r="L44" i="4"/>
  <c r="K45" i="4"/>
  <c r="K46" i="4"/>
  <c r="K47" i="4" s="1"/>
  <c r="H46" i="3"/>
  <c r="H5" i="5"/>
  <c r="H27" i="5" s="1"/>
  <c r="H48" i="5" s="1"/>
  <c r="H70" i="4" s="1"/>
  <c r="H49" i="3"/>
  <c r="F33" i="3"/>
  <c r="F34" i="3" s="1"/>
  <c r="D51" i="6"/>
  <c r="D54" i="6" s="1"/>
  <c r="D34" i="3"/>
  <c r="E6" i="35"/>
  <c r="E6" i="15"/>
  <c r="E9" i="15" s="1"/>
  <c r="E37" i="3"/>
  <c r="E51" i="6"/>
  <c r="E54" i="6" s="1"/>
  <c r="F5" i="35"/>
  <c r="E5" i="35"/>
  <c r="E30" i="3"/>
  <c r="E78" i="6"/>
  <c r="E80" i="6" s="1"/>
  <c r="D6" i="15"/>
  <c r="D9" i="15" s="1"/>
  <c r="D78" i="6"/>
  <c r="D80" i="6" s="1"/>
  <c r="E6" i="20"/>
  <c r="E8" i="20" s="1"/>
  <c r="D5" i="35"/>
  <c r="D30" i="3"/>
  <c r="D37" i="3"/>
  <c r="D6" i="20"/>
  <c r="D8" i="20" s="1"/>
  <c r="D6" i="35"/>
  <c r="C5" i="35"/>
  <c r="C33" i="3"/>
  <c r="C34" i="3" s="1"/>
  <c r="F6" i="15"/>
  <c r="F9" i="15" s="1"/>
  <c r="F51" i="6"/>
  <c r="F54" i="6" s="1"/>
  <c r="F6" i="20"/>
  <c r="F8" i="20" s="1"/>
  <c r="F78" i="6"/>
  <c r="F80" i="6" s="1"/>
  <c r="F37" i="3"/>
  <c r="F6" i="35"/>
  <c r="G6" i="35"/>
  <c r="G6" i="15"/>
  <c r="G9" i="15" s="1"/>
  <c r="G51" i="6"/>
  <c r="G54" i="6" s="1"/>
  <c r="G6" i="20"/>
  <c r="G8" i="20" s="1"/>
  <c r="G78" i="6"/>
  <c r="G80" i="6" s="1"/>
  <c r="G37" i="3"/>
  <c r="G6" i="42"/>
  <c r="K55" i="3" l="1"/>
  <c r="K56" i="3" s="1"/>
  <c r="K50" i="3"/>
  <c r="L46" i="3"/>
  <c r="L5" i="5"/>
  <c r="L27" i="5" s="1"/>
  <c r="L48" i="5" s="1"/>
  <c r="L49" i="3"/>
  <c r="I70" i="4"/>
  <c r="H71" i="4"/>
  <c r="H72" i="4"/>
  <c r="H73" i="4" s="1"/>
  <c r="H50" i="3"/>
  <c r="H55" i="3"/>
  <c r="H56" i="3" s="1"/>
  <c r="L46" i="4"/>
  <c r="L45" i="4"/>
  <c r="K54" i="4"/>
  <c r="K55" i="4" s="1"/>
  <c r="G41" i="3"/>
  <c r="G38" i="3"/>
  <c r="F41" i="3"/>
  <c r="F38" i="3"/>
  <c r="E41" i="3"/>
  <c r="E38" i="3"/>
  <c r="D41" i="3"/>
  <c r="D38" i="3"/>
  <c r="C6" i="35"/>
  <c r="C78" i="6"/>
  <c r="C80" i="6" s="1"/>
  <c r="C6" i="20"/>
  <c r="C8" i="20" s="1"/>
  <c r="C6" i="15"/>
  <c r="C9" i="15" s="1"/>
  <c r="C37" i="3"/>
  <c r="C51" i="6"/>
  <c r="C54" i="6" s="1"/>
  <c r="L55" i="3" l="1"/>
  <c r="L56" i="3" s="1"/>
  <c r="L50" i="3"/>
  <c r="L47" i="4"/>
  <c r="L54" i="4"/>
  <c r="L55" i="4" s="1"/>
  <c r="J70" i="4"/>
  <c r="I71" i="4"/>
  <c r="I72" i="4"/>
  <c r="I73" i="4" s="1"/>
  <c r="D45" i="3"/>
  <c r="D46" i="3" s="1"/>
  <c r="D42" i="3"/>
  <c r="F45" i="3"/>
  <c r="F46" i="3" s="1"/>
  <c r="F42" i="3"/>
  <c r="E45" i="3"/>
  <c r="E46" i="3" s="1"/>
  <c r="E42" i="3"/>
  <c r="G45" i="3"/>
  <c r="G46" i="3" s="1"/>
  <c r="G42" i="3"/>
  <c r="D49" i="3"/>
  <c r="D50" i="3" s="1"/>
  <c r="C41" i="3"/>
  <c r="C38" i="3"/>
  <c r="K70" i="4" l="1"/>
  <c r="J71" i="4"/>
  <c r="J72" i="4"/>
  <c r="J73" i="4" s="1"/>
  <c r="D5" i="5"/>
  <c r="D27" i="5" s="1"/>
  <c r="D48" i="5" s="1"/>
  <c r="D70" i="4" s="1"/>
  <c r="C45" i="3"/>
  <c r="C42" i="3"/>
  <c r="G49" i="3"/>
  <c r="G50" i="3" s="1"/>
  <c r="G5" i="5"/>
  <c r="G27" i="5" s="1"/>
  <c r="G48" i="5" s="1"/>
  <c r="F5" i="5"/>
  <c r="F27" i="5" s="1"/>
  <c r="F48" i="5" s="1"/>
  <c r="F49" i="3"/>
  <c r="F50" i="3" s="1"/>
  <c r="E5" i="5"/>
  <c r="E27" i="5" s="1"/>
  <c r="E48" i="5" s="1"/>
  <c r="E49" i="3"/>
  <c r="E50" i="3" s="1"/>
  <c r="D38" i="46"/>
  <c r="D6" i="45"/>
  <c r="D9" i="10"/>
  <c r="D24" i="6"/>
  <c r="D6" i="7"/>
  <c r="D6" i="16"/>
  <c r="D6" i="6"/>
  <c r="D57" i="6"/>
  <c r="D61" i="3"/>
  <c r="D55" i="3"/>
  <c r="D6" i="14"/>
  <c r="D46" i="6"/>
  <c r="L70" i="4" l="1"/>
  <c r="K71" i="4"/>
  <c r="K72" i="4"/>
  <c r="K73" i="4" s="1"/>
  <c r="C49" i="3"/>
  <c r="C50" i="3" s="1"/>
  <c r="C46" i="3"/>
  <c r="G6" i="7"/>
  <c r="G9" i="10"/>
  <c r="G55" i="3"/>
  <c r="G5" i="45" s="1"/>
  <c r="G6" i="16"/>
  <c r="G6" i="14"/>
  <c r="G57" i="6"/>
  <c r="G24" i="6"/>
  <c r="G61" i="3"/>
  <c r="G46" i="6"/>
  <c r="G6" i="6"/>
  <c r="G6" i="45"/>
  <c r="E6" i="16"/>
  <c r="E57" i="6"/>
  <c r="E55" i="3"/>
  <c r="E5" i="45" s="1"/>
  <c r="E9" i="10"/>
  <c r="E6" i="14"/>
  <c r="E6" i="7"/>
  <c r="E61" i="3"/>
  <c r="E6" i="6"/>
  <c r="E46" i="6"/>
  <c r="E24" i="6"/>
  <c r="E6" i="45"/>
  <c r="F6" i="14"/>
  <c r="F57" i="6"/>
  <c r="F55" i="3"/>
  <c r="F5" i="45" s="1"/>
  <c r="F46" i="6"/>
  <c r="F24" i="6"/>
  <c r="F6" i="6"/>
  <c r="F6" i="7"/>
  <c r="F6" i="16"/>
  <c r="F6" i="45"/>
  <c r="F61" i="3"/>
  <c r="F9" i="10"/>
  <c r="C57" i="6"/>
  <c r="C59" i="6" s="1"/>
  <c r="C24" i="6"/>
  <c r="C6" i="6"/>
  <c r="C6" i="16"/>
  <c r="C8" i="16" s="1"/>
  <c r="C6" i="45"/>
  <c r="E38" i="46"/>
  <c r="D39" i="46"/>
  <c r="D40" i="46" s="1"/>
  <c r="D5" i="45"/>
  <c r="D8" i="46"/>
  <c r="D11" i="4"/>
  <c r="D25" i="6"/>
  <c r="D26" i="6" s="1"/>
  <c r="D7" i="7"/>
  <c r="D8" i="7" s="1"/>
  <c r="D12" i="6"/>
  <c r="D13" i="6" s="1"/>
  <c r="D7" i="10"/>
  <c r="D8" i="10" s="1"/>
  <c r="D31" i="6"/>
  <c r="D32" i="6" s="1"/>
  <c r="D33" i="6" s="1"/>
  <c r="D7" i="6"/>
  <c r="D8" i="6" s="1"/>
  <c r="D10" i="10"/>
  <c r="D7" i="8"/>
  <c r="D8" i="8" s="1"/>
  <c r="D17" i="6"/>
  <c r="D7" i="9"/>
  <c r="D7" i="11"/>
  <c r="D8" i="11" s="1"/>
  <c r="D9" i="11" s="1"/>
  <c r="D22" i="6"/>
  <c r="D23" i="6" s="1"/>
  <c r="E70" i="4"/>
  <c r="D88" i="6"/>
  <c r="D90" i="6" s="1"/>
  <c r="D93" i="6"/>
  <c r="D95" i="6" s="1"/>
  <c r="D72" i="4"/>
  <c r="D6" i="23"/>
  <c r="D8" i="23" s="1"/>
  <c r="D6" i="22"/>
  <c r="D8" i="22" s="1"/>
  <c r="D11" i="10"/>
  <c r="L71" i="4" l="1"/>
  <c r="L72" i="4"/>
  <c r="L73" i="4" s="1"/>
  <c r="D27" i="6"/>
  <c r="C55" i="3"/>
  <c r="C5" i="45" s="1"/>
  <c r="C61" i="3"/>
  <c r="C6" i="7"/>
  <c r="C6" i="14"/>
  <c r="C8" i="14" s="1"/>
  <c r="C9" i="10"/>
  <c r="C46" i="6"/>
  <c r="C48" i="6" s="1"/>
  <c r="F7" i="11"/>
  <c r="F8" i="11" s="1"/>
  <c r="F9" i="11" s="1"/>
  <c r="F7" i="9"/>
  <c r="F7" i="7"/>
  <c r="F8" i="7" s="1"/>
  <c r="F7" i="8"/>
  <c r="F8" i="8" s="1"/>
  <c r="F7" i="10"/>
  <c r="F8" i="10" s="1"/>
  <c r="F31" i="6"/>
  <c r="F32" i="6" s="1"/>
  <c r="F33" i="6" s="1"/>
  <c r="F22" i="6"/>
  <c r="F23" i="6" s="1"/>
  <c r="F17" i="6"/>
  <c r="F10" i="10"/>
  <c r="F11" i="10" s="1"/>
  <c r="F25" i="6"/>
  <c r="F26" i="6" s="1"/>
  <c r="F12" i="6"/>
  <c r="F13" i="6" s="1"/>
  <c r="F7" i="6"/>
  <c r="F8" i="6" s="1"/>
  <c r="E7" i="9"/>
  <c r="E12" i="6"/>
  <c r="E13" i="6" s="1"/>
  <c r="E7" i="11"/>
  <c r="E8" i="11" s="1"/>
  <c r="E9" i="11" s="1"/>
  <c r="E25" i="6"/>
  <c r="E26" i="6" s="1"/>
  <c r="E7" i="7"/>
  <c r="E8" i="7" s="1"/>
  <c r="E22" i="6"/>
  <c r="E23" i="6" s="1"/>
  <c r="E7" i="10"/>
  <c r="E8" i="10" s="1"/>
  <c r="E7" i="6"/>
  <c r="E8" i="6" s="1"/>
  <c r="E17" i="6"/>
  <c r="E31" i="6"/>
  <c r="E32" i="6" s="1"/>
  <c r="E33" i="6" s="1"/>
  <c r="E10" i="10"/>
  <c r="E11" i="10" s="1"/>
  <c r="E7" i="8"/>
  <c r="E8" i="8" s="1"/>
  <c r="G7" i="10"/>
  <c r="G8" i="10" s="1"/>
  <c r="G7" i="8"/>
  <c r="G8" i="8" s="1"/>
  <c r="G22" i="6"/>
  <c r="G23" i="6" s="1"/>
  <c r="G7" i="6"/>
  <c r="G8" i="6" s="1"/>
  <c r="G7" i="11"/>
  <c r="G8" i="11" s="1"/>
  <c r="G9" i="11" s="1"/>
  <c r="G7" i="9"/>
  <c r="G7" i="7"/>
  <c r="G8" i="7" s="1"/>
  <c r="G17" i="6"/>
  <c r="G31" i="6"/>
  <c r="G32" i="6" s="1"/>
  <c r="G33" i="6" s="1"/>
  <c r="G12" i="6"/>
  <c r="G13" i="6" s="1"/>
  <c r="G10" i="10"/>
  <c r="G11" i="10" s="1"/>
  <c r="G25" i="6"/>
  <c r="G26" i="6" s="1"/>
  <c r="D9" i="46"/>
  <c r="D21" i="46" s="1"/>
  <c r="E8" i="46"/>
  <c r="E93" i="6"/>
  <c r="E95" i="6" s="1"/>
  <c r="E88" i="6"/>
  <c r="E90" i="6" s="1"/>
  <c r="F70" i="4"/>
  <c r="E6" i="23"/>
  <c r="E8" i="23" s="1"/>
  <c r="E72" i="4"/>
  <c r="E6" i="22"/>
  <c r="E8" i="22" s="1"/>
  <c r="D5" i="36"/>
  <c r="D6" i="43"/>
  <c r="D6" i="18"/>
  <c r="D8" i="18" s="1"/>
  <c r="D72" i="6"/>
  <c r="D75" i="6" s="1"/>
  <c r="D6" i="19"/>
  <c r="D9" i="19" s="1"/>
  <c r="D74" i="4"/>
  <c r="D67" i="6"/>
  <c r="D69" i="6" s="1"/>
  <c r="D12" i="10"/>
  <c r="D13" i="4"/>
  <c r="E11" i="4"/>
  <c r="E39" i="46"/>
  <c r="E40" i="46" s="1"/>
  <c r="F38" i="46"/>
  <c r="G27" i="6" l="1"/>
  <c r="F27" i="6"/>
  <c r="C7" i="6"/>
  <c r="C8" i="6" s="1"/>
  <c r="C31" i="6"/>
  <c r="C32" i="6" s="1"/>
  <c r="C33" i="6" s="1"/>
  <c r="C25" i="6"/>
  <c r="C26" i="6" s="1"/>
  <c r="C12" i="6"/>
  <c r="C13" i="6" s="1"/>
  <c r="C10" i="10"/>
  <c r="C11" i="10" s="1"/>
  <c r="C7" i="8"/>
  <c r="C8" i="8" s="1"/>
  <c r="C7" i="7"/>
  <c r="C8" i="7" s="1"/>
  <c r="C7" i="11"/>
  <c r="C8" i="11" s="1"/>
  <c r="C9" i="11" s="1"/>
  <c r="C22" i="6"/>
  <c r="C23" i="6" s="1"/>
  <c r="C7" i="10"/>
  <c r="C8" i="10" s="1"/>
  <c r="C17" i="6"/>
  <c r="C18" i="6" s="1"/>
  <c r="C7" i="9"/>
  <c r="C8" i="9" s="1"/>
  <c r="E27" i="6"/>
  <c r="E12" i="10"/>
  <c r="G12" i="10"/>
  <c r="F12" i="10"/>
  <c r="F39" i="46"/>
  <c r="F40" i="46" s="1"/>
  <c r="G38" i="46"/>
  <c r="G39" i="46" s="1"/>
  <c r="G40" i="46" s="1"/>
  <c r="E13" i="4"/>
  <c r="F11" i="4"/>
  <c r="D73" i="4"/>
  <c r="D63" i="4"/>
  <c r="D22" i="4"/>
  <c r="D57" i="4"/>
  <c r="D24" i="4"/>
  <c r="D67" i="4"/>
  <c r="D34" i="4"/>
  <c r="D53" i="4"/>
  <c r="D55" i="4"/>
  <c r="D6" i="4"/>
  <c r="D49" i="4"/>
  <c r="D16" i="4"/>
  <c r="D59" i="4"/>
  <c r="D26" i="4"/>
  <c r="D7" i="24"/>
  <c r="D8" i="24" s="1"/>
  <c r="D45" i="4"/>
  <c r="D7" i="14"/>
  <c r="D8" i="14" s="1"/>
  <c r="D12" i="4"/>
  <c r="D71" i="4"/>
  <c r="D47" i="4"/>
  <c r="D5" i="43"/>
  <c r="D41" i="4"/>
  <c r="D8" i="4"/>
  <c r="D51" i="4"/>
  <c r="D18" i="4"/>
  <c r="D69" i="4"/>
  <c r="D36" i="4"/>
  <c r="D99" i="6"/>
  <c r="D100" i="6" s="1"/>
  <c r="D75" i="4"/>
  <c r="D30" i="4"/>
  <c r="D65" i="4"/>
  <c r="D32" i="4"/>
  <c r="D47" i="6"/>
  <c r="D48" i="6" s="1"/>
  <c r="D43" i="4"/>
  <c r="D10" i="4"/>
  <c r="D61" i="4"/>
  <c r="D28" i="4"/>
  <c r="D5" i="42"/>
  <c r="D20" i="4"/>
  <c r="F8" i="46"/>
  <c r="E9" i="46"/>
  <c r="E21" i="46" s="1"/>
  <c r="E74" i="4"/>
  <c r="E12" i="4" s="1"/>
  <c r="E72" i="6"/>
  <c r="E75" i="6" s="1"/>
  <c r="E6" i="18"/>
  <c r="E8" i="18" s="1"/>
  <c r="E6" i="19"/>
  <c r="E9" i="19" s="1"/>
  <c r="E6" i="43"/>
  <c r="E5" i="36"/>
  <c r="E67" i="6"/>
  <c r="E69" i="6" s="1"/>
  <c r="D6" i="9"/>
  <c r="D8" i="9" s="1"/>
  <c r="D8" i="15"/>
  <c r="D7" i="17"/>
  <c r="D8" i="17" s="1"/>
  <c r="D63" i="6"/>
  <c r="D64" i="6" s="1"/>
  <c r="D16" i="6"/>
  <c r="D18" i="6" s="1"/>
  <c r="D7" i="16"/>
  <c r="D8" i="16" s="1"/>
  <c r="D58" i="6"/>
  <c r="D59" i="6" s="1"/>
  <c r="D5" i="34"/>
  <c r="D53" i="6"/>
  <c r="D37" i="4"/>
  <c r="D14" i="4"/>
  <c r="F88" i="6"/>
  <c r="F90" i="6" s="1"/>
  <c r="F6" i="22"/>
  <c r="F8" i="22" s="1"/>
  <c r="F93" i="6"/>
  <c r="F95" i="6" s="1"/>
  <c r="F72" i="4"/>
  <c r="G70" i="4"/>
  <c r="F6" i="23"/>
  <c r="F8" i="23" s="1"/>
  <c r="C12" i="10" l="1"/>
  <c r="E73" i="4"/>
  <c r="C27" i="6"/>
  <c r="D5" i="41"/>
  <c r="D38" i="4"/>
  <c r="D6" i="34"/>
  <c r="D5" i="40"/>
  <c r="E71" i="4"/>
  <c r="E47" i="4"/>
  <c r="E41" i="4"/>
  <c r="E8" i="4"/>
  <c r="E59" i="4"/>
  <c r="E26" i="4"/>
  <c r="E99" i="6"/>
  <c r="E100" i="6" s="1"/>
  <c r="E45" i="4"/>
  <c r="E5" i="43"/>
  <c r="E75" i="4"/>
  <c r="E30" i="4"/>
  <c r="E65" i="4"/>
  <c r="E32" i="4"/>
  <c r="E7" i="24"/>
  <c r="E8" i="24" s="1"/>
  <c r="E51" i="4"/>
  <c r="E18" i="4"/>
  <c r="E69" i="4"/>
  <c r="E36" i="4"/>
  <c r="E5" i="42"/>
  <c r="E63" i="4"/>
  <c r="E22" i="4"/>
  <c r="E57" i="4"/>
  <c r="E24" i="4"/>
  <c r="E47" i="6"/>
  <c r="E48" i="6" s="1"/>
  <c r="E43" i="4"/>
  <c r="E10" i="4"/>
  <c r="E61" i="4"/>
  <c r="E28" i="4"/>
  <c r="E55" i="4"/>
  <c r="E6" i="4"/>
  <c r="E49" i="4"/>
  <c r="E16" i="4"/>
  <c r="E67" i="4"/>
  <c r="E34" i="4"/>
  <c r="E7" i="14"/>
  <c r="E8" i="14" s="1"/>
  <c r="E53" i="4"/>
  <c r="E20" i="4"/>
  <c r="E6" i="9"/>
  <c r="E8" i="9" s="1"/>
  <c r="E53" i="6"/>
  <c r="E14" i="4"/>
  <c r="E63" i="6"/>
  <c r="E64" i="6" s="1"/>
  <c r="E8" i="15"/>
  <c r="E16" i="6"/>
  <c r="E18" i="6" s="1"/>
  <c r="E58" i="6"/>
  <c r="E59" i="6" s="1"/>
  <c r="E7" i="16"/>
  <c r="E8" i="16" s="1"/>
  <c r="E7" i="17"/>
  <c r="E8" i="17" s="1"/>
  <c r="E37" i="4"/>
  <c r="E5" i="34"/>
  <c r="G93" i="6"/>
  <c r="G95" i="6" s="1"/>
  <c r="G6" i="23"/>
  <c r="G8" i="23" s="1"/>
  <c r="G72" i="4"/>
  <c r="G88" i="6"/>
  <c r="G90" i="6" s="1"/>
  <c r="G6" i="22"/>
  <c r="G8" i="22" s="1"/>
  <c r="F72" i="6"/>
  <c r="F75" i="6" s="1"/>
  <c r="F5" i="36"/>
  <c r="F6" i="43"/>
  <c r="F67" i="6"/>
  <c r="F69" i="6" s="1"/>
  <c r="F74" i="4"/>
  <c r="F73" i="4" s="1"/>
  <c r="F6" i="18"/>
  <c r="F8" i="18" s="1"/>
  <c r="F6" i="19"/>
  <c r="F9" i="19" s="1"/>
  <c r="G8" i="46"/>
  <c r="G9" i="46" s="1"/>
  <c r="G21" i="46" s="1"/>
  <c r="F9" i="46"/>
  <c r="F21" i="46" s="1"/>
  <c r="F13" i="4"/>
  <c r="G11" i="4"/>
  <c r="F12" i="4" l="1"/>
  <c r="F37" i="4"/>
  <c r="F6" i="9"/>
  <c r="F8" i="9" s="1"/>
  <c r="F7" i="16"/>
  <c r="F8" i="16" s="1"/>
  <c r="F5" i="34"/>
  <c r="F16" i="6"/>
  <c r="F18" i="6" s="1"/>
  <c r="F8" i="15"/>
  <c r="F58" i="6"/>
  <c r="F59" i="6" s="1"/>
  <c r="F63" i="6"/>
  <c r="F64" i="6" s="1"/>
  <c r="F7" i="17"/>
  <c r="F8" i="17" s="1"/>
  <c r="F14" i="4"/>
  <c r="F53" i="6"/>
  <c r="G67" i="6"/>
  <c r="G69" i="6" s="1"/>
  <c r="G6" i="18"/>
  <c r="G8" i="18" s="1"/>
  <c r="G74" i="4"/>
  <c r="G6" i="43"/>
  <c r="G72" i="6"/>
  <c r="G75" i="6" s="1"/>
  <c r="G5" i="36"/>
  <c r="G6" i="19"/>
  <c r="G9" i="19" s="1"/>
  <c r="G73" i="4"/>
  <c r="E38" i="4"/>
  <c r="E6" i="34"/>
  <c r="E5" i="41"/>
  <c r="E5" i="40"/>
  <c r="F71" i="4"/>
  <c r="F57" i="4"/>
  <c r="F24" i="4"/>
  <c r="F67" i="4"/>
  <c r="F34" i="4"/>
  <c r="F5" i="43"/>
  <c r="F45" i="4"/>
  <c r="F5" i="42"/>
  <c r="F7" i="14"/>
  <c r="F8" i="14" s="1"/>
  <c r="F6" i="4"/>
  <c r="F41" i="4"/>
  <c r="F51" i="4"/>
  <c r="F28" i="4"/>
  <c r="F55" i="4"/>
  <c r="F43" i="4"/>
  <c r="F53" i="4"/>
  <c r="F22" i="4"/>
  <c r="F75" i="4"/>
  <c r="F49" i="4"/>
  <c r="F16" i="4"/>
  <c r="F59" i="4"/>
  <c r="F26" i="4"/>
  <c r="F69" i="4"/>
  <c r="F36" i="4"/>
  <c r="F47" i="4"/>
  <c r="F63" i="4"/>
  <c r="F47" i="6"/>
  <c r="F48" i="6" s="1"/>
  <c r="F8" i="4"/>
  <c r="F61" i="4"/>
  <c r="F30" i="4"/>
  <c r="F65" i="4"/>
  <c r="F7" i="24"/>
  <c r="F8" i="24" s="1"/>
  <c r="F20" i="4"/>
  <c r="F18" i="4"/>
  <c r="F32" i="4"/>
  <c r="F10" i="4"/>
  <c r="F99" i="6"/>
  <c r="F100" i="6" s="1"/>
  <c r="G12" i="4"/>
  <c r="G13" i="4"/>
  <c r="G53" i="6" l="1"/>
  <c r="G7" i="16"/>
  <c r="G8" i="16" s="1"/>
  <c r="G6" i="9"/>
  <c r="G8" i="9" s="1"/>
  <c r="G16" i="6"/>
  <c r="G18" i="6" s="1"/>
  <c r="G37" i="4"/>
  <c r="G5" i="34"/>
  <c r="G7" i="17"/>
  <c r="G8" i="17" s="1"/>
  <c r="G63" i="6"/>
  <c r="G64" i="6" s="1"/>
  <c r="G58" i="6"/>
  <c r="G59" i="6" s="1"/>
  <c r="G14" i="4"/>
  <c r="G8" i="15"/>
  <c r="G75" i="4"/>
  <c r="G49" i="4"/>
  <c r="G16" i="4"/>
  <c r="G67" i="4"/>
  <c r="G34" i="4"/>
  <c r="G5" i="42"/>
  <c r="G53" i="4"/>
  <c r="G20" i="4"/>
  <c r="G63" i="4"/>
  <c r="G6" i="4"/>
  <c r="G41" i="4"/>
  <c r="G8" i="4"/>
  <c r="G59" i="4"/>
  <c r="G26" i="4"/>
  <c r="G47" i="6"/>
  <c r="G48" i="6" s="1"/>
  <c r="G45" i="4"/>
  <c r="G7" i="24"/>
  <c r="G8" i="24" s="1"/>
  <c r="G55" i="4"/>
  <c r="G65" i="4"/>
  <c r="G32" i="4"/>
  <c r="G99" i="6"/>
  <c r="G100" i="6" s="1"/>
  <c r="G51" i="4"/>
  <c r="G18" i="4"/>
  <c r="G69" i="4"/>
  <c r="G36" i="4"/>
  <c r="G5" i="43"/>
  <c r="G47" i="4"/>
  <c r="G28" i="4"/>
  <c r="G30" i="4"/>
  <c r="G71" i="4"/>
  <c r="G57" i="4"/>
  <c r="G24" i="4"/>
  <c r="G22" i="4"/>
  <c r="G43" i="4"/>
  <c r="G10" i="4"/>
  <c r="G61" i="4"/>
  <c r="G7" i="14"/>
  <c r="G8" i="14" s="1"/>
  <c r="F5" i="41"/>
  <c r="F38" i="4"/>
  <c r="F5" i="40"/>
  <c r="F6" i="34"/>
  <c r="G5" i="41" l="1"/>
  <c r="G38" i="4"/>
  <c r="G5" i="40"/>
  <c r="G6" i="34"/>
</calcChain>
</file>

<file path=xl/sharedStrings.xml><?xml version="1.0" encoding="utf-8"?>
<sst xmlns="http://schemas.openxmlformats.org/spreadsheetml/2006/main" count="720" uniqueCount="288">
  <si>
    <t>Balance Sheet of Coal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</si>
  <si>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</si>
  <si>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</si>
  <si>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</si>
  <si>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</si>
  <si>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</si>
  <si>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</si>
  <si>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</si>
  <si>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</si>
  <si>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</si>
  <si>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</si>
  <si>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</si>
  <si>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</si>
  <si>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</si>
  <si>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</si>
  <si>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</si>
  <si>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</si>
  <si>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</si>
  <si>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</si>
  <si>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</si>
  <si>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</si>
  <si>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</si>
  <si>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</si>
  <si>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</si>
  <si>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</si>
  <si>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</si>
  <si>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</si>
  <si>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</si>
  <si>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</si>
  <si>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</si>
  <si>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</si>
  <si>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</si>
  <si>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</si>
  <si>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</si>
  <si>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</si>
  <si>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</si>
  <si>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</si>
  <si>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</si>
  <si>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</si>
  <si>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</si>
  <si>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</si>
  <si>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</si>
  <si>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</si>
  <si>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</si>
  <si>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</si>
  <si>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</si>
  <si>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</si>
  <si>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</si>
  <si>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</si>
  <si>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</si>
  <si>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</si>
  <si>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</si>
  <si>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</si>
  <si>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</si>
  <si>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</si>
  <si>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Coal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</si>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</sst>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4" fontId="1" fillId="8" borderId="0" xfId="0" applyNumberFormat="1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0A6-4BFB-B508-45F03B375B4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0A6-4BFB-B508-45F03B375B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11</c:v>
                </c:pt>
                <c:pt idx="1">
                  <c:v>28</c:v>
                </c:pt>
                <c:pt idx="2">
                  <c:v>27</c:v>
                </c:pt>
                <c:pt idx="3">
                  <c:v>21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A6-4BFB-B508-45F03B375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49540056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540056"/>
        <c:crosses val="autoZero"/>
        <c:auto val="0"/>
        <c:lblAlgn val="ctr"/>
        <c:lblOffset val="100"/>
        <c:noMultiLvlLbl val="0"/>
      </c:catAx>
      <c:valAx>
        <c:axId val="549540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E4B-4503-AC2C-2BF37F2DACB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E4B-4503-AC2C-2BF37F2DAC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0.12</c:v>
                </c:pt>
                <c:pt idx="1">
                  <c:v>0.27</c:v>
                </c:pt>
                <c:pt idx="2">
                  <c:v>0.22</c:v>
                </c:pt>
                <c:pt idx="3">
                  <c:v>0.12</c:v>
                </c:pt>
                <c:pt idx="4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E4B-4503-AC2C-2BF37F2DA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136"/>
        <c:axId val="447842464"/>
      </c:lineChart>
      <c:catAx>
        <c:axId val="44784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2464"/>
        <c:crosses val="autoZero"/>
        <c:auto val="0"/>
        <c:lblAlgn val="ctr"/>
        <c:lblOffset val="100"/>
        <c:noMultiLvlLbl val="0"/>
      </c:catAx>
      <c:valAx>
        <c:axId val="447842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7842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17E-44E5-B07F-61F737FA0EB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17E-44E5-B07F-61F737FA0EB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17E-44E5-B07F-61F737FA0E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0.08</c:v>
                </c:pt>
                <c:pt idx="1">
                  <c:v>0.1</c:v>
                </c:pt>
                <c:pt idx="2">
                  <c:v>0.32</c:v>
                </c:pt>
                <c:pt idx="3">
                  <c:v>0.37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17E-44E5-B07F-61F737FA0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131856"/>
        <c:axId val="447134480"/>
      </c:lineChart>
      <c:catAx>
        <c:axId val="44713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134480"/>
        <c:crosses val="autoZero"/>
        <c:auto val="0"/>
        <c:lblAlgn val="ctr"/>
        <c:lblOffset val="100"/>
        <c:noMultiLvlLbl val="0"/>
      </c:catAx>
      <c:valAx>
        <c:axId val="447134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131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16A-45CA-95F6-7FD183C63CF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16A-45CA-95F6-7FD183C63CF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16A-45CA-95F6-7FD183C63C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0.83</c:v>
                </c:pt>
                <c:pt idx="1">
                  <c:v>0.87</c:v>
                </c:pt>
                <c:pt idx="2">
                  <c:v>0.93</c:v>
                </c:pt>
                <c:pt idx="3">
                  <c:v>0.84</c:v>
                </c:pt>
                <c:pt idx="4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6A-45CA-95F6-7FD183C63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133496"/>
        <c:axId val="447132184"/>
      </c:lineChart>
      <c:catAx>
        <c:axId val="447133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132184"/>
        <c:crosses val="autoZero"/>
        <c:auto val="0"/>
        <c:lblAlgn val="ctr"/>
        <c:lblOffset val="100"/>
        <c:noMultiLvlLbl val="0"/>
      </c:catAx>
      <c:valAx>
        <c:axId val="447132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133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0E1-4B01-BBEE-7365FCE9417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0E1-4B01-BBEE-7365FCE9417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0E1-4B01-BBEE-7365FCE941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0.77</c:v>
                </c:pt>
                <c:pt idx="1">
                  <c:v>0.81</c:v>
                </c:pt>
                <c:pt idx="2">
                  <c:v>0.87</c:v>
                </c:pt>
                <c:pt idx="3">
                  <c:v>0.77</c:v>
                </c:pt>
                <c:pt idx="4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E1-4B01-BBEE-7365FCE94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744024"/>
        <c:axId val="620740744"/>
      </c:lineChart>
      <c:catAx>
        <c:axId val="62074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0740744"/>
        <c:crosses val="autoZero"/>
        <c:auto val="0"/>
        <c:lblAlgn val="ctr"/>
        <c:lblOffset val="100"/>
        <c:noMultiLvlLbl val="0"/>
      </c:catAx>
      <c:valAx>
        <c:axId val="620740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0744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E1-4C6A-A552-45DDED96037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4E1-4C6A-A552-45DDED9603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20.96</c:v>
                </c:pt>
                <c:pt idx="1">
                  <c:v>78.98</c:v>
                </c:pt>
                <c:pt idx="2">
                  <c:v>33.869999999999997</c:v>
                </c:pt>
                <c:pt idx="3">
                  <c:v>16</c:v>
                </c:pt>
                <c:pt idx="4">
                  <c:v>49.09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E1-4C6A-A552-45DDED960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94440"/>
        <c:axId val="447893784"/>
      </c:lineChart>
      <c:catAx>
        <c:axId val="44789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93784"/>
        <c:crosses val="autoZero"/>
        <c:auto val="0"/>
        <c:lblAlgn val="ctr"/>
        <c:lblOffset val="100"/>
        <c:noMultiLvlLbl val="0"/>
      </c:catAx>
      <c:valAx>
        <c:axId val="447893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944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D59-4D15-8C12-DB0A6545AD4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D59-4D15-8C12-DB0A6545AD4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D59-4D15-8C12-DB0A6545AD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0.12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D59-4D15-8C12-DB0A6545A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58800"/>
        <c:axId val="555560440"/>
      </c:lineChart>
      <c:catAx>
        <c:axId val="55555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60440"/>
        <c:crosses val="autoZero"/>
        <c:auto val="0"/>
        <c:lblAlgn val="ctr"/>
        <c:lblOffset val="100"/>
        <c:noMultiLvlLbl val="0"/>
      </c:catAx>
      <c:valAx>
        <c:axId val="555560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558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47F-43E3-B1CE-8E27903F6BF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47F-43E3-B1CE-8E27903F6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1229.23</c:v>
                </c:pt>
                <c:pt idx="1">
                  <c:v>1263.78</c:v>
                </c:pt>
                <c:pt idx="2">
                  <c:v>1101.32</c:v>
                </c:pt>
                <c:pt idx="3">
                  <c:v>500.62</c:v>
                </c:pt>
                <c:pt idx="4">
                  <c:v>1494.66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47F-43E3-B1CE-8E27903F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59456"/>
        <c:axId val="555559784"/>
      </c:lineChart>
      <c:catAx>
        <c:axId val="55555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59784"/>
        <c:crosses val="autoZero"/>
        <c:auto val="0"/>
        <c:lblAlgn val="ctr"/>
        <c:lblOffset val="100"/>
        <c:noMultiLvlLbl val="0"/>
      </c:catAx>
      <c:valAx>
        <c:axId val="555559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5594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EC8-464F-ACAD-B31A9451DBF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EC8-464F-ACAD-B31A9451D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31475.07</c:v>
                </c:pt>
                <c:pt idx="1">
                  <c:v>33843.39</c:v>
                </c:pt>
                <c:pt idx="2">
                  <c:v>28823.72</c:v>
                </c:pt>
                <c:pt idx="3">
                  <c:v>13885.14</c:v>
                </c:pt>
                <c:pt idx="4">
                  <c:v>38665.4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C8-464F-ACAD-B31A9451D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4368"/>
        <c:axId val="451265352"/>
      </c:lineChart>
      <c:catAx>
        <c:axId val="45126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5352"/>
        <c:crosses val="autoZero"/>
        <c:auto val="0"/>
        <c:lblAlgn val="ctr"/>
        <c:lblOffset val="100"/>
        <c:noMultiLvlLbl val="0"/>
      </c:catAx>
      <c:valAx>
        <c:axId val="451265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4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CD3-4354-82BF-6BB4407E9E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1</c:v>
                </c:pt>
                <c:pt idx="1">
                  <c:v>1.1000000000000001</c:v>
                </c:pt>
                <c:pt idx="2">
                  <c:v>0.97</c:v>
                </c:pt>
                <c:pt idx="3">
                  <c:v>0.89</c:v>
                </c:pt>
                <c:pt idx="4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D3-4354-82BF-6BB4407E9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5648"/>
        <c:axId val="448826632"/>
      </c:lineChart>
      <c:catAx>
        <c:axId val="44882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6632"/>
        <c:crosses val="autoZero"/>
        <c:auto val="0"/>
        <c:lblAlgn val="ctr"/>
        <c:lblOffset val="100"/>
        <c:noMultiLvlLbl val="0"/>
      </c:catAx>
      <c:valAx>
        <c:axId val="44882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825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C11-4F7A-8D42-93A871BC650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C11-4F7A-8D42-93A871BC65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19.73</c:v>
                </c:pt>
                <c:pt idx="1">
                  <c:v>25.18</c:v>
                </c:pt>
                <c:pt idx="2">
                  <c:v>20.399999999999999</c:v>
                </c:pt>
                <c:pt idx="3">
                  <c:v>14.17</c:v>
                </c:pt>
                <c:pt idx="4">
                  <c:v>15.51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11-4F7A-8D42-93A871BC6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6304"/>
        <c:axId val="448826960"/>
      </c:lineChart>
      <c:catAx>
        <c:axId val="4488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6960"/>
        <c:crosses val="autoZero"/>
        <c:auto val="0"/>
        <c:lblAlgn val="ctr"/>
        <c:lblOffset val="100"/>
        <c:noMultiLvlLbl val="0"/>
      </c:catAx>
      <c:valAx>
        <c:axId val="448826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826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7F-42C1-938E-44D95F727EA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D7F-42C1-938E-44D95F727E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22.94</c:v>
                </c:pt>
                <c:pt idx="1">
                  <c:v>19.260000000000002</c:v>
                </c:pt>
                <c:pt idx="2">
                  <c:v>21.8</c:v>
                </c:pt>
                <c:pt idx="3">
                  <c:v>37.08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D7F-42C1-938E-44D95F727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248"/>
        <c:axId val="553593296"/>
      </c:lineChart>
      <c:catAx>
        <c:axId val="55359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296"/>
        <c:crosses val="autoZero"/>
        <c:auto val="0"/>
        <c:lblAlgn val="ctr"/>
        <c:lblOffset val="100"/>
        <c:noMultiLvlLbl val="0"/>
      </c:catAx>
      <c:valAx>
        <c:axId val="553593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8FF-490C-8645-57705611549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8FF-490C-8645-5770561154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14.63</c:v>
                </c:pt>
                <c:pt idx="1">
                  <c:v>25.57</c:v>
                </c:pt>
                <c:pt idx="2">
                  <c:v>9.3699999999999992</c:v>
                </c:pt>
                <c:pt idx="3">
                  <c:v>6.46</c:v>
                </c:pt>
                <c:pt idx="4">
                  <c:v>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FF-490C-8645-577056115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813552"/>
        <c:axId val="560812568"/>
      </c:lineChart>
      <c:catAx>
        <c:axId val="56081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2568"/>
        <c:crosses val="autoZero"/>
        <c:auto val="0"/>
        <c:lblAlgn val="ctr"/>
        <c:lblOffset val="100"/>
        <c:noMultiLvlLbl val="0"/>
      </c:catAx>
      <c:valAx>
        <c:axId val="560812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813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5.28</c:v>
                </c:pt>
                <c:pt idx="1">
                  <c:v>4.93</c:v>
                </c:pt>
                <c:pt idx="2">
                  <c:v>4.18</c:v>
                </c:pt>
                <c:pt idx="3">
                  <c:v>3.36</c:v>
                </c:pt>
                <c:pt idx="4">
                  <c:v>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04-4839-B80A-9F6BC52A4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7616"/>
        <c:axId val="632059256"/>
      </c:lineChart>
      <c:catAx>
        <c:axId val="44882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9256"/>
        <c:crosses val="autoZero"/>
        <c:auto val="0"/>
        <c:lblAlgn val="ctr"/>
        <c:lblOffset val="100"/>
        <c:noMultiLvlLbl val="0"/>
      </c:catAx>
      <c:valAx>
        <c:axId val="632059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8276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CAC-4BC0-87B1-590802A6A62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CAC-4BC0-87B1-590802A6A62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CAC-4BC0-87B1-590802A6A6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  <c:pt idx="3">
                  <c:v>0.09</c:v>
                </c:pt>
                <c:pt idx="4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AC-4BC0-87B1-590802A6A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80344"/>
        <c:axId val="106877064"/>
      </c:lineChart>
      <c:catAx>
        <c:axId val="10688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6877064"/>
        <c:crosses val="autoZero"/>
        <c:auto val="0"/>
        <c:lblAlgn val="ctr"/>
        <c:lblOffset val="100"/>
        <c:noMultiLvlLbl val="0"/>
      </c:catAx>
      <c:valAx>
        <c:axId val="106877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68803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A4F-4D8F-A5CA-A1E2FE46194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A4F-4D8F-A5CA-A1E2FE4619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18.5</c:v>
                </c:pt>
                <c:pt idx="1">
                  <c:v>14.5</c:v>
                </c:pt>
                <c:pt idx="2">
                  <c:v>17.899999999999999</c:v>
                </c:pt>
                <c:pt idx="3">
                  <c:v>25.76</c:v>
                </c:pt>
                <c:pt idx="4">
                  <c:v>23.54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4F-4D8F-A5CA-A1E2FE461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060568"/>
        <c:axId val="632058272"/>
      </c:lineChart>
      <c:catAx>
        <c:axId val="632060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8272"/>
        <c:crosses val="autoZero"/>
        <c:auto val="0"/>
        <c:lblAlgn val="ctr"/>
        <c:lblOffset val="100"/>
        <c:noMultiLvlLbl val="0"/>
      </c:catAx>
      <c:valAx>
        <c:axId val="632058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060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689-4F6D-A816-3CA9754A1EF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689-4F6D-A816-3CA9754A1EF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689-4F6D-A816-3CA9754A1E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4130.05</c:v>
                </c:pt>
                <c:pt idx="1">
                  <c:v>3870.7</c:v>
                </c:pt>
                <c:pt idx="2">
                  <c:v>4242.83</c:v>
                </c:pt>
                <c:pt idx="3">
                  <c:v>4262.51</c:v>
                </c:pt>
                <c:pt idx="4">
                  <c:v>5114.45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89-4F6D-A816-3CA9754A1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5024"/>
        <c:axId val="555560112"/>
      </c:lineChart>
      <c:catAx>
        <c:axId val="45126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60112"/>
        <c:crosses val="autoZero"/>
        <c:auto val="0"/>
        <c:lblAlgn val="ctr"/>
        <c:lblOffset val="100"/>
        <c:noMultiLvlLbl val="0"/>
      </c:catAx>
      <c:valAx>
        <c:axId val="555560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5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554-42EF-A233-6E7FED2D9AE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554-42EF-A233-6E7FED2D9A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24.94</c:v>
                </c:pt>
                <c:pt idx="1">
                  <c:v>14.27</c:v>
                </c:pt>
                <c:pt idx="2">
                  <c:v>38.96</c:v>
                </c:pt>
                <c:pt idx="3">
                  <c:v>56.49</c:v>
                </c:pt>
                <c:pt idx="4">
                  <c:v>37.82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54-42EF-A233-6E7FED2D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39000"/>
        <c:axId val="553942608"/>
      </c:lineChart>
      <c:catAx>
        <c:axId val="553939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942608"/>
        <c:crosses val="autoZero"/>
        <c:auto val="0"/>
        <c:lblAlgn val="ctr"/>
        <c:lblOffset val="100"/>
        <c:noMultiLvlLbl val="0"/>
      </c:catAx>
      <c:valAx>
        <c:axId val="553942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939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AA4-4D7C-B919-1A24A90B4A9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A4-4D7C-B919-1A24A90B4A9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AA4-4D7C-B919-1A24A90B4A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4148.55</c:v>
                </c:pt>
                <c:pt idx="1">
                  <c:v>3885.2</c:v>
                </c:pt>
                <c:pt idx="2">
                  <c:v>4260.7299999999996</c:v>
                </c:pt>
                <c:pt idx="3">
                  <c:v>4288.2700000000004</c:v>
                </c:pt>
                <c:pt idx="4">
                  <c:v>5137.99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A4-4D7C-B919-1A24A90B4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825928"/>
        <c:axId val="361823960"/>
      </c:lineChart>
      <c:catAx>
        <c:axId val="36182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3960"/>
        <c:crosses val="autoZero"/>
        <c:auto val="0"/>
        <c:lblAlgn val="ctr"/>
        <c:lblOffset val="100"/>
        <c:noMultiLvlLbl val="0"/>
      </c:catAx>
      <c:valAx>
        <c:axId val="361823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18259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40F-4517-88C4-6AD3EF830A6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40F-4517-88C4-6AD3EF830A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-18.5</c:v>
                </c:pt>
                <c:pt idx="1">
                  <c:v>-14.5</c:v>
                </c:pt>
                <c:pt idx="2">
                  <c:v>-17.899999999999999</c:v>
                </c:pt>
                <c:pt idx="3">
                  <c:v>-25.76</c:v>
                </c:pt>
                <c:pt idx="4">
                  <c:v>-23.54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0F-4517-88C4-6AD3EF830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825272"/>
        <c:axId val="361826584"/>
      </c:lineChart>
      <c:catAx>
        <c:axId val="36182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6584"/>
        <c:crosses val="autoZero"/>
        <c:auto val="0"/>
        <c:lblAlgn val="ctr"/>
        <c:lblOffset val="100"/>
        <c:noMultiLvlLbl val="0"/>
      </c:catAx>
      <c:valAx>
        <c:axId val="361826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18252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19846.57</c:v>
                </c:pt>
                <c:pt idx="1">
                  <c:v>21647.312472991332</c:v>
                </c:pt>
                <c:pt idx="2">
                  <c:v>21130.199832269751</c:v>
                </c:pt>
                <c:pt idx="3">
                  <c:v>17790.102104849575</c:v>
                </c:pt>
                <c:pt idx="4">
                  <c:v>37590.197693177353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76-4854-8656-7F3A0DC79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838008"/>
        <c:axId val="44783636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127491.73</c:v>
                </c:pt>
                <c:pt idx="1">
                  <c:v>127912.22247299131</c:v>
                </c:pt>
                <c:pt idx="2">
                  <c:v>139300.75983226974</c:v>
                </c:pt>
                <c:pt idx="3">
                  <c:v>143052.43210484958</c:v>
                </c:pt>
                <c:pt idx="4">
                  <c:v>174690.48769317736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76-4854-8656-7F3A0DC79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838008"/>
        <c:axId val="447836368"/>
      </c:lineChart>
      <c:catAx>
        <c:axId val="44783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36368"/>
        <c:crosses val="autoZero"/>
        <c:auto val="1"/>
        <c:lblAlgn val="ctr"/>
        <c:lblOffset val="100"/>
        <c:noMultiLvlLbl val="0"/>
      </c:catAx>
      <c:valAx>
        <c:axId val="4478363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380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12115.499119584085</c:v>
                </c:pt>
                <c:pt idx="1">
                  <c:v>25172.712472991334</c:v>
                </c:pt>
                <c:pt idx="2">
                  <c:v>20484.977359278419</c:v>
                </c:pt>
                <c:pt idx="3">
                  <c:v>14024.022272579823</c:v>
                </c:pt>
                <c:pt idx="4">
                  <c:v>31008.115588327782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95-4F79-B76E-7309FF5F8909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9049.1191195840838</c:v>
                </c:pt>
                <c:pt idx="1">
                  <c:v>21722.352472991333</c:v>
                </c:pt>
                <c:pt idx="2">
                  <c:v>17034.137359278418</c:v>
                </c:pt>
                <c:pt idx="3">
                  <c:v>10315.102272579823</c:v>
                </c:pt>
                <c:pt idx="4">
                  <c:v>26579.445588327784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95-4F79-B76E-7309FF5F8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79360"/>
        <c:axId val="449422720"/>
      </c:barChart>
      <c:catAx>
        <c:axId val="10687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2720"/>
        <c:crosses val="autoZero"/>
        <c:auto val="1"/>
        <c:lblAlgn val="ctr"/>
        <c:lblOffset val="100"/>
        <c:noMultiLvlLbl val="0"/>
      </c:catAx>
      <c:valAx>
        <c:axId val="449422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68793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7B-4141-B725-143B0C9B915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67B-4141-B725-143B0C9B915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67B-4141-B725-143B0C9B9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44.46</c:v>
                </c:pt>
                <c:pt idx="1">
                  <c:v>51.43</c:v>
                </c:pt>
                <c:pt idx="2">
                  <c:v>62.28</c:v>
                </c:pt>
                <c:pt idx="3">
                  <c:v>85.62</c:v>
                </c:pt>
                <c:pt idx="4">
                  <c:v>53.16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7B-4141-B725-143B0C9B9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4800"/>
        <c:axId val="627515128"/>
      </c:lineChart>
      <c:catAx>
        <c:axId val="62751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4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88119.26999999999</c:v>
                </c:pt>
                <c:pt idx="1">
                  <c:v>89994.432472991321</c:v>
                </c:pt>
                <c:pt idx="2">
                  <c:v>103617.50983226976</c:v>
                </c:pt>
                <c:pt idx="3">
                  <c:v>99509.252104849569</c:v>
                </c:pt>
                <c:pt idx="4">
                  <c:v>120448.79769317736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1A-4605-B213-BC3438F4913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105751.77</c:v>
                </c:pt>
                <c:pt idx="1">
                  <c:v>103655.38999999998</c:v>
                </c:pt>
                <c:pt idx="2">
                  <c:v>111043.45</c:v>
                </c:pt>
                <c:pt idx="3">
                  <c:v>118223.88</c:v>
                </c:pt>
                <c:pt idx="4">
                  <c:v>132305.72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1A-4605-B213-BC3438F49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913448"/>
        <c:axId val="364914760"/>
      </c:barChart>
      <c:catAx>
        <c:axId val="36491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914760"/>
        <c:crosses val="autoZero"/>
        <c:auto val="1"/>
        <c:lblAlgn val="ctr"/>
        <c:lblOffset val="100"/>
        <c:noMultiLvlLbl val="0"/>
      </c:catAx>
      <c:valAx>
        <c:axId val="364914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9134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49903.1</c:v>
                </c:pt>
                <c:pt idx="1">
                  <c:v>52419.56</c:v>
                </c:pt>
                <c:pt idx="2">
                  <c:v>60223.45</c:v>
                </c:pt>
                <c:pt idx="3">
                  <c:v>63178.61</c:v>
                </c:pt>
                <c:pt idx="4">
                  <c:v>65944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11-4752-8363-6E943D40F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183480"/>
        <c:axId val="450185776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14813.59</c:v>
                </c:pt>
                <c:pt idx="1">
                  <c:v>7136.44</c:v>
                </c:pt>
                <c:pt idx="2">
                  <c:v>6781.44</c:v>
                </c:pt>
                <c:pt idx="3">
                  <c:v>6465.9</c:v>
                </c:pt>
                <c:pt idx="4">
                  <c:v>6094.68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11-4752-8363-6E943D40F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184464"/>
        <c:axId val="450184136"/>
      </c:lineChart>
      <c:catAx>
        <c:axId val="45018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0185776"/>
        <c:crosses val="autoZero"/>
        <c:auto val="1"/>
        <c:lblAlgn val="ctr"/>
        <c:lblOffset val="100"/>
        <c:noMultiLvlLbl val="0"/>
      </c:catAx>
      <c:valAx>
        <c:axId val="450185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83480"/>
        <c:crosses val="autoZero"/>
        <c:crossBetween val="between"/>
      </c:valAx>
      <c:valAx>
        <c:axId val="4501841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0184464"/>
        <c:crosses val="max"/>
        <c:crossBetween val="between"/>
      </c:valAx>
      <c:catAx>
        <c:axId val="450184464"/>
        <c:scaling>
          <c:orientation val="minMax"/>
        </c:scaling>
        <c:delete val="1"/>
        <c:axPos val="b"/>
        <c:majorTickMark val="out"/>
        <c:minorTickMark val="none"/>
        <c:tickLblPos val="nextTo"/>
        <c:crossAx val="45018413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9345.99</c:v>
                </c:pt>
                <c:pt idx="1">
                  <c:v>9774.51</c:v>
                </c:pt>
                <c:pt idx="2">
                  <c:v>9552.7800000000007</c:v>
                </c:pt>
                <c:pt idx="3">
                  <c:v>10123.540000000001</c:v>
                </c:pt>
                <c:pt idx="4">
                  <c:v>9442.18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8-4709-8E0C-C2E59C3E9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266992"/>
        <c:axId val="62262548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12766.97</c:v>
                </c:pt>
                <c:pt idx="1">
                  <c:v>19895.59</c:v>
                </c:pt>
                <c:pt idx="2">
                  <c:v>19453.419999999998</c:v>
                </c:pt>
                <c:pt idx="3">
                  <c:v>16023.08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38-4709-8E0C-C2E59C3E9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631720"/>
        <c:axId val="622629424"/>
      </c:lineChart>
      <c:catAx>
        <c:axId val="45126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2625488"/>
        <c:crosses val="autoZero"/>
        <c:auto val="1"/>
        <c:lblAlgn val="ctr"/>
        <c:lblOffset val="100"/>
        <c:noMultiLvlLbl val="0"/>
      </c:catAx>
      <c:valAx>
        <c:axId val="622625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992"/>
        <c:crosses val="autoZero"/>
        <c:crossBetween val="between"/>
      </c:valAx>
      <c:valAx>
        <c:axId val="6226294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2631720"/>
        <c:crosses val="max"/>
        <c:crossBetween val="between"/>
      </c:valAx>
      <c:catAx>
        <c:axId val="622631720"/>
        <c:scaling>
          <c:orientation val="minMax"/>
        </c:scaling>
        <c:delete val="1"/>
        <c:axPos val="b"/>
        <c:majorTickMark val="out"/>
        <c:minorTickMark val="none"/>
        <c:tickLblPos val="nextTo"/>
        <c:crossAx val="62262942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127162.17</c:v>
                </c:pt>
                <c:pt idx="1">
                  <c:v>140603</c:v>
                </c:pt>
                <c:pt idx="2">
                  <c:v>134979.13</c:v>
                </c:pt>
                <c:pt idx="3">
                  <c:v>126786.13</c:v>
                </c:pt>
                <c:pt idx="4">
                  <c:v>109713.5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F-42AA-99B6-F6A9FD6EA05E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86358.999119584085</c:v>
                </c:pt>
                <c:pt idx="1">
                  <c:v>98770.512472991337</c:v>
                </c:pt>
                <c:pt idx="2">
                  <c:v>95479.44735927842</c:v>
                </c:pt>
                <c:pt idx="3">
                  <c:v>86503.382272579824</c:v>
                </c:pt>
                <c:pt idx="4">
                  <c:v>113619.05558832778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F-42AA-99B6-F6A9FD6EA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2625816"/>
        <c:axId val="622631392"/>
      </c:barChart>
      <c:catAx>
        <c:axId val="62262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631392"/>
        <c:crosses val="autoZero"/>
        <c:auto val="1"/>
        <c:lblAlgn val="ctr"/>
        <c:lblOffset val="100"/>
        <c:noMultiLvlLbl val="0"/>
      </c:catAx>
      <c:valAx>
        <c:axId val="622631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6258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127491.73</c:v>
                </c:pt>
                <c:pt idx="1">
                  <c:v>127912.22247299131</c:v>
                </c:pt>
                <c:pt idx="2">
                  <c:v>139300.75983226974</c:v>
                </c:pt>
                <c:pt idx="3">
                  <c:v>143052.43210484958</c:v>
                </c:pt>
                <c:pt idx="4">
                  <c:v>174690.48769317736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BE-489D-AC6A-910E4DAE2956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1530.94</c:v>
                </c:pt>
                <c:pt idx="1">
                  <c:v>2202.7399999999998</c:v>
                </c:pt>
                <c:pt idx="2">
                  <c:v>6733.03</c:v>
                </c:pt>
                <c:pt idx="3">
                  <c:v>6597.37</c:v>
                </c:pt>
                <c:pt idx="4">
                  <c:v>4120.78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BE-489D-AC6A-910E4DAE2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048992"/>
        <c:axId val="364045384"/>
      </c:barChart>
      <c:catAx>
        <c:axId val="36404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384"/>
        <c:crosses val="autoZero"/>
        <c:auto val="1"/>
        <c:lblAlgn val="ctr"/>
        <c:lblOffset val="100"/>
        <c:noMultiLvlLbl val="0"/>
      </c:catAx>
      <c:valAx>
        <c:axId val="364045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9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127491.73</c:v>
                </c:pt>
                <c:pt idx="1">
                  <c:v>127912.22247299131</c:v>
                </c:pt>
                <c:pt idx="2">
                  <c:v>139300.75983226974</c:v>
                </c:pt>
                <c:pt idx="3">
                  <c:v>143052.43210484958</c:v>
                </c:pt>
                <c:pt idx="4">
                  <c:v>174690.48769317736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11-44ED-847F-99D6AE32375D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105751.77</c:v>
                </c:pt>
                <c:pt idx="1">
                  <c:v>103655.38999999998</c:v>
                </c:pt>
                <c:pt idx="2">
                  <c:v>111043.45</c:v>
                </c:pt>
                <c:pt idx="3">
                  <c:v>118223.88</c:v>
                </c:pt>
                <c:pt idx="4">
                  <c:v>132305.72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11-44ED-847F-99D6AE323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439184"/>
        <c:axId val="449439512"/>
      </c:barChart>
      <c:catAx>
        <c:axId val="44943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9512"/>
        <c:crosses val="autoZero"/>
        <c:auto val="1"/>
        <c:lblAlgn val="ctr"/>
        <c:lblOffset val="100"/>
        <c:noMultiLvlLbl val="0"/>
      </c:catAx>
      <c:valAx>
        <c:axId val="449439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91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127491.72999999998</c:v>
                </c:pt>
                <c:pt idx="1">
                  <c:v>127912.22247299133</c:v>
                </c:pt>
                <c:pt idx="2">
                  <c:v>139300.75983226974</c:v>
                </c:pt>
                <c:pt idx="3">
                  <c:v>143052.43210484958</c:v>
                </c:pt>
                <c:pt idx="4">
                  <c:v>174690.48769317736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F7-45E1-95F5-7C7DACA0AECA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39372.46</c:v>
                </c:pt>
                <c:pt idx="1">
                  <c:v>37917.79</c:v>
                </c:pt>
                <c:pt idx="2">
                  <c:v>35683.25</c:v>
                </c:pt>
                <c:pt idx="3">
                  <c:v>43543.180000000008</c:v>
                </c:pt>
                <c:pt idx="4">
                  <c:v>54241.69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F7-45E1-95F5-7C7DACA0A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2831736"/>
        <c:axId val="622827800"/>
      </c:barChart>
      <c:catAx>
        <c:axId val="62283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27800"/>
        <c:crosses val="autoZero"/>
        <c:auto val="1"/>
        <c:lblAlgn val="ctr"/>
        <c:lblOffset val="100"/>
        <c:noMultiLvlLbl val="0"/>
      </c:catAx>
      <c:valAx>
        <c:axId val="622827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17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127491.72999999998</c:v>
                </c:pt>
                <c:pt idx="1">
                  <c:v>127912.22247299133</c:v>
                </c:pt>
                <c:pt idx="2">
                  <c:v>139300.75983226974</c:v>
                </c:pt>
                <c:pt idx="3">
                  <c:v>143052.43210484958</c:v>
                </c:pt>
                <c:pt idx="4">
                  <c:v>174690.48769317736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52-43FF-9EC0-8A1684FC6CE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88119.26999999999</c:v>
                </c:pt>
                <c:pt idx="1">
                  <c:v>89994.432472991321</c:v>
                </c:pt>
                <c:pt idx="2">
                  <c:v>103617.50983226976</c:v>
                </c:pt>
                <c:pt idx="3">
                  <c:v>99509.252104849569</c:v>
                </c:pt>
                <c:pt idx="4">
                  <c:v>120448.79769317736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52-43FF-9EC0-8A1684FC6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59512"/>
        <c:axId val="551067056"/>
      </c:barChart>
      <c:catAx>
        <c:axId val="55105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67056"/>
        <c:crosses val="autoZero"/>
        <c:auto val="1"/>
        <c:lblAlgn val="ctr"/>
        <c:lblOffset val="100"/>
        <c:noMultiLvlLbl val="0"/>
      </c:catAx>
      <c:valAx>
        <c:axId val="551067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595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74243.5</c:v>
                </c:pt>
                <c:pt idx="1">
                  <c:v>73597.8</c:v>
                </c:pt>
                <c:pt idx="2">
                  <c:v>74994.47</c:v>
                </c:pt>
                <c:pt idx="3">
                  <c:v>72479.360000000001</c:v>
                </c:pt>
                <c:pt idx="4">
                  <c:v>82610.94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B-43C6-8C2E-AD73A3219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29672"/>
        <c:axId val="104434920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86358.999119584085</c:v>
                </c:pt>
                <c:pt idx="1">
                  <c:v>98770.512472991337</c:v>
                </c:pt>
                <c:pt idx="2">
                  <c:v>95479.44735927842</c:v>
                </c:pt>
                <c:pt idx="3">
                  <c:v>86503.382272579824</c:v>
                </c:pt>
                <c:pt idx="4">
                  <c:v>113619.05558832778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8B-43C6-8C2E-AD73A3219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765592"/>
        <c:axId val="440768544"/>
      </c:lineChart>
      <c:catAx>
        <c:axId val="10442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34920"/>
        <c:crosses val="autoZero"/>
        <c:auto val="1"/>
        <c:lblAlgn val="ctr"/>
        <c:lblOffset val="100"/>
        <c:noMultiLvlLbl val="0"/>
      </c:catAx>
      <c:valAx>
        <c:axId val="104434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29672"/>
        <c:crosses val="autoZero"/>
        <c:crossBetween val="between"/>
      </c:valAx>
      <c:valAx>
        <c:axId val="4407685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0765592"/>
        <c:crosses val="max"/>
        <c:crossBetween val="between"/>
      </c:valAx>
      <c:catAx>
        <c:axId val="440765592"/>
        <c:scaling>
          <c:orientation val="minMax"/>
        </c:scaling>
        <c:delete val="1"/>
        <c:axPos val="b"/>
        <c:majorTickMark val="out"/>
        <c:minorTickMark val="none"/>
        <c:tickLblPos val="nextTo"/>
        <c:crossAx val="44076854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-7413.1408804159164</c:v>
                </c:pt>
                <c:pt idx="1">
                  <c:v>1845.4224729913319</c:v>
                </c:pt>
                <c:pt idx="2">
                  <c:v>-517.11264072157974</c:v>
                </c:pt>
                <c:pt idx="3">
                  <c:v>-3340.0977274201769</c:v>
                </c:pt>
                <c:pt idx="4">
                  <c:v>19800.095588327782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90-4371-AC52-FCD63ED85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2839608"/>
        <c:axId val="6228399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4910.6691195840831</c:v>
                </c:pt>
                <c:pt idx="1">
                  <c:v>11784.862472991332</c:v>
                </c:pt>
                <c:pt idx="2">
                  <c:v>9160.2373592784206</c:v>
                </c:pt>
                <c:pt idx="3">
                  <c:v>4363.3422725798227</c:v>
                </c:pt>
                <c:pt idx="4">
                  <c:v>19800.095588327782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90-4371-AC52-FCD63ED85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838952"/>
        <c:axId val="622842560"/>
      </c:lineChart>
      <c:catAx>
        <c:axId val="62283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9936"/>
        <c:crosses val="autoZero"/>
        <c:auto val="1"/>
        <c:lblAlgn val="ctr"/>
        <c:lblOffset val="100"/>
        <c:noMultiLvlLbl val="0"/>
      </c:catAx>
      <c:valAx>
        <c:axId val="622839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9608"/>
        <c:crosses val="autoZero"/>
        <c:crossBetween val="between"/>
      </c:valAx>
      <c:valAx>
        <c:axId val="62284256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2838952"/>
        <c:crosses val="max"/>
        <c:crossBetween val="between"/>
      </c:valAx>
      <c:catAx>
        <c:axId val="622838952"/>
        <c:scaling>
          <c:orientation val="minMax"/>
        </c:scaling>
        <c:delete val="1"/>
        <c:axPos val="b"/>
        <c:majorTickMark val="out"/>
        <c:minorTickMark val="none"/>
        <c:tickLblPos val="nextTo"/>
        <c:crossAx val="62284256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F6B-403D-9F84-4DCC0B47B57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F6B-403D-9F84-4DCC0B47B5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2.09</c:v>
                </c:pt>
                <c:pt idx="1">
                  <c:v>0.69</c:v>
                </c:pt>
                <c:pt idx="2">
                  <c:v>0.81</c:v>
                </c:pt>
                <c:pt idx="3">
                  <c:v>1.77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F6B-403D-9F84-4DCC0B47B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9848"/>
        <c:axId val="620744352"/>
      </c:lineChart>
      <c:catAx>
        <c:axId val="55364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0744352"/>
        <c:crosses val="autoZero"/>
        <c:auto val="0"/>
        <c:lblAlgn val="ctr"/>
        <c:lblOffset val="100"/>
        <c:noMultiLvlLbl val="0"/>
      </c:catAx>
      <c:valAx>
        <c:axId val="620744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9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9AE-4598-BC91-1FE665A218D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9AE-4598-BC91-1FE665A218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-21.94</c:v>
                </c:pt>
                <c:pt idx="1">
                  <c:v>-18.260000000000002</c:v>
                </c:pt>
                <c:pt idx="2">
                  <c:v>-20.8</c:v>
                </c:pt>
                <c:pt idx="3">
                  <c:v>-36.08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AE-4598-BC91-1FE665A21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2560"/>
        <c:axId val="449433544"/>
      </c:lineChart>
      <c:catAx>
        <c:axId val="44943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3544"/>
        <c:crosses val="autoZero"/>
        <c:auto val="0"/>
        <c:lblAlgn val="ctr"/>
        <c:lblOffset val="100"/>
        <c:noMultiLvlLbl val="0"/>
      </c:catAx>
      <c:valAx>
        <c:axId val="449433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32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191-4702-A761-41BFE0370B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117816.18</c:v>
                </c:pt>
                <c:pt idx="1">
                  <c:v>130828.49</c:v>
                </c:pt>
                <c:pt idx="2">
                  <c:v>125426.35</c:v>
                </c:pt>
                <c:pt idx="3">
                  <c:v>116662.59</c:v>
                </c:pt>
                <c:pt idx="4">
                  <c:v>100271.32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191-4702-A761-41BFE0370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5840"/>
        <c:axId val="449424032"/>
      </c:lineChart>
      <c:catAx>
        <c:axId val="44943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4032"/>
        <c:crosses val="autoZero"/>
        <c:auto val="0"/>
        <c:lblAlgn val="ctr"/>
        <c:lblOffset val="100"/>
        <c:noMultiLvlLbl val="0"/>
      </c:catAx>
      <c:valAx>
        <c:axId val="449424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35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87-4447-8CB8-1F6E153297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52918.67</c:v>
                </c:pt>
                <c:pt idx="1">
                  <c:v>67005.2</c:v>
                </c:pt>
                <c:pt idx="2">
                  <c:v>59984.66</c:v>
                </c:pt>
                <c:pt idx="3">
                  <c:v>54306.77</c:v>
                </c:pt>
                <c:pt idx="4">
                  <c:v>27102.560000000001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87-4447-8CB8-1F6E1532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968544"/>
        <c:axId val="451969200"/>
      </c:lineChart>
      <c:catAx>
        <c:axId val="4519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69200"/>
        <c:crosses val="autoZero"/>
        <c:auto val="0"/>
        <c:lblAlgn val="ctr"/>
        <c:lblOffset val="100"/>
        <c:noMultiLvlLbl val="0"/>
      </c:catAx>
      <c:valAx>
        <c:axId val="451969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19685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C90-4B22-8573-05A233E7EBF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C90-4B22-8573-05A233E7EB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0.04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90-4B22-8573-05A233E7E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7968"/>
        <c:axId val="449421408"/>
      </c:lineChart>
      <c:catAx>
        <c:axId val="4494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1408"/>
        <c:crosses val="autoZero"/>
        <c:auto val="0"/>
        <c:lblAlgn val="ctr"/>
        <c:lblOffset val="100"/>
        <c:noMultiLvlLbl val="0"/>
      </c:catAx>
      <c:valAx>
        <c:axId val="449421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7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194-48B1-ADBF-1EA31DCD129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94-48B1-ADBF-1EA31DCD12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2.96</c:v>
                </c:pt>
                <c:pt idx="1">
                  <c:v>4.93</c:v>
                </c:pt>
                <c:pt idx="2">
                  <c:v>1.26</c:v>
                </c:pt>
                <c:pt idx="3">
                  <c:v>0.78</c:v>
                </c:pt>
                <c:pt idx="4">
                  <c:v>3.23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94-48B1-ADBF-1EA31DCD1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0264"/>
        <c:axId val="449421736"/>
      </c:lineChart>
      <c:catAx>
        <c:axId val="44943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1736"/>
        <c:crosses val="autoZero"/>
        <c:auto val="0"/>
        <c:lblAlgn val="ctr"/>
        <c:lblOffset val="100"/>
        <c:noMultiLvlLbl val="0"/>
      </c:catAx>
      <c:valAx>
        <c:axId val="449421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30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E62966-2D63-82A9-6A06-214F658165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A6236-0570-D8E9-8F3A-CC2E0AC58B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50956-538A-907F-DD31-618A9498E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1DB05D-68D0-43ED-79F9-B372B7CFCD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2D6AD4-9174-3632-9C86-EB5FF7CEC5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4BC344-5C3A-C721-9A73-62C199F58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6BC33B-7414-24AE-9551-BE0071F86E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1C2B3D-CC6F-3387-2A62-C37CB3525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8CA80A-4CB5-2BD1-9C35-E4624A4BBA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A4587F-4A81-652F-B38C-3A06F8355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47BA2C-6A87-0AE5-7FA2-29574A0253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12F955-6FD4-2919-5776-D2962E4309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F4EF7F-9993-598F-A668-C7BA88105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2DE733-175C-F5CA-021F-57BD08A015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926A05-245B-958A-08A6-3F2FE8D4F9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758D5D-A99C-E7DE-08EF-33C0B1D216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7D71E3-99DF-FA0D-A4B0-B020C102CD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986001-8AF6-6579-8522-CDA35CD29D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AB7785-F8F2-BE99-574E-2659CD147B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5B3868-BF77-C134-BC89-2CDCAD7533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E0A2FCC0-88E1-CC7B-911C-F0CE363FCA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742F2C86-14A1-F6DC-FFCC-A106CEE717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570130-472B-7327-3857-83B78962BD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F89E5732-DC0B-0900-7BD5-B3B1082CCF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990ABA4-DA3B-3F41-7E6C-D74B1C36D8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BE0BF66C-DF79-4DDA-CB53-7F15CA315C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6F7260C5-AB6E-86A9-FA1F-31B899590E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9290D16F-EF70-C3B4-97BC-84EC809860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C1C41335-ABBC-C8F1-E28C-BD542389A9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12C222AF-BA51-227E-3DE2-3CBB57495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703FAD99-F783-0FD4-EBBD-50B8A09C43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0B9D9103-7A53-9A4D-FD2E-D17EF058CC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1B6A91C6-DDB1-0111-1852-1A64EE700F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E9A1D5-EC78-DDC2-5E19-809251028A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FDE2B2-17DE-F174-338E-95EE6F782B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2FF7F5-5691-483F-408A-E72F8AE2C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D7D25F-EE2E-755B-3C96-DB3D3C5E4A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A41AD9-743C-1AF4-0EAB-76320DFE14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D04FAF-C145-0FB6-3E4D-7BA0675F2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B21CA-CCE7-4D49-B377-F121A1D02217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 s="2">
        <v>6207.41</v>
      </c>
      <c r="D6" s="2">
        <v>6162.73</v>
      </c>
      <c r="E6" s="2">
        <v>6162.73</v>
      </c>
      <c r="F6" s="2">
        <v>6162.73</v>
      </c>
      <c r="G6" s="2">
        <v>6162.73</v>
      </c>
      <c r="H6" t="s">
        <v>1</v>
      </c>
    </row>
    <row r="7" spans="1:15" x14ac:dyDescent="0.25">
      <c r="B7" t="s">
        <v>6</v>
      </c>
      <c r="C7" s="2">
        <v>6207.41</v>
      </c>
      <c r="D7" s="2">
        <v>6162.73</v>
      </c>
      <c r="E7" s="2">
        <v>6162.73</v>
      </c>
      <c r="F7" s="2">
        <v>6162.73</v>
      </c>
      <c r="G7" s="2">
        <v>6162.73</v>
      </c>
      <c r="H7" t="s">
        <v>1</v>
      </c>
    </row>
    <row r="8" spans="1:15" x14ac:dyDescent="0.25">
      <c r="A8" t="s">
        <v>90</v>
      </c>
      <c r="B8" t="s">
        <v>7</v>
      </c>
      <c r="C8" s="2">
        <v>13639.16</v>
      </c>
      <c r="D8" s="2">
        <v>20291.189999999999</v>
      </c>
      <c r="E8" s="2">
        <v>25994.19</v>
      </c>
      <c r="F8" s="2">
        <v>30354.63</v>
      </c>
      <c r="G8" s="2">
        <v>36980.31</v>
      </c>
      <c r="H8" t="s">
        <v>1</v>
      </c>
    </row>
    <row r="9" spans="1:15" x14ac:dyDescent="0.25">
      <c r="B9" t="s">
        <v>8</v>
      </c>
      <c r="C9" s="2">
        <v>13639.16</v>
      </c>
      <c r="D9" s="2">
        <v>20291.189999999999</v>
      </c>
      <c r="E9" s="2">
        <v>25994.19</v>
      </c>
      <c r="F9" s="2">
        <v>30354.63</v>
      </c>
      <c r="G9" s="2">
        <v>36980.31</v>
      </c>
      <c r="H9" t="s">
        <v>1</v>
      </c>
    </row>
    <row r="10" spans="1:15" x14ac:dyDescent="0.25">
      <c r="B10" t="s">
        <v>9</v>
      </c>
      <c r="C10" s="2">
        <v>19846.57</v>
      </c>
      <c r="D10" s="2">
        <v>26453.919999999998</v>
      </c>
      <c r="E10" s="2">
        <v>32156.92</v>
      </c>
      <c r="F10" s="2">
        <v>36517.360000000001</v>
      </c>
      <c r="G10" s="2">
        <v>43143.040000000001</v>
      </c>
      <c r="H10" t="s">
        <v>1</v>
      </c>
    </row>
    <row r="11" spans="1:15" x14ac:dyDescent="0.25">
      <c r="A11" t="s">
        <v>10</v>
      </c>
      <c r="B11" t="s">
        <v>10</v>
      </c>
      <c r="C11">
        <v>362.45</v>
      </c>
      <c r="D11">
        <v>406.78</v>
      </c>
      <c r="E11">
        <v>394.08</v>
      </c>
      <c r="F11">
        <v>441.08</v>
      </c>
      <c r="G11">
        <v>673.79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1054.4000000000001</v>
      </c>
      <c r="D13" s="2">
        <v>1472.27</v>
      </c>
      <c r="E13" s="2">
        <v>1993.38</v>
      </c>
      <c r="F13" s="2">
        <v>2688.1</v>
      </c>
      <c r="G13" s="2">
        <v>3301.78</v>
      </c>
      <c r="H13" t="s">
        <v>1</v>
      </c>
    </row>
    <row r="14" spans="1:15" x14ac:dyDescent="0.25">
      <c r="A14" t="s">
        <v>91</v>
      </c>
      <c r="B14" t="s">
        <v>13</v>
      </c>
      <c r="C14">
        <v>0</v>
      </c>
      <c r="D14">
        <v>0</v>
      </c>
      <c r="E14">
        <v>307.04000000000002</v>
      </c>
      <c r="F14">
        <v>722.07</v>
      </c>
      <c r="G14">
        <v>811.02</v>
      </c>
      <c r="H14" t="s">
        <v>1</v>
      </c>
    </row>
    <row r="15" spans="1:15" x14ac:dyDescent="0.25">
      <c r="A15" t="s">
        <v>92</v>
      </c>
      <c r="B15" t="s">
        <v>14</v>
      </c>
      <c r="C15" s="2">
        <v>5530.13</v>
      </c>
      <c r="D15" s="2">
        <v>6154.12</v>
      </c>
      <c r="E15" s="2">
        <v>6184.32</v>
      </c>
      <c r="F15" s="2">
        <v>6589.6</v>
      </c>
      <c r="G15" s="2">
        <v>8967.0300000000007</v>
      </c>
      <c r="H15" t="s">
        <v>1</v>
      </c>
    </row>
    <row r="16" spans="1:15" x14ac:dyDescent="0.25">
      <c r="A16" t="s">
        <v>93</v>
      </c>
      <c r="B16" t="s">
        <v>15</v>
      </c>
      <c r="C16" s="2">
        <v>49903.1</v>
      </c>
      <c r="D16" s="2">
        <v>52419.56</v>
      </c>
      <c r="E16" s="2">
        <v>60223.45</v>
      </c>
      <c r="F16" s="2">
        <v>63178.61</v>
      </c>
      <c r="G16" s="2">
        <v>65944</v>
      </c>
      <c r="H16" t="s">
        <v>1</v>
      </c>
    </row>
    <row r="17" spans="1:8" x14ac:dyDescent="0.25">
      <c r="B17" t="s">
        <v>16</v>
      </c>
      <c r="C17" s="2">
        <v>56487.63</v>
      </c>
      <c r="D17" s="2">
        <v>60045.95</v>
      </c>
      <c r="E17" s="2">
        <v>68708.19</v>
      </c>
      <c r="F17" s="2">
        <v>73178.38</v>
      </c>
      <c r="G17" s="2">
        <v>79023.83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>
        <v>476.54</v>
      </c>
      <c r="D19" s="2">
        <v>730.47</v>
      </c>
      <c r="E19" s="2">
        <v>4432.6099999999997</v>
      </c>
      <c r="F19">
        <v>3187.2</v>
      </c>
      <c r="G19">
        <v>7.98</v>
      </c>
      <c r="H19" t="s">
        <v>1</v>
      </c>
    </row>
    <row r="20" spans="1:8" x14ac:dyDescent="0.25">
      <c r="A20" t="s">
        <v>92</v>
      </c>
      <c r="B20" t="s">
        <v>19</v>
      </c>
      <c r="C20" s="2">
        <v>4516.93</v>
      </c>
      <c r="D20" s="2">
        <v>6815.51</v>
      </c>
      <c r="E20" s="2">
        <v>7250.96</v>
      </c>
      <c r="F20" s="2">
        <v>7637.63</v>
      </c>
      <c r="G20" s="2">
        <v>8591.7800000000007</v>
      </c>
      <c r="H20" t="s">
        <v>1</v>
      </c>
    </row>
    <row r="21" spans="1:8" x14ac:dyDescent="0.25">
      <c r="A21" t="s">
        <v>92</v>
      </c>
      <c r="B21" t="s">
        <v>20</v>
      </c>
      <c r="C21" s="2">
        <v>30988.02</v>
      </c>
      <c r="D21" s="2">
        <v>31129.759999999998</v>
      </c>
      <c r="E21" s="2">
        <v>30603.279999999999</v>
      </c>
      <c r="F21" s="2">
        <v>34352.14</v>
      </c>
      <c r="G21" s="2">
        <v>42708.23</v>
      </c>
      <c r="H21" t="s">
        <v>1</v>
      </c>
    </row>
    <row r="22" spans="1:8" x14ac:dyDescent="0.25">
      <c r="A22" t="s">
        <v>93</v>
      </c>
      <c r="B22" t="s">
        <v>21</v>
      </c>
      <c r="C22" s="2">
        <v>14813.59</v>
      </c>
      <c r="D22" s="2">
        <v>7136.44</v>
      </c>
      <c r="E22" s="2">
        <v>6781.44</v>
      </c>
      <c r="F22" s="2">
        <v>6465.9</v>
      </c>
      <c r="G22" s="2">
        <v>6094.68</v>
      </c>
      <c r="H22" t="s">
        <v>1</v>
      </c>
    </row>
    <row r="23" spans="1:8" x14ac:dyDescent="0.25">
      <c r="B23" t="s">
        <v>22</v>
      </c>
      <c r="C23" s="2">
        <v>50795.08</v>
      </c>
      <c r="D23" s="2">
        <v>45812.18</v>
      </c>
      <c r="E23" s="2">
        <v>49068.29</v>
      </c>
      <c r="F23" s="2">
        <v>51642.87</v>
      </c>
      <c r="G23" s="2">
        <v>57402.67</v>
      </c>
      <c r="H23" t="s">
        <v>1</v>
      </c>
    </row>
    <row r="24" spans="1:8" x14ac:dyDescent="0.25">
      <c r="B24" t="s">
        <v>23</v>
      </c>
      <c r="C24" s="2">
        <v>127491.73</v>
      </c>
      <c r="D24" s="2">
        <v>132718.82999999999</v>
      </c>
      <c r="E24" s="2">
        <v>150327.48000000001</v>
      </c>
      <c r="F24" s="2">
        <v>161779.69</v>
      </c>
      <c r="G24" s="2">
        <v>180243.33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24063.3</v>
      </c>
      <c r="D27" s="2">
        <v>28539.06</v>
      </c>
      <c r="E27" s="2">
        <v>32302.35</v>
      </c>
      <c r="F27" s="2">
        <v>37753.65</v>
      </c>
      <c r="G27" s="2">
        <v>59574.1</v>
      </c>
      <c r="H27" t="s">
        <v>1</v>
      </c>
    </row>
    <row r="28" spans="1:8" x14ac:dyDescent="0.25">
      <c r="A28" t="s">
        <v>29</v>
      </c>
      <c r="B28" t="s">
        <v>27</v>
      </c>
      <c r="C28">
        <v>29.53</v>
      </c>
      <c r="D28">
        <v>35.18</v>
      </c>
      <c r="E28">
        <v>38.14</v>
      </c>
      <c r="F28">
        <v>45.76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10286.42</v>
      </c>
      <c r="D29" s="2">
        <v>9622.94</v>
      </c>
      <c r="E29" s="2">
        <v>8271.09</v>
      </c>
      <c r="F29" s="2">
        <v>10403.66</v>
      </c>
      <c r="G29" s="2">
        <v>0</v>
      </c>
      <c r="H29" t="s">
        <v>1</v>
      </c>
    </row>
    <row r="30" spans="1:8" x14ac:dyDescent="0.25">
      <c r="B30" t="s">
        <v>29</v>
      </c>
      <c r="C30" s="2">
        <v>37863.83</v>
      </c>
      <c r="D30" s="2">
        <v>42272.59</v>
      </c>
      <c r="E30" s="2">
        <v>45111.86</v>
      </c>
      <c r="F30" s="2">
        <v>52895.05</v>
      </c>
      <c r="G30" s="2">
        <v>59574.1</v>
      </c>
      <c r="H30" t="s">
        <v>1</v>
      </c>
    </row>
    <row r="31" spans="1:8" x14ac:dyDescent="0.25">
      <c r="A31" t="s">
        <v>94</v>
      </c>
      <c r="B31" t="s">
        <v>30</v>
      </c>
      <c r="C31" s="2">
        <v>1303.06</v>
      </c>
      <c r="D31" s="2">
        <v>1421.01</v>
      </c>
      <c r="E31" s="2">
        <v>1873.17</v>
      </c>
      <c r="F31" s="2">
        <v>2317.64</v>
      </c>
      <c r="G31" s="2">
        <v>2426.9699999999998</v>
      </c>
      <c r="H31" t="s">
        <v>1</v>
      </c>
    </row>
    <row r="32" spans="1:8" x14ac:dyDescent="0.25">
      <c r="A32" t="s">
        <v>95</v>
      </c>
      <c r="B32" t="s">
        <v>31</v>
      </c>
      <c r="C32" s="2">
        <v>5355.05</v>
      </c>
      <c r="D32" s="2">
        <v>4269.16</v>
      </c>
      <c r="E32" s="2">
        <v>3618.01</v>
      </c>
      <c r="F32" s="2">
        <v>4059.43</v>
      </c>
      <c r="G32" s="2">
        <v>4138.09</v>
      </c>
      <c r="H32" t="s">
        <v>1</v>
      </c>
    </row>
    <row r="33" spans="1:8" x14ac:dyDescent="0.25">
      <c r="A33" t="s">
        <v>95</v>
      </c>
      <c r="B33" t="s">
        <v>32</v>
      </c>
      <c r="C33">
        <v>1020.08</v>
      </c>
      <c r="D33">
        <v>1141.73</v>
      </c>
      <c r="E33">
        <v>638.59</v>
      </c>
      <c r="F33" s="2">
        <v>136.27000000000001</v>
      </c>
      <c r="G33" s="2">
        <v>353.39</v>
      </c>
      <c r="H33" t="s">
        <v>1</v>
      </c>
    </row>
    <row r="34" spans="1:8" x14ac:dyDescent="0.25">
      <c r="A34" t="s">
        <v>95</v>
      </c>
      <c r="B34" t="s">
        <v>33</v>
      </c>
      <c r="C34" s="2">
        <v>13135.43</v>
      </c>
      <c r="D34" s="2">
        <v>14294.68</v>
      </c>
      <c r="E34" s="2">
        <v>15398.3</v>
      </c>
      <c r="F34" s="2">
        <v>17646.439999999999</v>
      </c>
      <c r="G34" s="2">
        <v>20907.830000000002</v>
      </c>
      <c r="H34" t="s">
        <v>1</v>
      </c>
    </row>
    <row r="35" spans="1:8" x14ac:dyDescent="0.25">
      <c r="B35" t="s">
        <v>34</v>
      </c>
      <c r="C35" s="2">
        <v>58677.45</v>
      </c>
      <c r="D35" s="2">
        <v>63399.17</v>
      </c>
      <c r="E35" s="2">
        <v>66639.929999999993</v>
      </c>
      <c r="F35" s="2">
        <v>77054.83</v>
      </c>
      <c r="G35" s="2">
        <v>87400.38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205.57</v>
      </c>
      <c r="D37" s="2">
        <v>1749.96</v>
      </c>
      <c r="E37">
        <v>99.7</v>
      </c>
      <c r="F37" s="2">
        <v>3632.59</v>
      </c>
      <c r="G37">
        <v>7279.41</v>
      </c>
      <c r="H37" t="s">
        <v>1</v>
      </c>
    </row>
    <row r="38" spans="1:8" x14ac:dyDescent="0.25">
      <c r="A38" t="s">
        <v>96</v>
      </c>
      <c r="B38" t="s">
        <v>37</v>
      </c>
      <c r="C38" s="2">
        <v>6443.85</v>
      </c>
      <c r="D38" s="2">
        <v>5583.93</v>
      </c>
      <c r="E38" s="2">
        <v>6617.98</v>
      </c>
      <c r="F38" s="2">
        <v>8947.4699999999993</v>
      </c>
      <c r="G38" s="2">
        <v>7075.68</v>
      </c>
      <c r="H38" t="s">
        <v>1</v>
      </c>
    </row>
    <row r="39" spans="1:8" x14ac:dyDescent="0.25">
      <c r="A39" t="s">
        <v>96</v>
      </c>
      <c r="B39" t="s">
        <v>38</v>
      </c>
      <c r="C39" s="2">
        <v>8689.16</v>
      </c>
      <c r="D39" s="2">
        <v>5498.55</v>
      </c>
      <c r="E39" s="2">
        <v>14408.22</v>
      </c>
      <c r="F39" s="2">
        <v>19623.12</v>
      </c>
      <c r="G39" s="2">
        <v>11367.68</v>
      </c>
      <c r="H39" t="s">
        <v>1</v>
      </c>
    </row>
    <row r="40" spans="1:8" x14ac:dyDescent="0.25">
      <c r="A40" t="s">
        <v>96</v>
      </c>
      <c r="B40" t="s">
        <v>39</v>
      </c>
      <c r="C40" s="2">
        <v>31475.07</v>
      </c>
      <c r="D40" s="2">
        <v>31124.23</v>
      </c>
      <c r="E40" s="2">
        <v>28448.959999999999</v>
      </c>
      <c r="F40" s="2">
        <v>17310.3</v>
      </c>
      <c r="G40" s="2">
        <v>29179.45</v>
      </c>
      <c r="H40" t="s">
        <v>1</v>
      </c>
    </row>
    <row r="41" spans="1:8" x14ac:dyDescent="0.25">
      <c r="A41" t="s">
        <v>95</v>
      </c>
      <c r="B41" t="s">
        <v>40</v>
      </c>
      <c r="C41">
        <v>3.69</v>
      </c>
      <c r="D41">
        <v>502.33</v>
      </c>
      <c r="E41">
        <v>502.65</v>
      </c>
      <c r="F41">
        <v>501.28</v>
      </c>
      <c r="G41">
        <v>0.21</v>
      </c>
      <c r="H41" t="s">
        <v>1</v>
      </c>
    </row>
    <row r="42" spans="1:8" x14ac:dyDescent="0.25">
      <c r="A42" t="s">
        <v>95</v>
      </c>
      <c r="B42" t="s">
        <v>41</v>
      </c>
      <c r="C42" s="2">
        <v>21996.94</v>
      </c>
      <c r="D42" s="2">
        <v>24860.66</v>
      </c>
      <c r="E42" s="2">
        <v>33610.04</v>
      </c>
      <c r="F42" s="2">
        <v>34710.1</v>
      </c>
      <c r="G42" s="2">
        <v>37940.519999999997</v>
      </c>
      <c r="H42" t="s">
        <v>1</v>
      </c>
    </row>
    <row r="43" spans="1:8" x14ac:dyDescent="0.25">
      <c r="B43" t="s">
        <v>42</v>
      </c>
      <c r="C43" s="2">
        <v>68814.28</v>
      </c>
      <c r="D43" s="2">
        <v>69319.66</v>
      </c>
      <c r="E43" s="2">
        <v>83687.55</v>
      </c>
      <c r="F43" s="2">
        <v>84724.86</v>
      </c>
      <c r="G43" s="2">
        <v>92842.95</v>
      </c>
      <c r="H43" t="s">
        <v>1</v>
      </c>
    </row>
    <row r="44" spans="1:8" x14ac:dyDescent="0.25">
      <c r="B44" t="s">
        <v>43</v>
      </c>
      <c r="C44" s="2">
        <v>127491.73</v>
      </c>
      <c r="D44" s="2">
        <v>132718.82999999999</v>
      </c>
      <c r="E44" s="2">
        <v>150327.48000000001</v>
      </c>
      <c r="F44" s="2">
        <v>161779.69</v>
      </c>
      <c r="G44" s="2">
        <v>180243.33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49387.85</v>
      </c>
      <c r="D47" s="2">
        <v>130134.02</v>
      </c>
      <c r="E47" s="2">
        <v>157060.18</v>
      </c>
      <c r="F47" s="2">
        <v>161610.56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993.4</v>
      </c>
      <c r="D51">
        <v>997.24</v>
      </c>
      <c r="E51">
        <v>986.85</v>
      </c>
      <c r="F51">
        <v>661.18</v>
      </c>
      <c r="G51">
        <v>0</v>
      </c>
      <c r="H51" t="s">
        <v>1</v>
      </c>
    </row>
    <row r="52" spans="2:8" x14ac:dyDescent="0.25">
      <c r="B52" t="s">
        <v>51</v>
      </c>
      <c r="C52">
        <v>344.36</v>
      </c>
      <c r="D52" s="2">
        <v>462.31</v>
      </c>
      <c r="E52">
        <v>914.47</v>
      </c>
      <c r="F52">
        <v>1667.69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 s="2">
        <v>1749.96</v>
      </c>
      <c r="E54">
        <v>99.7</v>
      </c>
      <c r="F54" s="2">
        <v>3613.09</v>
      </c>
      <c r="G54">
        <v>0</v>
      </c>
      <c r="H54" t="s">
        <v>1</v>
      </c>
    </row>
    <row r="55" spans="2:8" x14ac:dyDescent="0.25">
      <c r="B55" t="s">
        <v>54</v>
      </c>
      <c r="C55">
        <v>205.57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21E35468-3D03-4334-A0E5-ADD73E2466A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16C37-9847-4EDA-9800-1DED9A1FCA6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149</v>
      </c>
      <c r="C5" s="43"/>
      <c r="D5" s="43"/>
      <c r="E5" s="43"/>
      <c r="F5" s="43"/>
      <c r="G5" s="43"/>
    </row>
    <row r="6" spans="2:15" ht="18.75" x14ac:dyDescent="0.25">
      <c r="B6" s="12" t="str">
        <f>Balance_Sheet!B13</f>
        <v>Net Worth</v>
      </c>
      <c r="C6" s="13">
        <f>Balance_Sheet!C13</f>
        <v>19846.57</v>
      </c>
      <c r="D6" s="13">
        <f>Balance_Sheet!D13</f>
        <v>21647.312472991332</v>
      </c>
      <c r="E6" s="13">
        <f>Balance_Sheet!E13</f>
        <v>21130.199832269751</v>
      </c>
      <c r="F6" s="13">
        <f>Balance_Sheet!F13</f>
        <v>17790.102104849575</v>
      </c>
      <c r="G6" s="13">
        <f>Balance_Sheet!G13</f>
        <v>37590.197693177353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446.42446541673485</v>
      </c>
      <c r="D7" s="13">
        <f>Income_Statement!D61</f>
        <v>420.88794546397611</v>
      </c>
      <c r="E7" s="13">
        <f>Income_Statement!E61</f>
        <v>339.2680503436452</v>
      </c>
      <c r="F7" s="13">
        <f>Income_Statement!F61</f>
        <v>207.77820345618204</v>
      </c>
      <c r="G7" s="13">
        <f>Income_Statement!G61</f>
        <v>707.14627101170652</v>
      </c>
    </row>
    <row r="8" spans="2:15" ht="18.75" x14ac:dyDescent="0.25">
      <c r="B8" s="14" t="s">
        <v>150</v>
      </c>
      <c r="C8" s="14">
        <f>ROUND(C6/C7, 2)</f>
        <v>44.46</v>
      </c>
      <c r="D8" s="14">
        <f t="shared" ref="D8:G8" si="0">ROUND(D6/D7, 2)</f>
        <v>51.43</v>
      </c>
      <c r="E8" s="14">
        <f t="shared" si="0"/>
        <v>62.28</v>
      </c>
      <c r="F8" s="14">
        <f t="shared" si="0"/>
        <v>85.62</v>
      </c>
      <c r="G8" s="14">
        <f t="shared" si="0"/>
        <v>53.16</v>
      </c>
    </row>
  </sheetData>
  <mergeCells count="1">
    <mergeCell ref="B5:G5"/>
  </mergeCells>
  <hyperlinks>
    <hyperlink ref="F1" location="Index_Data!A1" tooltip="Hi click here To return Index page" display="Index_Data!A1" xr:uid="{07B326E9-3648-4F87-BB23-9D3FA55A8647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EE0E3-8DD4-4837-8040-EBD096599A0E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4" width="13.140625" bestFit="1" customWidth="1"/>
    <col min="5" max="6" width="11.5703125" bestFit="1" customWidth="1"/>
    <col min="7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151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10242.24</v>
      </c>
      <c r="D6" s="13">
        <f>Income_Statement!D51</f>
        <v>8105.58</v>
      </c>
      <c r="E6" s="13">
        <f>Income_Statement!E51</f>
        <v>7395.27</v>
      </c>
      <c r="F6" s="13">
        <f>Income_Statement!F51</f>
        <v>7703.44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446.42446541673485</v>
      </c>
      <c r="D7" s="13">
        <f>Income_Statement!D61</f>
        <v>420.88794546397611</v>
      </c>
      <c r="E7" s="13">
        <f>Income_Statement!E61</f>
        <v>339.2680503436452</v>
      </c>
      <c r="F7" s="13">
        <f>Income_Statement!F61</f>
        <v>207.77820345618204</v>
      </c>
      <c r="G7" s="13">
        <f>Income_Statement!G61</f>
        <v>707.14627101170652</v>
      </c>
    </row>
    <row r="8" spans="2:15" ht="18.75" x14ac:dyDescent="0.25">
      <c r="B8" s="12" t="s">
        <v>148</v>
      </c>
      <c r="C8" s="13">
        <f>ROUND(C6/C7, 2)</f>
        <v>22.94</v>
      </c>
      <c r="D8" s="13">
        <f t="shared" ref="D8:G8" si="0">ROUND(D6/D7, 2)</f>
        <v>19.260000000000002</v>
      </c>
      <c r="E8" s="13">
        <f t="shared" si="0"/>
        <v>21.8</v>
      </c>
      <c r="F8" s="13">
        <f t="shared" si="0"/>
        <v>37.08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4910.6691195840831</v>
      </c>
      <c r="D9" s="13">
        <f>Income_Statement!D49</f>
        <v>11784.862472991332</v>
      </c>
      <c r="E9" s="13">
        <f>Income_Statement!E49</f>
        <v>9160.2373592784206</v>
      </c>
      <c r="F9" s="13">
        <f>Income_Statement!F49</f>
        <v>4363.3422725798227</v>
      </c>
      <c r="G9" s="13">
        <f>Income_Statement!G49</f>
        <v>19800.095588327782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446.42446541673485</v>
      </c>
      <c r="D10" s="13">
        <f>Income_Statement!D61</f>
        <v>420.88794546397611</v>
      </c>
      <c r="E10" s="13">
        <f>Income_Statement!E61</f>
        <v>339.2680503436452</v>
      </c>
      <c r="F10" s="13">
        <f>Income_Statement!F61</f>
        <v>207.77820345618204</v>
      </c>
      <c r="G10" s="13">
        <f>Income_Statement!G61</f>
        <v>707.14627101170652</v>
      </c>
    </row>
    <row r="11" spans="2:15" ht="18.75" x14ac:dyDescent="0.25">
      <c r="B11" s="12" t="s">
        <v>146</v>
      </c>
      <c r="C11" s="13">
        <f>C9/C10</f>
        <v>11</v>
      </c>
      <c r="D11" s="13">
        <f t="shared" ref="D11:G11" si="1">D9/D10</f>
        <v>28</v>
      </c>
      <c r="E11" s="13">
        <f t="shared" si="1"/>
        <v>27</v>
      </c>
      <c r="F11" s="13">
        <f t="shared" si="1"/>
        <v>21</v>
      </c>
      <c r="G11" s="13">
        <f t="shared" si="1"/>
        <v>28</v>
      </c>
    </row>
    <row r="12" spans="2:15" ht="18.75" x14ac:dyDescent="0.25">
      <c r="B12" s="14" t="s">
        <v>152</v>
      </c>
      <c r="C12" s="14">
        <f>ROUND(C8/C11, 2)</f>
        <v>2.09</v>
      </c>
      <c r="D12" s="14">
        <f t="shared" ref="D12:G12" si="2">ROUND(D8/D11, 2)</f>
        <v>0.69</v>
      </c>
      <c r="E12" s="14">
        <f t="shared" si="2"/>
        <v>0.81</v>
      </c>
      <c r="F12" s="14">
        <f t="shared" si="2"/>
        <v>1.77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81AD692E-41B0-4F67-B95D-0148F9E10042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C44D6-754B-4E82-88F5-D38FBA438B49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5.140625" bestFit="1" customWidth="1"/>
    <col min="7" max="7" width="12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153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10242.24</v>
      </c>
      <c r="D6" s="13">
        <f>Income_Statement!D51</f>
        <v>8105.58</v>
      </c>
      <c r="E6" s="13">
        <f>Income_Statement!E51</f>
        <v>7395.27</v>
      </c>
      <c r="F6" s="13">
        <f>Income_Statement!F51</f>
        <v>7703.44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446.42446541673485</v>
      </c>
      <c r="D7" s="13">
        <f>Income_Statement!D61</f>
        <v>420.88794546397611</v>
      </c>
      <c r="E7" s="13">
        <f>Income_Statement!E61</f>
        <v>339.2680503436452</v>
      </c>
      <c r="F7" s="13">
        <f>Income_Statement!F61</f>
        <v>207.77820345618204</v>
      </c>
      <c r="G7" s="13">
        <f>Income_Statement!G61</f>
        <v>707.14627101170652</v>
      </c>
    </row>
    <row r="8" spans="2:15" ht="18.75" x14ac:dyDescent="0.25">
      <c r="B8" s="12" t="s">
        <v>154</v>
      </c>
      <c r="C8" s="13">
        <f>ROUND(C6/C7, 2)</f>
        <v>22.94</v>
      </c>
      <c r="D8" s="13">
        <f t="shared" ref="D8:G8" si="0">ROUND(D6/D7, 2)</f>
        <v>19.260000000000002</v>
      </c>
      <c r="E8" s="13">
        <f t="shared" si="0"/>
        <v>21.8</v>
      </c>
      <c r="F8" s="13">
        <f t="shared" si="0"/>
        <v>37.08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-21.94</v>
      </c>
      <c r="D9" s="15">
        <f t="shared" ref="D9:G9" si="1">1-D8</f>
        <v>-18.260000000000002</v>
      </c>
      <c r="E9" s="15">
        <f t="shared" si="1"/>
        <v>-20.8</v>
      </c>
      <c r="F9" s="15">
        <f t="shared" si="1"/>
        <v>-36.08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1B8C08C4-586D-4F96-A66F-029A0D10E028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A6708-FDB2-4BC0-828B-BE03D4DC55E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156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9345.99</v>
      </c>
      <c r="D7" s="13">
        <f>Income_Statement!D17</f>
        <v>9774.51</v>
      </c>
      <c r="E7" s="13">
        <f>Income_Statement!E17</f>
        <v>9552.7800000000007</v>
      </c>
      <c r="F7" s="13">
        <f>Income_Statement!F17</f>
        <v>10123.540000000001</v>
      </c>
      <c r="G7" s="13">
        <f>Income_Statement!G17</f>
        <v>9442.18</v>
      </c>
    </row>
    <row r="8" spans="2:15" ht="18.75" x14ac:dyDescent="0.25">
      <c r="B8" s="14" t="s">
        <v>157</v>
      </c>
      <c r="C8" s="16">
        <f>ROUND(C6- C7, 2)</f>
        <v>117816.18</v>
      </c>
      <c r="D8" s="16">
        <f t="shared" ref="D8:G8" si="0">ROUND(D6- D7, 2)</f>
        <v>130828.49</v>
      </c>
      <c r="E8" s="16">
        <f t="shared" si="0"/>
        <v>125426.35</v>
      </c>
      <c r="F8" s="16">
        <f t="shared" si="0"/>
        <v>116662.59</v>
      </c>
      <c r="G8" s="16">
        <f t="shared" si="0"/>
        <v>100271.32</v>
      </c>
    </row>
  </sheetData>
  <mergeCells count="1">
    <mergeCell ref="B5:G5"/>
  </mergeCells>
  <hyperlinks>
    <hyperlink ref="F1" location="Index_Data!A1" tooltip="Hi click here To return Index page" display="Index_Data!A1" xr:uid="{4B397F95-C438-4759-8716-C146B8CD1F7F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729D5-C2F0-4A01-AEC2-E65B23BE97B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158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Income_Statement!B25</f>
        <v>Total Expenditure</v>
      </c>
      <c r="C7" s="13">
        <f>Income_Statement!C25</f>
        <v>74243.5</v>
      </c>
      <c r="D7" s="13">
        <f>Income_Statement!D25</f>
        <v>73597.8</v>
      </c>
      <c r="E7" s="13">
        <f>Income_Statement!E25</f>
        <v>74994.47</v>
      </c>
      <c r="F7" s="13">
        <f>Income_Statement!F25</f>
        <v>72479.360000000001</v>
      </c>
      <c r="G7" s="13">
        <f>Income_Statement!G25</f>
        <v>82610.94</v>
      </c>
    </row>
    <row r="8" spans="2:15" ht="18.75" x14ac:dyDescent="0.25">
      <c r="B8" s="14" t="s">
        <v>159</v>
      </c>
      <c r="C8" s="16">
        <f>ROUND(C6- C7, 2)</f>
        <v>52918.67</v>
      </c>
      <c r="D8" s="16">
        <f t="shared" ref="D8:G8" si="0">ROUND(D6- D7, 2)</f>
        <v>67005.2</v>
      </c>
      <c r="E8" s="16">
        <f t="shared" si="0"/>
        <v>59984.66</v>
      </c>
      <c r="F8" s="16">
        <f t="shared" si="0"/>
        <v>54306.77</v>
      </c>
      <c r="G8" s="16">
        <f t="shared" si="0"/>
        <v>27102.560000000001</v>
      </c>
    </row>
  </sheetData>
  <mergeCells count="1">
    <mergeCell ref="B5:G5"/>
  </mergeCells>
  <hyperlinks>
    <hyperlink ref="F1" location="Index_Data!A1" tooltip="Hi click here To return Index page" display="Index_Data!A1" xr:uid="{C39C45B0-7D87-4AAD-9527-3B52B053FCAD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68621-EA91-4ADE-8C0D-536C67DDFF5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160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4910.6691195840831</v>
      </c>
      <c r="D6" s="13">
        <f>Income_Statement!D49</f>
        <v>11784.862472991332</v>
      </c>
      <c r="E6" s="13">
        <f>Income_Statement!E49</f>
        <v>9160.2373592784206</v>
      </c>
      <c r="F6" s="13">
        <f>Income_Statement!F49</f>
        <v>4363.3422725798227</v>
      </c>
      <c r="G6" s="13">
        <f>Income_Statement!G49</f>
        <v>19800.095588327782</v>
      </c>
    </row>
    <row r="7" spans="2:15" ht="18.75" x14ac:dyDescent="0.25">
      <c r="B7" s="12" t="str">
        <f>Balance_Sheet!B74</f>
        <v>Total Assets</v>
      </c>
      <c r="C7" s="13">
        <f>Balance_Sheet!C74</f>
        <v>127491.72999999998</v>
      </c>
      <c r="D7" s="13">
        <f>Balance_Sheet!D74</f>
        <v>127912.22247299133</v>
      </c>
      <c r="E7" s="13">
        <f>Balance_Sheet!E74</f>
        <v>139300.75983226974</v>
      </c>
      <c r="F7" s="13">
        <f>Balance_Sheet!F74</f>
        <v>143052.43210484958</v>
      </c>
      <c r="G7" s="13">
        <f>Balance_Sheet!G74</f>
        <v>174690.48769317736</v>
      </c>
    </row>
    <row r="8" spans="2:15" ht="18.75" x14ac:dyDescent="0.25">
      <c r="B8" s="14" t="s">
        <v>161</v>
      </c>
      <c r="C8" s="15">
        <f>ROUND(C6/ C7, 2)</f>
        <v>0.04</v>
      </c>
      <c r="D8" s="15">
        <f t="shared" ref="D8:G8" si="0">ROUND(D6/ D7, 2)</f>
        <v>0.09</v>
      </c>
      <c r="E8" s="15">
        <f t="shared" si="0"/>
        <v>7.0000000000000007E-2</v>
      </c>
      <c r="F8" s="15">
        <f t="shared" si="0"/>
        <v>0.03</v>
      </c>
      <c r="G8" s="15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81BF69A1-F555-4C47-837F-4946EC6111C7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EAAB6-F3B4-41D4-99AD-A1296DE58F6B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9049.1191195840838</v>
      </c>
      <c r="D6" s="13">
        <f>Income_Statement!D33</f>
        <v>21722.352472991333</v>
      </c>
      <c r="E6" s="13">
        <f>Income_Statement!E33</f>
        <v>17034.137359278418</v>
      </c>
      <c r="F6" s="13">
        <f>Income_Statement!F33</f>
        <v>10315.102272579823</v>
      </c>
      <c r="G6" s="13">
        <f>Income_Statement!G33</f>
        <v>26579.445588327784</v>
      </c>
    </row>
    <row r="7" spans="2:15" ht="18.75" x14ac:dyDescent="0.25">
      <c r="B7" s="12" t="str">
        <f>Balance_Sheet!B21</f>
        <v>Total Debt</v>
      </c>
      <c r="C7" s="13">
        <f>Balance_Sheet!C21</f>
        <v>1530.94</v>
      </c>
      <c r="D7" s="13">
        <f>Balance_Sheet!D21</f>
        <v>2202.7399999999998</v>
      </c>
      <c r="E7" s="13">
        <f>Balance_Sheet!E21</f>
        <v>6733.03</v>
      </c>
      <c r="F7" s="13">
        <f>Balance_Sheet!F21</f>
        <v>6597.37</v>
      </c>
      <c r="G7" s="13">
        <f>Balance_Sheet!G21</f>
        <v>4120.78</v>
      </c>
    </row>
    <row r="8" spans="2:15" ht="18.75" x14ac:dyDescent="0.25">
      <c r="B8" s="12" t="str">
        <f>Balance_Sheet!B13</f>
        <v>Net Worth</v>
      </c>
      <c r="C8" s="13">
        <f>Balance_Sheet!C13</f>
        <v>19846.57</v>
      </c>
      <c r="D8" s="13">
        <f>Balance_Sheet!D13</f>
        <v>21647.312472991332</v>
      </c>
      <c r="E8" s="13">
        <f>Balance_Sheet!E13</f>
        <v>21130.199832269751</v>
      </c>
      <c r="F8" s="13">
        <f>Balance_Sheet!F13</f>
        <v>17790.102104849575</v>
      </c>
      <c r="G8" s="13">
        <f>Balance_Sheet!G13</f>
        <v>37590.197693177353</v>
      </c>
    </row>
    <row r="9" spans="2:15" ht="18.75" x14ac:dyDescent="0.25">
      <c r="B9" s="14" t="s">
        <v>163</v>
      </c>
      <c r="C9" s="15">
        <f>ROUND(C6/ (C7+ C7), 2)</f>
        <v>2.96</v>
      </c>
      <c r="D9" s="15">
        <f t="shared" ref="D9:G9" si="0">ROUND(D6/ (D7+ D7), 2)</f>
        <v>4.93</v>
      </c>
      <c r="E9" s="15">
        <f t="shared" si="0"/>
        <v>1.26</v>
      </c>
      <c r="F9" s="15">
        <f t="shared" si="0"/>
        <v>0.78</v>
      </c>
      <c r="G9" s="15">
        <f t="shared" si="0"/>
        <v>3.23</v>
      </c>
    </row>
  </sheetData>
  <mergeCells count="1">
    <mergeCell ref="B5:G5"/>
  </mergeCells>
  <hyperlinks>
    <hyperlink ref="F1" location="Index_Data!A1" tooltip="Hi click here To return Index page" display="Index_Data!A1" xr:uid="{95F2F5EC-09F2-45FE-923D-EBD800D79EF1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98B86-DC00-47A1-BF9E-EA04DD04188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164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4910.6691195840831</v>
      </c>
      <c r="D6" s="13">
        <f>Income_Statement!D49</f>
        <v>11784.862472991332</v>
      </c>
      <c r="E6" s="13">
        <f>Income_Statement!E49</f>
        <v>9160.2373592784206</v>
      </c>
      <c r="F6" s="13">
        <f>Income_Statement!F49</f>
        <v>4363.3422725798227</v>
      </c>
      <c r="G6" s="13">
        <f>Income_Statement!G49</f>
        <v>19800.095588327782</v>
      </c>
    </row>
    <row r="7" spans="2:15" ht="18.75" x14ac:dyDescent="0.25">
      <c r="B7" s="12" t="str">
        <f>Balance_Sheet!B13</f>
        <v>Net Worth</v>
      </c>
      <c r="C7" s="13">
        <f>Balance_Sheet!C13</f>
        <v>19846.57</v>
      </c>
      <c r="D7" s="13">
        <f>Balance_Sheet!D13</f>
        <v>21647.312472991332</v>
      </c>
      <c r="E7" s="13">
        <f>Balance_Sheet!E13</f>
        <v>21130.199832269751</v>
      </c>
      <c r="F7" s="13">
        <f>Balance_Sheet!F13</f>
        <v>17790.102104849575</v>
      </c>
      <c r="G7" s="13">
        <f>Balance_Sheet!G13</f>
        <v>37590.197693177353</v>
      </c>
    </row>
    <row r="8" spans="2:15" ht="18.75" x14ac:dyDescent="0.25">
      <c r="B8" s="14" t="s">
        <v>165</v>
      </c>
      <c r="C8" s="15">
        <f>ROUND(C6/ (C7+ C7), 2)</f>
        <v>0.12</v>
      </c>
      <c r="D8" s="15">
        <f t="shared" ref="D8:G8" si="0">ROUND(D6/ (D7+ D7), 2)</f>
        <v>0.27</v>
      </c>
      <c r="E8" s="15">
        <f t="shared" si="0"/>
        <v>0.22</v>
      </c>
      <c r="F8" s="15">
        <f t="shared" si="0"/>
        <v>0.12</v>
      </c>
      <c r="G8" s="15">
        <f t="shared" si="0"/>
        <v>0.26</v>
      </c>
    </row>
  </sheetData>
  <mergeCells count="1">
    <mergeCell ref="B5:G5"/>
  </mergeCells>
  <hyperlinks>
    <hyperlink ref="F1" location="Index_Data!A1" tooltip="Hi click here To return Index page" display="Index_Data!A1" xr:uid="{AC6E2131-8F0C-45DD-A117-C5D99861A935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FC2F-BEC0-489B-A7E7-9A3FE6AEBD1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166</v>
      </c>
      <c r="C5" s="43"/>
      <c r="D5" s="43"/>
      <c r="E5" s="43"/>
      <c r="F5" s="43"/>
      <c r="G5" s="43"/>
    </row>
    <row r="6" spans="2:15" ht="18.75" x14ac:dyDescent="0.25">
      <c r="B6" s="12" t="str">
        <f>Balance_Sheet!B21</f>
        <v>Total Debt</v>
      </c>
      <c r="C6" s="13">
        <f>Balance_Sheet!C21</f>
        <v>1530.94</v>
      </c>
      <c r="D6" s="13">
        <f>Balance_Sheet!D21</f>
        <v>2202.7399999999998</v>
      </c>
      <c r="E6" s="13">
        <f>Balance_Sheet!E21</f>
        <v>6733.03</v>
      </c>
      <c r="F6" s="13">
        <f>Balance_Sheet!F21</f>
        <v>6597.37</v>
      </c>
      <c r="G6" s="13">
        <f>Balance_Sheet!G21</f>
        <v>4120.78</v>
      </c>
    </row>
    <row r="7" spans="2:15" ht="18.75" x14ac:dyDescent="0.25">
      <c r="B7" s="12" t="str">
        <f>Balance_Sheet!B13</f>
        <v>Net Worth</v>
      </c>
      <c r="C7" s="13">
        <f>Balance_Sheet!C13</f>
        <v>19846.57</v>
      </c>
      <c r="D7" s="13">
        <f>Balance_Sheet!D13</f>
        <v>21647.312472991332</v>
      </c>
      <c r="E7" s="13">
        <f>Balance_Sheet!E13</f>
        <v>21130.199832269751</v>
      </c>
      <c r="F7" s="13">
        <f>Balance_Sheet!F13</f>
        <v>17790.102104849575</v>
      </c>
      <c r="G7" s="13">
        <f>Balance_Sheet!G13</f>
        <v>37590.197693177353</v>
      </c>
    </row>
    <row r="8" spans="2:15" ht="18.75" x14ac:dyDescent="0.25">
      <c r="B8" s="14" t="s">
        <v>167</v>
      </c>
      <c r="C8" s="14">
        <f>ROUND(C6/ C7, 2)</f>
        <v>0.08</v>
      </c>
      <c r="D8" s="14">
        <f t="shared" ref="D8:G8" si="0">ROUND(D6/ D7, 2)</f>
        <v>0.1</v>
      </c>
      <c r="E8" s="14">
        <f t="shared" si="0"/>
        <v>0.32</v>
      </c>
      <c r="F8" s="14">
        <f t="shared" si="0"/>
        <v>0.37</v>
      </c>
      <c r="G8" s="14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59BDD872-8CF7-4D45-892A-4D6CEBB2A4BB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81545-1772-4E74-B88D-22A9490AFA6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168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88119.26999999999</v>
      </c>
      <c r="D6" s="13">
        <f>Balance_Sheet!D72</f>
        <v>89994.432472991321</v>
      </c>
      <c r="E6" s="13">
        <f>Balance_Sheet!E72</f>
        <v>103617.50983226976</v>
      </c>
      <c r="F6" s="13">
        <f>Balance_Sheet!F72</f>
        <v>99509.252104849569</v>
      </c>
      <c r="G6" s="13">
        <f>Balance_Sheet!G72</f>
        <v>120448.79769317736</v>
      </c>
    </row>
    <row r="7" spans="2:15" ht="18.75" x14ac:dyDescent="0.25">
      <c r="B7" s="12" t="str">
        <f>Balance_Sheet!B33</f>
        <v>Total Current Liabilities</v>
      </c>
      <c r="C7" s="13">
        <f>Balance_Sheet!C33</f>
        <v>105751.77</v>
      </c>
      <c r="D7" s="13">
        <f>Balance_Sheet!D33</f>
        <v>103655.38999999998</v>
      </c>
      <c r="E7" s="13">
        <f>Balance_Sheet!E33</f>
        <v>111043.45</v>
      </c>
      <c r="F7" s="13">
        <f>Balance_Sheet!F33</f>
        <v>118223.88</v>
      </c>
      <c r="G7" s="13">
        <f>Balance_Sheet!G33</f>
        <v>132305.72</v>
      </c>
    </row>
    <row r="8" spans="2:15" ht="18.75" x14ac:dyDescent="0.25">
      <c r="B8" s="14" t="s">
        <v>169</v>
      </c>
      <c r="C8" s="14">
        <f>ROUND(C6/ C7, 2)</f>
        <v>0.83</v>
      </c>
      <c r="D8" s="14">
        <f t="shared" ref="D8:G8" si="0">ROUND(D6/ D7, 2)</f>
        <v>0.87</v>
      </c>
      <c r="E8" s="14">
        <f t="shared" si="0"/>
        <v>0.93</v>
      </c>
      <c r="F8" s="14">
        <f t="shared" si="0"/>
        <v>0.84</v>
      </c>
      <c r="G8" s="14">
        <f t="shared" si="0"/>
        <v>0.91</v>
      </c>
    </row>
  </sheetData>
  <mergeCells count="1">
    <mergeCell ref="B5:G5"/>
  </mergeCells>
  <hyperlinks>
    <hyperlink ref="F1" location="Index_Data!A1" tooltip="Hi click here To return Index page" display="Index_Data!A1" xr:uid="{AA089CA0-E3F1-415E-A84B-F39BDF99BE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875F7-9E5E-4B54-B8E5-AAA3564D5F22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127162.17</v>
      </c>
      <c r="D5" s="2">
        <v>140603</v>
      </c>
      <c r="E5" s="2">
        <v>134979.13</v>
      </c>
      <c r="F5" s="2">
        <v>126786.13</v>
      </c>
      <c r="G5" s="2">
        <v>109713.5</v>
      </c>
      <c r="H5" t="s">
        <v>1</v>
      </c>
    </row>
    <row r="6" spans="1:15" x14ac:dyDescent="0.25">
      <c r="A6" t="s">
        <v>98</v>
      </c>
      <c r="B6" t="s">
        <v>98</v>
      </c>
      <c r="C6">
        <v>45462.17</v>
      </c>
      <c r="D6" s="2">
        <v>47706.92</v>
      </c>
      <c r="E6" s="2">
        <v>45605.79</v>
      </c>
      <c r="F6" s="2">
        <v>44075.81</v>
      </c>
      <c r="G6" s="2">
        <v>0</v>
      </c>
      <c r="H6" t="s">
        <v>1</v>
      </c>
    </row>
    <row r="7" spans="1:15" x14ac:dyDescent="0.25">
      <c r="B7" t="s">
        <v>57</v>
      </c>
      <c r="C7" s="2">
        <v>81700</v>
      </c>
      <c r="D7" s="2">
        <v>92896.08</v>
      </c>
      <c r="E7" s="2">
        <v>89373.34</v>
      </c>
      <c r="F7" s="2">
        <v>82710.320000000007</v>
      </c>
      <c r="G7" s="2">
        <v>109713.5</v>
      </c>
      <c r="H7" t="s">
        <v>1</v>
      </c>
    </row>
    <row r="8" spans="1:15" x14ac:dyDescent="0.25">
      <c r="B8" t="s">
        <v>58</v>
      </c>
      <c r="C8" s="2">
        <v>85862.44</v>
      </c>
      <c r="D8" s="2">
        <v>99546.89</v>
      </c>
      <c r="E8" s="2">
        <v>96080.34</v>
      </c>
      <c r="F8" s="2">
        <v>90026.01</v>
      </c>
      <c r="G8" s="2">
        <v>109713.5</v>
      </c>
      <c r="H8" t="s">
        <v>1</v>
      </c>
    </row>
    <row r="9" spans="1:15" x14ac:dyDescent="0.25">
      <c r="A9" t="s">
        <v>59</v>
      </c>
      <c r="B9" t="s">
        <v>59</v>
      </c>
      <c r="C9" s="2">
        <v>4658.32</v>
      </c>
      <c r="D9" s="2">
        <v>5873.73</v>
      </c>
      <c r="E9" s="2">
        <v>6105.4</v>
      </c>
      <c r="F9" s="2">
        <v>3792.38</v>
      </c>
      <c r="G9" s="2">
        <v>3904.52</v>
      </c>
      <c r="H9" t="s">
        <v>1</v>
      </c>
    </row>
    <row r="10" spans="1:15" x14ac:dyDescent="0.25">
      <c r="B10" t="s">
        <v>60</v>
      </c>
      <c r="C10" s="2">
        <v>90520.76</v>
      </c>
      <c r="D10" s="2">
        <v>105420.62</v>
      </c>
      <c r="E10" s="2">
        <v>102185.74</v>
      </c>
      <c r="F10" s="2">
        <v>93818.39</v>
      </c>
      <c r="G10" s="2">
        <v>113618.02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9345.99</v>
      </c>
      <c r="D12" s="2">
        <v>9774.51</v>
      </c>
      <c r="E12" s="2">
        <v>9552.7800000000007</v>
      </c>
      <c r="F12" s="2">
        <v>10123.540000000001</v>
      </c>
      <c r="G12" s="2">
        <v>9442.18</v>
      </c>
      <c r="H12" t="s">
        <v>1</v>
      </c>
    </row>
    <row r="13" spans="1:15" x14ac:dyDescent="0.25">
      <c r="B13" t="s">
        <v>63</v>
      </c>
      <c r="C13">
        <v>0</v>
      </c>
      <c r="D13">
        <v>0</v>
      </c>
      <c r="E13">
        <v>60.8</v>
      </c>
      <c r="F13">
        <v>282.33999999999997</v>
      </c>
      <c r="G13">
        <v>103.56</v>
      </c>
      <c r="H13" t="s">
        <v>1</v>
      </c>
    </row>
    <row r="14" spans="1:15" x14ac:dyDescent="0.25">
      <c r="A14" t="s">
        <v>99</v>
      </c>
      <c r="B14" t="s">
        <v>64</v>
      </c>
      <c r="C14">
        <v>12766.97</v>
      </c>
      <c r="D14" s="2">
        <v>19895.59</v>
      </c>
      <c r="E14" s="2">
        <v>19453.419999999998</v>
      </c>
      <c r="F14" s="2">
        <v>16023.08</v>
      </c>
      <c r="G14" s="2">
        <v>0</v>
      </c>
      <c r="H14" t="s">
        <v>1</v>
      </c>
    </row>
    <row r="15" spans="1:15" x14ac:dyDescent="0.25">
      <c r="B15" t="s">
        <v>65</v>
      </c>
      <c r="C15" s="2">
        <v>1679.46</v>
      </c>
      <c r="D15" s="2">
        <v>856.24</v>
      </c>
      <c r="E15" s="2">
        <v>-1042.6199999999999</v>
      </c>
      <c r="F15">
        <v>-2351.2600000000002</v>
      </c>
      <c r="G15" s="2">
        <v>2308.4899999999998</v>
      </c>
      <c r="H15" t="s">
        <v>1</v>
      </c>
    </row>
    <row r="16" spans="1:15" x14ac:dyDescent="0.25">
      <c r="A16" t="s">
        <v>99</v>
      </c>
      <c r="B16" t="s">
        <v>66</v>
      </c>
      <c r="C16" s="2">
        <v>42633.599999999999</v>
      </c>
      <c r="D16" s="2">
        <v>38770.1</v>
      </c>
      <c r="E16" s="2">
        <v>39384.080000000002</v>
      </c>
      <c r="F16" s="2">
        <v>38697.72</v>
      </c>
      <c r="G16" s="2">
        <v>40700.82</v>
      </c>
      <c r="H16" t="s">
        <v>1</v>
      </c>
    </row>
    <row r="17" spans="1:8" x14ac:dyDescent="0.25">
      <c r="A17" t="s">
        <v>100</v>
      </c>
      <c r="B17" t="s">
        <v>67</v>
      </c>
      <c r="C17">
        <v>431.79</v>
      </c>
      <c r="D17">
        <v>275.04000000000002</v>
      </c>
      <c r="E17">
        <v>502.92</v>
      </c>
      <c r="F17">
        <v>644.69000000000005</v>
      </c>
      <c r="G17">
        <v>541.49</v>
      </c>
      <c r="H17" t="s">
        <v>1</v>
      </c>
    </row>
    <row r="18" spans="1:8" x14ac:dyDescent="0.25">
      <c r="A18" t="s">
        <v>101</v>
      </c>
      <c r="B18" t="s">
        <v>68</v>
      </c>
      <c r="C18" s="2">
        <v>3066.38</v>
      </c>
      <c r="D18" s="2">
        <v>3450.36</v>
      </c>
      <c r="E18" s="2">
        <v>3450.84</v>
      </c>
      <c r="F18" s="2">
        <v>3708.92</v>
      </c>
      <c r="G18" s="2">
        <v>4428.67</v>
      </c>
      <c r="H18" t="s">
        <v>1</v>
      </c>
    </row>
    <row r="19" spans="1:8" x14ac:dyDescent="0.25">
      <c r="A19" t="s">
        <v>99</v>
      </c>
      <c r="B19" t="s">
        <v>69</v>
      </c>
      <c r="C19" s="2">
        <v>9496.94</v>
      </c>
      <c r="D19" s="2">
        <v>5157.6000000000004</v>
      </c>
      <c r="E19" s="2">
        <v>6604.19</v>
      </c>
      <c r="F19" s="2">
        <v>7635.02</v>
      </c>
      <c r="G19" s="2">
        <v>32467.94</v>
      </c>
      <c r="H19" t="s">
        <v>1</v>
      </c>
    </row>
    <row r="20" spans="1:8" x14ac:dyDescent="0.25">
      <c r="B20" t="s">
        <v>70</v>
      </c>
      <c r="C20" s="2">
        <v>79794.320000000007</v>
      </c>
      <c r="D20" s="2">
        <v>78295.16</v>
      </c>
      <c r="E20" s="2">
        <v>78113.25</v>
      </c>
      <c r="F20" s="2">
        <v>75806.179999999993</v>
      </c>
      <c r="G20" s="2">
        <v>89993.15</v>
      </c>
      <c r="H20" t="s">
        <v>1</v>
      </c>
    </row>
    <row r="21" spans="1:8" x14ac:dyDescent="0.25">
      <c r="B21" t="s">
        <v>71</v>
      </c>
      <c r="C21" s="2">
        <v>10726.44</v>
      </c>
      <c r="D21" s="2">
        <v>27125.46</v>
      </c>
      <c r="E21" s="2">
        <v>24072.49</v>
      </c>
      <c r="F21" s="2">
        <v>18012.21</v>
      </c>
      <c r="G21" s="2">
        <v>23624.87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10726.44</v>
      </c>
      <c r="D23" s="2">
        <v>27125.46</v>
      </c>
      <c r="E23" s="2">
        <v>24072.49</v>
      </c>
      <c r="F23" s="2">
        <v>18012.21</v>
      </c>
      <c r="G23" s="2">
        <v>23624.87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3706.66</v>
      </c>
      <c r="D25" s="2">
        <v>8887.44</v>
      </c>
      <c r="E25" s="2">
        <v>6139.96</v>
      </c>
      <c r="F25" s="2">
        <v>5379.53</v>
      </c>
      <c r="G25" s="2">
        <v>6237.86</v>
      </c>
      <c r="H25" t="s">
        <v>1</v>
      </c>
    </row>
    <row r="26" spans="1:8" x14ac:dyDescent="0.25">
      <c r="B26" t="s">
        <v>76</v>
      </c>
      <c r="C26">
        <v>0</v>
      </c>
      <c r="D26">
        <v>64.44</v>
      </c>
      <c r="E26">
        <v>-135.22999999999999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0</v>
      </c>
      <c r="D27">
        <v>1095.07</v>
      </c>
      <c r="E27" s="2">
        <v>1098.58</v>
      </c>
      <c r="F27" s="2">
        <v>-72.459999999999994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3706.66</v>
      </c>
      <c r="D29" s="2">
        <v>9662.4500000000007</v>
      </c>
      <c r="E29" s="2">
        <v>7370.98</v>
      </c>
      <c r="F29" s="2">
        <v>5307.07</v>
      </c>
      <c r="G29" s="2">
        <v>6237.86</v>
      </c>
      <c r="H29" t="s">
        <v>1</v>
      </c>
    </row>
    <row r="30" spans="1:8" x14ac:dyDescent="0.25">
      <c r="B30" t="s">
        <v>80</v>
      </c>
      <c r="C30" s="2">
        <v>7019.78</v>
      </c>
      <c r="D30" s="2">
        <v>17463.009999999998</v>
      </c>
      <c r="E30" s="2">
        <v>16701.509999999998</v>
      </c>
      <c r="F30" s="2">
        <v>12705.14</v>
      </c>
      <c r="G30" s="2">
        <v>17387.009999999998</v>
      </c>
      <c r="H30" t="s">
        <v>1</v>
      </c>
    </row>
    <row r="31" spans="1:8" x14ac:dyDescent="0.25">
      <c r="B31" t="s">
        <v>81</v>
      </c>
      <c r="C31" s="2">
        <v>7019.78</v>
      </c>
      <c r="D31" s="2">
        <v>17463.009999999998</v>
      </c>
      <c r="E31" s="2">
        <v>16701.509999999998</v>
      </c>
      <c r="F31" s="2">
        <v>12705.14</v>
      </c>
      <c r="G31" s="2">
        <v>17387.009999999998</v>
      </c>
      <c r="H31" t="s">
        <v>1</v>
      </c>
    </row>
    <row r="32" spans="1:8" x14ac:dyDescent="0.25">
      <c r="B32" t="s">
        <v>82</v>
      </c>
      <c r="C32" s="2">
        <v>7019.78</v>
      </c>
      <c r="D32" s="2">
        <v>17463.009999999998</v>
      </c>
      <c r="E32" s="2">
        <v>16701.509999999998</v>
      </c>
      <c r="F32" s="2">
        <v>12705.14</v>
      </c>
      <c r="G32" s="2">
        <v>17387.009999999998</v>
      </c>
      <c r="H32" t="s">
        <v>1</v>
      </c>
    </row>
    <row r="33" spans="1:8" x14ac:dyDescent="0.25">
      <c r="B33" t="s">
        <v>10</v>
      </c>
      <c r="C33">
        <v>0.12</v>
      </c>
      <c r="D33">
        <v>-0.33</v>
      </c>
      <c r="E33">
        <v>13.85</v>
      </c>
      <c r="F33">
        <v>-2.2799999999999998</v>
      </c>
      <c r="G33">
        <v>-20.32</v>
      </c>
      <c r="H33" t="s">
        <v>1</v>
      </c>
    </row>
    <row r="34" spans="1:8" x14ac:dyDescent="0.25">
      <c r="B34" t="s">
        <v>83</v>
      </c>
      <c r="C34" s="2">
        <v>7020.34</v>
      </c>
      <c r="D34" s="2">
        <v>17461.849999999999</v>
      </c>
      <c r="E34" s="2">
        <v>16714.189999999999</v>
      </c>
      <c r="F34" s="2">
        <v>12699.89</v>
      </c>
      <c r="G34" s="2">
        <v>17358.099999999999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11</v>
      </c>
      <c r="D37">
        <v>28</v>
      </c>
      <c r="E37">
        <v>27</v>
      </c>
      <c r="F37">
        <v>21</v>
      </c>
      <c r="G37">
        <v>28</v>
      </c>
      <c r="H37" t="s">
        <v>1</v>
      </c>
    </row>
    <row r="38" spans="1:8" x14ac:dyDescent="0.25">
      <c r="B38" t="s">
        <v>86</v>
      </c>
      <c r="C38">
        <v>11</v>
      </c>
      <c r="D38">
        <v>28</v>
      </c>
      <c r="E38">
        <v>27</v>
      </c>
      <c r="F38">
        <v>21</v>
      </c>
      <c r="G38">
        <v>28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10242.24</v>
      </c>
      <c r="D40" s="2">
        <v>8105.58</v>
      </c>
      <c r="E40" s="2">
        <v>7395.27</v>
      </c>
      <c r="F40" s="2">
        <v>7703.44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2081.5700000000002</v>
      </c>
      <c r="D41">
        <v>1833.86</v>
      </c>
      <c r="E41" s="2">
        <v>2282.08</v>
      </c>
      <c r="F41" s="2">
        <v>0</v>
      </c>
      <c r="G41" s="2">
        <v>0</v>
      </c>
      <c r="H41" t="s">
        <v>1</v>
      </c>
    </row>
  </sheetData>
  <hyperlinks>
    <hyperlink ref="F1" location="Index_Data!A1" tooltip="Hi click here To return Index page" display="Index_Data!A1" xr:uid="{85394172-8975-4838-8DF5-18E596C12DE0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779A8-3EBE-40AC-BF88-56F2B49CBF36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170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88119.26999999999</v>
      </c>
      <c r="D6" s="13">
        <f>Balance_Sheet!D72</f>
        <v>89994.432472991321</v>
      </c>
      <c r="E6" s="13">
        <f>Balance_Sheet!E72</f>
        <v>103617.50983226976</v>
      </c>
      <c r="F6" s="13">
        <f>Balance_Sheet!F72</f>
        <v>99509.252104849569</v>
      </c>
      <c r="G6" s="13">
        <f>Balance_Sheet!G72</f>
        <v>120448.79769317736</v>
      </c>
    </row>
    <row r="7" spans="2:15" ht="18.75" x14ac:dyDescent="0.25">
      <c r="B7" s="12" t="str">
        <f>Balance_Sheet!B66</f>
        <v>Inventories</v>
      </c>
      <c r="C7" s="13">
        <f>Balance_Sheet!C66</f>
        <v>6443.85</v>
      </c>
      <c r="D7" s="13">
        <f>Balance_Sheet!D66</f>
        <v>5583.93</v>
      </c>
      <c r="E7" s="13">
        <f>Balance_Sheet!E66</f>
        <v>6617.98</v>
      </c>
      <c r="F7" s="13">
        <f>Balance_Sheet!F66</f>
        <v>8947.4699999999993</v>
      </c>
      <c r="G7" s="13">
        <f>Balance_Sheet!G66</f>
        <v>7075.68</v>
      </c>
    </row>
    <row r="8" spans="2:15" ht="18.75" x14ac:dyDescent="0.25">
      <c r="B8" s="12" t="str">
        <f>Balance_Sheet!B33</f>
        <v>Total Current Liabilities</v>
      </c>
      <c r="C8" s="13">
        <f>Balance_Sheet!C33</f>
        <v>105751.77</v>
      </c>
      <c r="D8" s="13">
        <f>Balance_Sheet!D33</f>
        <v>103655.38999999998</v>
      </c>
      <c r="E8" s="13">
        <f>Balance_Sheet!E33</f>
        <v>111043.45</v>
      </c>
      <c r="F8" s="13">
        <f>Balance_Sheet!F33</f>
        <v>118223.88</v>
      </c>
      <c r="G8" s="13">
        <f>Balance_Sheet!G33</f>
        <v>132305.72</v>
      </c>
    </row>
    <row r="9" spans="2:15" ht="18.75" x14ac:dyDescent="0.25">
      <c r="B9" s="14" t="s">
        <v>171</v>
      </c>
      <c r="C9" s="14">
        <f>ROUND((C6-C7)/ C8, 2)</f>
        <v>0.77</v>
      </c>
      <c r="D9" s="14">
        <f t="shared" ref="D9:G9" si="0">ROUND((D6-D7)/ D8, 2)</f>
        <v>0.81</v>
      </c>
      <c r="E9" s="14">
        <f t="shared" si="0"/>
        <v>0.87</v>
      </c>
      <c r="F9" s="14">
        <f t="shared" si="0"/>
        <v>0.77</v>
      </c>
      <c r="G9" s="14">
        <f t="shared" si="0"/>
        <v>0.86</v>
      </c>
    </row>
  </sheetData>
  <mergeCells count="1">
    <mergeCell ref="B5:G5"/>
  </mergeCells>
  <hyperlinks>
    <hyperlink ref="F1" location="Index_Data!A1" tooltip="Hi click here To return Index page" display="Index_Data!A1" xr:uid="{DFB6987B-C27C-4957-9EAD-DACEF655CD94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3AE9A-C78C-412C-8E66-B15C9E6F676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3" width="11.5703125" bestFit="1" customWidth="1"/>
    <col min="4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9049.1191195840838</v>
      </c>
      <c r="D6" s="13">
        <f>Income_Statement!D33</f>
        <v>21722.352472991333</v>
      </c>
      <c r="E6" s="13">
        <f>Income_Statement!E33</f>
        <v>17034.137359278418</v>
      </c>
      <c r="F6" s="13">
        <f>Income_Statement!F33</f>
        <v>10315.102272579823</v>
      </c>
      <c r="G6" s="13">
        <f>Income_Statement!G33</f>
        <v>26579.445588327784</v>
      </c>
    </row>
    <row r="7" spans="2:15" ht="18.75" x14ac:dyDescent="0.25">
      <c r="B7" s="12" t="str">
        <f>Income_Statement!B35</f>
        <v>Finance Costs</v>
      </c>
      <c r="C7" s="13">
        <f>Income_Statement!C35</f>
        <v>431.79</v>
      </c>
      <c r="D7" s="13">
        <f>Income_Statement!D35</f>
        <v>275.04000000000002</v>
      </c>
      <c r="E7" s="13">
        <f>Income_Statement!E35</f>
        <v>502.92</v>
      </c>
      <c r="F7" s="13">
        <f>Income_Statement!F35</f>
        <v>644.69000000000005</v>
      </c>
      <c r="G7" s="13">
        <f>Income_Statement!G35</f>
        <v>541.49</v>
      </c>
    </row>
    <row r="8" spans="2:15" ht="18.75" x14ac:dyDescent="0.25">
      <c r="B8" s="14" t="s">
        <v>173</v>
      </c>
      <c r="C8" s="14">
        <f>ROUND(C6/C7, 2)</f>
        <v>20.96</v>
      </c>
      <c r="D8" s="14">
        <f t="shared" ref="D8:G8" si="0">ROUND(D6/D7, 2)</f>
        <v>78.98</v>
      </c>
      <c r="E8" s="14">
        <f t="shared" si="0"/>
        <v>33.869999999999997</v>
      </c>
      <c r="F8" s="14">
        <f t="shared" si="0"/>
        <v>16</v>
      </c>
      <c r="G8" s="14">
        <f t="shared" si="0"/>
        <v>49.09</v>
      </c>
    </row>
  </sheetData>
  <mergeCells count="1">
    <mergeCell ref="B5:G5"/>
  </mergeCells>
  <hyperlinks>
    <hyperlink ref="F1" location="Index_Data!A1" tooltip="Hi click here To return Index page" display="Index_Data!A1" xr:uid="{922AC3F2-3F61-4516-929B-E103AF845C8E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B6E62-515F-4342-824E-948B08E0033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174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9345.99</v>
      </c>
      <c r="D6" s="13">
        <f>Income_Statement!D17</f>
        <v>9774.51</v>
      </c>
      <c r="E6" s="13">
        <f>Income_Statement!E17</f>
        <v>9552.7800000000007</v>
      </c>
      <c r="F6" s="13">
        <f>Income_Statement!F17</f>
        <v>10123.540000000001</v>
      </c>
      <c r="G6" s="13">
        <f>Income_Statement!G17</f>
        <v>9442.18</v>
      </c>
    </row>
    <row r="7" spans="2:15" ht="18.75" x14ac:dyDescent="0.25">
      <c r="B7" s="12" t="str">
        <f>Income_Statement!B9</f>
        <v>Net Sales</v>
      </c>
      <c r="C7" s="13">
        <f>Income_Statement!C9</f>
        <v>81700</v>
      </c>
      <c r="D7" s="13">
        <f>Income_Statement!D9</f>
        <v>92896.08</v>
      </c>
      <c r="E7" s="13">
        <f>Income_Statement!E9</f>
        <v>89373.34</v>
      </c>
      <c r="F7" s="13">
        <f>Income_Statement!F9</f>
        <v>82710.320000000007</v>
      </c>
      <c r="G7" s="13">
        <f>Income_Statement!G9</f>
        <v>109713.5</v>
      </c>
    </row>
    <row r="8" spans="2:15" ht="18.75" x14ac:dyDescent="0.25">
      <c r="B8" s="14" t="s">
        <v>175</v>
      </c>
      <c r="C8" s="14">
        <f>ROUND(C6/C7, 2)</f>
        <v>0.11</v>
      </c>
      <c r="D8" s="14">
        <f t="shared" ref="D8:G8" si="0">ROUND(D6/D7, 2)</f>
        <v>0.11</v>
      </c>
      <c r="E8" s="14">
        <f t="shared" si="0"/>
        <v>0.11</v>
      </c>
      <c r="F8" s="14">
        <f t="shared" si="0"/>
        <v>0.12</v>
      </c>
      <c r="G8" s="14">
        <f t="shared" si="0"/>
        <v>0.09</v>
      </c>
    </row>
  </sheetData>
  <mergeCells count="1">
    <mergeCell ref="B5:G5"/>
  </mergeCells>
  <hyperlinks>
    <hyperlink ref="F1" location="Index_Data!A1" tooltip="Hi click here To return Index page" display="Index_Data!A1" xr:uid="{EF5DDFBB-5067-4BDE-97BF-BC05917B7AD9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1B31-4536-4867-B478-6535BC984BE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176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31475.07</v>
      </c>
      <c r="D6" s="13">
        <f>Balance_Sheet!D70</f>
        <v>33843.392472991327</v>
      </c>
      <c r="E6" s="13">
        <f>Balance_Sheet!E70</f>
        <v>28823.719832269751</v>
      </c>
      <c r="F6" s="13">
        <f>Balance_Sheet!F70</f>
        <v>13885.142104849579</v>
      </c>
      <c r="G6" s="13">
        <f>Balance_Sheet!G70</f>
        <v>38665.397693177365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9345.99</v>
      </c>
      <c r="D7" s="13">
        <f>Income_Statement!D17</f>
        <v>9774.51</v>
      </c>
      <c r="E7" s="13">
        <f>Income_Statement!E17</f>
        <v>9552.7800000000007</v>
      </c>
      <c r="F7" s="13">
        <f>Income_Statement!F17</f>
        <v>10123.540000000001</v>
      </c>
      <c r="G7" s="13">
        <f>Income_Statement!G17</f>
        <v>9442.18</v>
      </c>
    </row>
    <row r="8" spans="2:15" ht="18.75" x14ac:dyDescent="0.25">
      <c r="B8" s="14" t="s">
        <v>177</v>
      </c>
      <c r="C8" s="14">
        <f>ROUND(C6/C7*365, 2)</f>
        <v>1229.23</v>
      </c>
      <c r="D8" s="14">
        <f t="shared" ref="D8:G8" si="0">ROUND(D6/D7*365, 2)</f>
        <v>1263.78</v>
      </c>
      <c r="E8" s="14">
        <f t="shared" si="0"/>
        <v>1101.32</v>
      </c>
      <c r="F8" s="14">
        <f t="shared" si="0"/>
        <v>500.62</v>
      </c>
      <c r="G8" s="14">
        <f t="shared" si="0"/>
        <v>1494.66</v>
      </c>
    </row>
  </sheetData>
  <mergeCells count="1">
    <mergeCell ref="B5:G5"/>
  </mergeCells>
  <hyperlinks>
    <hyperlink ref="F1" location="Index_Data!A1" tooltip="Hi click here To return Index page" display="Index_Data!A1" xr:uid="{34EF81CD-FD58-4256-9D12-7026F641F80F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F9724-261D-4E51-A78C-B392E706F92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7" width="14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178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31475.07</v>
      </c>
      <c r="D6" s="13">
        <f>Balance_Sheet!D70</f>
        <v>33843.392472991327</v>
      </c>
      <c r="E6" s="13">
        <f>Balance_Sheet!E70</f>
        <v>28823.719832269751</v>
      </c>
      <c r="F6" s="13">
        <f>Balance_Sheet!F70</f>
        <v>13885.142104849579</v>
      </c>
      <c r="G6" s="13">
        <f>Balance_Sheet!G70</f>
        <v>38665.397693177365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31475.07</v>
      </c>
      <c r="D8" s="14">
        <f t="shared" ref="D8:G8" si="0">ROUND(D6/D7*365, 2)</f>
        <v>33843.39</v>
      </c>
      <c r="E8" s="14">
        <f t="shared" si="0"/>
        <v>28823.72</v>
      </c>
      <c r="F8" s="14">
        <f t="shared" si="0"/>
        <v>13885.14</v>
      </c>
      <c r="G8" s="14">
        <f t="shared" si="0"/>
        <v>38665.4</v>
      </c>
    </row>
  </sheetData>
  <mergeCells count="1">
    <mergeCell ref="B5:G5"/>
  </mergeCells>
  <hyperlinks>
    <hyperlink ref="F1" location="Index_Data!A1" tooltip="Hi click here To return Index page" display="Index_Data!A1" xr:uid="{3F85E6C8-4253-4A5E-A2DD-26F6CC31232F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36BB6-9778-4C3C-AC1F-FC27A300898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Balance_Sheet!B74</f>
        <v>Total Assets</v>
      </c>
      <c r="C7" s="13">
        <f>Balance_Sheet!C74</f>
        <v>127491.72999999998</v>
      </c>
      <c r="D7" s="13">
        <f>Balance_Sheet!D74</f>
        <v>127912.22247299133</v>
      </c>
      <c r="E7" s="13">
        <f>Balance_Sheet!E74</f>
        <v>139300.75983226974</v>
      </c>
      <c r="F7" s="13">
        <f>Balance_Sheet!F74</f>
        <v>143052.43210484958</v>
      </c>
      <c r="G7" s="13">
        <f>Balance_Sheet!G74</f>
        <v>174690.48769317736</v>
      </c>
    </row>
    <row r="8" spans="2:15" ht="18.75" x14ac:dyDescent="0.25">
      <c r="B8" s="14" t="s">
        <v>182</v>
      </c>
      <c r="C8" s="14">
        <f>ROUND(C6/C7, 2)</f>
        <v>1</v>
      </c>
      <c r="D8" s="14">
        <f t="shared" ref="D8:G8" si="0">ROUND(D6/D7, 2)</f>
        <v>1.1000000000000001</v>
      </c>
      <c r="E8" s="14">
        <f t="shared" si="0"/>
        <v>0.97</v>
      </c>
      <c r="F8" s="14">
        <f t="shared" si="0"/>
        <v>0.89</v>
      </c>
      <c r="G8" s="14">
        <f t="shared" si="0"/>
        <v>0.63</v>
      </c>
    </row>
  </sheetData>
  <mergeCells count="1">
    <mergeCell ref="B5:G5"/>
  </mergeCells>
  <hyperlinks>
    <hyperlink ref="F1" location="Index_Data!A1" tooltip="Hi click here To return Index page" display="Index_Data!A1" xr:uid="{32887127-C5CE-473B-B598-87442CABB18A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A4E5-B062-4ABA-BD97-64F8057C478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183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Balance_Sheet!B66</f>
        <v>Inventories</v>
      </c>
      <c r="C7" s="13">
        <f>Balance_Sheet!C66</f>
        <v>6443.85</v>
      </c>
      <c r="D7" s="13">
        <f>Balance_Sheet!D66</f>
        <v>5583.93</v>
      </c>
      <c r="E7" s="13">
        <f>Balance_Sheet!E66</f>
        <v>6617.98</v>
      </c>
      <c r="F7" s="13">
        <f>Balance_Sheet!F66</f>
        <v>8947.4699999999993</v>
      </c>
      <c r="G7" s="13">
        <f>Balance_Sheet!G66</f>
        <v>7075.68</v>
      </c>
    </row>
    <row r="8" spans="2:15" ht="18.75" x14ac:dyDescent="0.25">
      <c r="B8" s="14" t="s">
        <v>184</v>
      </c>
      <c r="C8" s="14">
        <f>ROUND(C6/C7, 2)</f>
        <v>19.73</v>
      </c>
      <c r="D8" s="14">
        <f t="shared" ref="D8:G8" si="0">ROUND(D6/D7, 2)</f>
        <v>25.18</v>
      </c>
      <c r="E8" s="14">
        <f t="shared" si="0"/>
        <v>20.399999999999999</v>
      </c>
      <c r="F8" s="14">
        <f t="shared" si="0"/>
        <v>14.17</v>
      </c>
      <c r="G8" s="14">
        <f t="shared" si="0"/>
        <v>15.51</v>
      </c>
    </row>
  </sheetData>
  <mergeCells count="1">
    <mergeCell ref="B5:G5"/>
  </mergeCells>
  <hyperlinks>
    <hyperlink ref="F1" location="Index_Data!A1" tooltip="Hi click here To return Index page" display="Index_Data!A1" xr:uid="{2238253A-E880-45B7-BB56-69508FBB328D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469B6-8BDE-40C0-9CFF-A7538DF7C77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Balance_Sheet!B68</f>
        <v>Trade Receivables</v>
      </c>
      <c r="C7" s="13">
        <f>Balance_Sheet!C68</f>
        <v>8689.16</v>
      </c>
      <c r="D7" s="13">
        <f>Balance_Sheet!D68</f>
        <v>5498.55</v>
      </c>
      <c r="E7" s="13">
        <f>Balance_Sheet!E68</f>
        <v>14408.22</v>
      </c>
      <c r="F7" s="13">
        <f>Balance_Sheet!F68</f>
        <v>19623.12</v>
      </c>
      <c r="G7" s="13">
        <f>Balance_Sheet!G68</f>
        <v>11367.68</v>
      </c>
    </row>
    <row r="8" spans="2:15" ht="18.75" x14ac:dyDescent="0.25">
      <c r="B8" s="14" t="s">
        <v>186</v>
      </c>
      <c r="C8" s="14">
        <f>ROUND(C6/C7, 2)</f>
        <v>14.63</v>
      </c>
      <c r="D8" s="14">
        <f t="shared" ref="D8:G8" si="0">ROUND(D6/D7, 2)</f>
        <v>25.57</v>
      </c>
      <c r="E8" s="14">
        <f t="shared" si="0"/>
        <v>9.3699999999999992</v>
      </c>
      <c r="F8" s="14">
        <f t="shared" si="0"/>
        <v>6.46</v>
      </c>
      <c r="G8" s="14">
        <f t="shared" si="0"/>
        <v>9.65</v>
      </c>
    </row>
  </sheetData>
  <mergeCells count="1">
    <mergeCell ref="B5:G5"/>
  </mergeCells>
  <hyperlinks>
    <hyperlink ref="F1" location="Index_Data!A1" tooltip="Hi click here To return Index page" display="Index_Data!A1" xr:uid="{67BDD3E9-9AF4-462B-84E3-65713F96D8FA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21B2-CE4B-4E3B-9AAA-EEC5478E4C9C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Balance_Sheet!B40</f>
        <v>Tangible Assets</v>
      </c>
      <c r="C7" s="13">
        <f>Balance_Sheet!C40</f>
        <v>24063.3</v>
      </c>
      <c r="D7" s="13">
        <f>Balance_Sheet!D40</f>
        <v>28539.06</v>
      </c>
      <c r="E7" s="13">
        <f>Balance_Sheet!E40</f>
        <v>32302.35</v>
      </c>
      <c r="F7" s="13">
        <f>Balance_Sheet!F40</f>
        <v>37753.65</v>
      </c>
      <c r="G7" s="13">
        <f>Balance_Sheet!G40</f>
        <v>59574.1</v>
      </c>
    </row>
    <row r="8" spans="2:15" ht="18.75" x14ac:dyDescent="0.25">
      <c r="B8" s="14" t="s">
        <v>188</v>
      </c>
      <c r="C8" s="14">
        <f>ROUND(C6/C7, 2)</f>
        <v>5.28</v>
      </c>
      <c r="D8" s="14">
        <f t="shared" ref="D8:G8" si="0">ROUND(D6/D7, 2)</f>
        <v>4.93</v>
      </c>
      <c r="E8" s="14">
        <f t="shared" si="0"/>
        <v>4.18</v>
      </c>
      <c r="F8" s="14">
        <f t="shared" si="0"/>
        <v>3.36</v>
      </c>
      <c r="G8" s="14">
        <f t="shared" si="0"/>
        <v>1.84</v>
      </c>
    </row>
  </sheetData>
  <mergeCells count="1">
    <mergeCell ref="B5:G5"/>
  </mergeCells>
  <hyperlinks>
    <hyperlink ref="F1" location="Index_Data!A1" tooltip="Hi click here To return Index page" display="Index_Data!A1" xr:uid="{32E1B24E-2207-40B3-9FA6-994B39C56627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ED19-8D2D-4717-B298-53D01DCC53B9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189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9345.99</v>
      </c>
      <c r="D6" s="13">
        <f>Income_Statement!D17</f>
        <v>9774.51</v>
      </c>
      <c r="E6" s="13">
        <f>Income_Statement!E17</f>
        <v>9552.7800000000007</v>
      </c>
      <c r="F6" s="13">
        <f>Income_Statement!F17</f>
        <v>10123.540000000001</v>
      </c>
      <c r="G6" s="13">
        <f>Income_Statement!G17</f>
        <v>9442.18</v>
      </c>
    </row>
    <row r="7" spans="2:15" ht="18.75" x14ac:dyDescent="0.25">
      <c r="B7" s="12" t="str">
        <f>Balance_Sheet!B33</f>
        <v>Total Current Liabilities</v>
      </c>
      <c r="C7" s="13">
        <f>Balance_Sheet!C33</f>
        <v>105751.77</v>
      </c>
      <c r="D7" s="13">
        <f>Balance_Sheet!D33</f>
        <v>103655.38999999998</v>
      </c>
      <c r="E7" s="13">
        <f>Balance_Sheet!E33</f>
        <v>111043.45</v>
      </c>
      <c r="F7" s="13">
        <f>Balance_Sheet!F33</f>
        <v>118223.88</v>
      </c>
      <c r="G7" s="13">
        <f>Balance_Sheet!G33</f>
        <v>132305.72</v>
      </c>
    </row>
    <row r="8" spans="2:15" ht="18.75" x14ac:dyDescent="0.25">
      <c r="B8" s="14" t="s">
        <v>190</v>
      </c>
      <c r="C8" s="14">
        <f>ROUND(C6/C7, 2)</f>
        <v>0.09</v>
      </c>
      <c r="D8" s="14">
        <f t="shared" ref="D8:G8" si="0">ROUND(D6/D7, 2)</f>
        <v>0.09</v>
      </c>
      <c r="E8" s="14">
        <f t="shared" si="0"/>
        <v>0.09</v>
      </c>
      <c r="F8" s="14">
        <f t="shared" si="0"/>
        <v>0.09</v>
      </c>
      <c r="G8" s="14">
        <f t="shared" si="0"/>
        <v>7.0000000000000007E-2</v>
      </c>
    </row>
  </sheetData>
  <mergeCells count="1">
    <mergeCell ref="B5:G5"/>
  </mergeCells>
  <hyperlinks>
    <hyperlink ref="F1" location="Index_Data!A1" tooltip="Hi click here To return Index page" display="Index_Data!A1" xr:uid="{049110EF-89F5-4A32-82CA-7E91EFAE42A3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214C-59F9-4541-B61A-DE58C3BA7A02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6" t="s">
        <v>270</v>
      </c>
    </row>
    <row r="2" spans="1:1" x14ac:dyDescent="0.25">
      <c r="A2" s="46" t="s">
        <v>272</v>
      </c>
    </row>
    <row r="3" spans="1:1" x14ac:dyDescent="0.25">
      <c r="A3" s="47"/>
    </row>
    <row r="4" spans="1:1" x14ac:dyDescent="0.25">
      <c r="A4" s="46" t="s">
        <v>120</v>
      </c>
    </row>
    <row r="5" spans="1:1" x14ac:dyDescent="0.25">
      <c r="A5" s="46" t="s">
        <v>128</v>
      </c>
    </row>
    <row r="6" spans="1:1" x14ac:dyDescent="0.25">
      <c r="A6" s="46" t="s">
        <v>143</v>
      </c>
    </row>
    <row r="7" spans="1:1" x14ac:dyDescent="0.25">
      <c r="A7" s="46" t="s">
        <v>273</v>
      </c>
    </row>
    <row r="8" spans="1:1" x14ac:dyDescent="0.25">
      <c r="A8" s="46" t="s">
        <v>146</v>
      </c>
    </row>
    <row r="9" spans="1:1" x14ac:dyDescent="0.25">
      <c r="A9" s="46" t="s">
        <v>148</v>
      </c>
    </row>
    <row r="10" spans="1:1" x14ac:dyDescent="0.25">
      <c r="A10" s="46" t="s">
        <v>150</v>
      </c>
    </row>
    <row r="11" spans="1:1" x14ac:dyDescent="0.25">
      <c r="A11" s="46" t="s">
        <v>152</v>
      </c>
    </row>
    <row r="12" spans="1:1" x14ac:dyDescent="0.25">
      <c r="A12" s="46" t="s">
        <v>155</v>
      </c>
    </row>
    <row r="13" spans="1:1" x14ac:dyDescent="0.25">
      <c r="A13" s="46" t="s">
        <v>157</v>
      </c>
    </row>
    <row r="14" spans="1:1" x14ac:dyDescent="0.25">
      <c r="A14" s="46" t="s">
        <v>159</v>
      </c>
    </row>
    <row r="15" spans="1:1" x14ac:dyDescent="0.25">
      <c r="A15" s="46" t="s">
        <v>161</v>
      </c>
    </row>
    <row r="16" spans="1:1" x14ac:dyDescent="0.25">
      <c r="A16" s="46" t="s">
        <v>163</v>
      </c>
    </row>
    <row r="17" spans="1:1" x14ac:dyDescent="0.25">
      <c r="A17" s="46" t="s">
        <v>165</v>
      </c>
    </row>
    <row r="18" spans="1:1" x14ac:dyDescent="0.25">
      <c r="A18" s="46" t="s">
        <v>167</v>
      </c>
    </row>
    <row r="19" spans="1:1" x14ac:dyDescent="0.25">
      <c r="A19" s="46" t="s">
        <v>169</v>
      </c>
    </row>
    <row r="20" spans="1:1" x14ac:dyDescent="0.25">
      <c r="A20" s="46" t="s">
        <v>171</v>
      </c>
    </row>
    <row r="21" spans="1:1" x14ac:dyDescent="0.25">
      <c r="A21" s="46" t="s">
        <v>173</v>
      </c>
    </row>
    <row r="22" spans="1:1" x14ac:dyDescent="0.25">
      <c r="A22" s="46" t="s">
        <v>175</v>
      </c>
    </row>
    <row r="23" spans="1:1" x14ac:dyDescent="0.25">
      <c r="A23" s="46" t="s">
        <v>177</v>
      </c>
    </row>
    <row r="24" spans="1:1" x14ac:dyDescent="0.25">
      <c r="A24" s="46" t="s">
        <v>180</v>
      </c>
    </row>
    <row r="25" spans="1:1" x14ac:dyDescent="0.25">
      <c r="A25" s="46" t="s">
        <v>182</v>
      </c>
    </row>
    <row r="26" spans="1:1" x14ac:dyDescent="0.25">
      <c r="A26" s="46" t="s">
        <v>184</v>
      </c>
    </row>
    <row r="27" spans="1:1" x14ac:dyDescent="0.25">
      <c r="A27" s="46" t="s">
        <v>186</v>
      </c>
    </row>
    <row r="28" spans="1:1" x14ac:dyDescent="0.25">
      <c r="A28" s="46" t="s">
        <v>188</v>
      </c>
    </row>
    <row r="29" spans="1:1" x14ac:dyDescent="0.25">
      <c r="A29" s="46" t="s">
        <v>190</v>
      </c>
    </row>
    <row r="30" spans="1:1" x14ac:dyDescent="0.25">
      <c r="A30" s="46" t="s">
        <v>192</v>
      </c>
    </row>
    <row r="31" spans="1:1" x14ac:dyDescent="0.25">
      <c r="A31" s="46" t="s">
        <v>194</v>
      </c>
    </row>
    <row r="32" spans="1:1" x14ac:dyDescent="0.25">
      <c r="A32" s="46" t="s">
        <v>196</v>
      </c>
    </row>
    <row r="33" spans="1:1" x14ac:dyDescent="0.25">
      <c r="A33" s="46" t="s">
        <v>198</v>
      </c>
    </row>
    <row r="34" spans="1:1" x14ac:dyDescent="0.25">
      <c r="A34" s="46" t="s">
        <v>201</v>
      </c>
    </row>
    <row r="35" spans="1:1" x14ac:dyDescent="0.25">
      <c r="A35" s="46" t="s">
        <v>274</v>
      </c>
    </row>
    <row r="36" spans="1:1" x14ac:dyDescent="0.25">
      <c r="A36" s="46" t="s">
        <v>275</v>
      </c>
    </row>
    <row r="37" spans="1:1" x14ac:dyDescent="0.25">
      <c r="A37" s="46" t="s">
        <v>276</v>
      </c>
    </row>
    <row r="38" spans="1:1" x14ac:dyDescent="0.25">
      <c r="A38" s="46" t="s">
        <v>278</v>
      </c>
    </row>
    <row r="39" spans="1:1" x14ac:dyDescent="0.25">
      <c r="A39" s="46" t="s">
        <v>279</v>
      </c>
    </row>
    <row r="40" spans="1:1" x14ac:dyDescent="0.25">
      <c r="A40" s="46" t="s">
        <v>280</v>
      </c>
    </row>
    <row r="41" spans="1:1" x14ac:dyDescent="0.25">
      <c r="A41" s="46" t="s">
        <v>281</v>
      </c>
    </row>
    <row r="42" spans="1:1" x14ac:dyDescent="0.25">
      <c r="A42" s="46" t="s">
        <v>282</v>
      </c>
    </row>
    <row r="43" spans="1:1" x14ac:dyDescent="0.25">
      <c r="A43" s="46" t="s">
        <v>283</v>
      </c>
    </row>
    <row r="44" spans="1:1" x14ac:dyDescent="0.25">
      <c r="A44" s="46" t="s">
        <v>284</v>
      </c>
    </row>
    <row r="45" spans="1:1" x14ac:dyDescent="0.25">
      <c r="A45" s="46" t="s">
        <v>277</v>
      </c>
    </row>
    <row r="46" spans="1:1" x14ac:dyDescent="0.25">
      <c r="A46" s="46" t="s">
        <v>285</v>
      </c>
    </row>
    <row r="47" spans="1:1" x14ac:dyDescent="0.25">
      <c r="A47" s="46" t="s">
        <v>286</v>
      </c>
    </row>
    <row r="48" spans="1:1" x14ac:dyDescent="0.25">
      <c r="A48" s="46" t="s">
        <v>287</v>
      </c>
    </row>
  </sheetData>
  <hyperlinks>
    <hyperlink ref="A1" location="BSInput!A1" tooltip="Hi click here to view the sheet" display="BSInput!A1" xr:uid="{76EBFC57-9053-4A27-9442-66D696B88225}"/>
    <hyperlink ref="A2" location="ISMInput!A1" tooltip="Hi click here to view the sheet" display="ISMInput!A1" xr:uid="{4BD8A870-40A3-484A-9BA0-13CF8FFDDD71}"/>
    <hyperlink ref="A4" location="Income_Statement!A1" tooltip="Hi click here to view the sheet" display="Income_Statement!A1" xr:uid="{15867A38-27D4-431B-9BDA-342B951FFF62}"/>
    <hyperlink ref="A5" location="Balance_Sheet!A1" tooltip="Hi click here to view the sheet" display="Balance_Sheet!A1" xr:uid="{2BF3C0F2-FBD9-4CA5-ABC9-C18A7EF83C15}"/>
    <hyperlink ref="A6" location="CashFlow_Statement!A1" tooltip="Hi click here to view the sheet" display="CashFlow_Statement!A1" xr:uid="{897B4245-2AF2-4F1B-AA33-2203D997BEF3}"/>
    <hyperlink ref="A7" location="Ratios!A1" tooltip="Hi click here to view the sheet" display="Ratios!A1" xr:uid="{D4660DE6-5B33-48B2-861E-FE2C8357712C}"/>
    <hyperlink ref="A8" location="Earning__Per_Share!A1" tooltip="Hi click here to view the sheet" display="Earning__Per_Share!A1" xr:uid="{F1682228-7662-4557-B694-B10E4D211E7E}"/>
    <hyperlink ref="A9" location="Equity_Dividend_Per_Share!A1" tooltip="Hi click here to view the sheet" display="Equity_Dividend_Per_Share!A1" xr:uid="{EF2627CF-E65C-4CCA-976D-424356204FB8}"/>
    <hyperlink ref="A10" location="Book_Value__Per_Share!A1" tooltip="Hi click here to view the sheet" display="Book_Value__Per_Share!A1" xr:uid="{D0653C38-9180-44F7-AF93-7DB9386785D3}"/>
    <hyperlink ref="A11" location="Dividend_Pay_Out_Ratio!A1" tooltip="Hi click here to view the sheet" display="Dividend_Pay_Out_Ratio!A1" xr:uid="{E0333F66-82F0-4824-ADC3-23F56E8AA9F5}"/>
    <hyperlink ref="A12" location="Dividend_Retention_Ratio!A1" tooltip="Hi click here to view the sheet" display="Dividend_Retention_Ratio!A1" xr:uid="{D361B22B-E1F9-4C1C-9BFF-D24BBA6E8FED}"/>
    <hyperlink ref="A13" location="Gross_Profit!A1" tooltip="Hi click here to view the sheet" display="Gross_Profit!A1" xr:uid="{E51AC989-CD32-4B68-802F-F06CDDBAA1CC}"/>
    <hyperlink ref="A14" location="Net_Profit!A1" tooltip="Hi click here to view the sheet" display="Net_Profit!A1" xr:uid="{16AA6C25-6E90-43DD-93A9-7F0A09737D88}"/>
    <hyperlink ref="A15" location="Return_On_Assets!A1" tooltip="Hi click here to view the sheet" display="Return_On_Assets!A1" xr:uid="{A3999CF9-D706-401D-B166-9C9F3FDBC1FF}"/>
    <hyperlink ref="A16" location="Return_On_Capital_Employeed!A1" tooltip="Hi click here to view the sheet" display="Return_On_Capital_Employeed!A1" xr:uid="{7283E82B-D15B-42E9-8532-359BCEB97349}"/>
    <hyperlink ref="A17" location="Return_On_Equity!A1" tooltip="Hi click here to view the sheet" display="Return_On_Equity!A1" xr:uid="{C8338237-E861-498F-9BED-7C771A82353D}"/>
    <hyperlink ref="A18" location="Debt_Equity_Ratio!A1" tooltip="Hi click here to view the sheet" display="Debt_Equity_Ratio!A1" xr:uid="{C5DF2602-81AA-413B-A5E9-1804C2F167D0}"/>
    <hyperlink ref="A19" location="Current_Ratio!A1" tooltip="Hi click here to view the sheet" display="Current_Ratio!A1" xr:uid="{9E3EABF7-EDE9-4977-881A-CFFF2D496B26}"/>
    <hyperlink ref="A20" location="Quick_Ratio!A1" tooltip="Hi click here to view the sheet" display="Quick_Ratio!A1" xr:uid="{09411223-3822-418A-9A6F-21E0CBAFFDA1}"/>
    <hyperlink ref="A21" location="Interest_Coverage_Ratio!A1" tooltip="Hi click here to view the sheet" display="Interest_Coverage_Ratio!A1" xr:uid="{296CF5EA-9A80-4BAD-BC91-72CDF4F7C6F9}"/>
    <hyperlink ref="A22" location="Material_Consumed!A1" tooltip="Hi click here to view the sheet" display="Material_Consumed!A1" xr:uid="{541691D0-3CEE-4E0A-AD2F-B6F99C58EAD4}"/>
    <hyperlink ref="A23" location="Defensive_Interval_Ratio!A1" tooltip="Hi click here to view the sheet" display="Defensive_Interval_Ratio!A1" xr:uid="{37D94A32-4C55-4E4F-804D-35E26949A126}"/>
    <hyperlink ref="A24" location="Purchases_Per_Day!A1" tooltip="Hi click here to view the sheet" display="Purchases_Per_Day!A1" xr:uid="{CFAECD6D-55C3-4A01-AA9F-25737C416E96}"/>
    <hyperlink ref="A25" location="Asset_TurnOver_Ratio!A1" tooltip="Hi click here to view the sheet" display="Asset_TurnOver_Ratio!A1" xr:uid="{3951A5FC-A761-4B5F-8294-6B6B0B77C07A}"/>
    <hyperlink ref="A26" location="Inventory_TurnOver_Ratio!A1" tooltip="Hi click here to view the sheet" display="Inventory_TurnOver_Ratio!A1" xr:uid="{61A564DE-AE62-4575-BA78-03E3D1D79039}"/>
    <hyperlink ref="A27" location="Debtors_TurnOver_Ratio!A1" tooltip="Hi click here to view the sheet" display="Debtors_TurnOver_Ratio!A1" xr:uid="{B316F3AA-1CFB-4262-A160-8C928477965A}"/>
    <hyperlink ref="A28" location="Fixed_Assets_TurnOver_Ratio!A1" tooltip="Hi click here to view the sheet" display="Fixed_Assets_TurnOver_Ratio!A1" xr:uid="{03460BEF-501B-4C11-889F-7312665B5E16}"/>
    <hyperlink ref="A29" location="Payable_TurnOver_Ratio!A1" tooltip="Hi click here to view the sheet" display="Payable_TurnOver_Ratio!A1" xr:uid="{269A2990-0175-4E44-A8FB-2BC7FB2C5D81}"/>
    <hyperlink ref="A30" location="Inventory_Days!A1" tooltip="Hi click here to view the sheet" display="Inventory_Days!A1" xr:uid="{2FE30B16-DD40-4812-B985-46C56525DD55}"/>
    <hyperlink ref="A31" location="Payable_Days!A1" tooltip="Hi click here to view the sheet" display="Payable_Days!A1" xr:uid="{0CF564E3-6558-41A2-815A-66E7C0387507}"/>
    <hyperlink ref="A32" location="Receivable_Days!A1" tooltip="Hi click here to view the sheet" display="Receivable_Days!A1" xr:uid="{8B6CE6D6-7F43-43A7-B052-D6679A412C53}"/>
    <hyperlink ref="A33" location="Operating_Cycle!A1" tooltip="Hi click here to view the sheet" display="Operating_Cycle!A1" xr:uid="{CB31EE7C-CDFC-43B0-ADF1-4D13FED88A0E}"/>
    <hyperlink ref="A34" location="Cash_Conversion_Cycle_Days!A1" tooltip="Hi click here to view the sheet" display="Cash_Conversion_Cycle_Days!A1" xr:uid="{D7537196-1150-410A-B044-58F9E0BD7446}"/>
    <hyperlink ref="A35" location="NetWorthVsTotalLiabilties!A1" tooltip="Hi click here to view the sheet" display="NetWorthVsTotalLiabilties!A1" xr:uid="{5AD009AB-00F6-40DC-82E7-FFC406295DC8}"/>
    <hyperlink ref="A36" location="PBDITvsPBIT!A1" tooltip="Hi click here to view the sheet" display="PBDITvsPBIT!A1" xr:uid="{ED765C86-874C-458D-8DA4-92612337FCDB}"/>
    <hyperlink ref="A37" location="CAvsCL!A1" tooltip="Hi click here to view the sheet" display="CAvsCL!A1" xr:uid="{D95FD1AE-582E-4B65-B5B0-B747EDA46600}"/>
    <hyperlink ref="A38" location="Long_And_Short_Term_Provisions!A1" tooltip="Hi click here to view the sheet" display="Long_And_Short_Term_Provisions!A1" xr:uid="{4B52918F-C913-440A-B85C-4E0B88583FC6}"/>
    <hyperlink ref="A39" location="MaterialConsumed_DirectExpenses!A1" tooltip="Hi click here to view the sheet" display="MaterialConsumed_DirectExpenses!A1" xr:uid="{4C4D29AA-0EB8-445A-BA6E-708BFA058DFE}"/>
    <hyperlink ref="A40" location="Gross_Sales_In_Total_Income!A1" tooltip="Hi click here to view the sheet" display="Gross_Sales_In_Total_Income!A1" xr:uid="{3BA37701-F1CF-47A8-8050-16C4561F3B7C}"/>
    <hyperlink ref="A41" location="Total_Debt_In_Liabilities!A1" tooltip="Hi click here to view the sheet" display="Total_Debt_In_Liabilities!A1" xr:uid="{4E04BC65-C73E-40BA-8403-BB3ADCCC2863}"/>
    <hyperlink ref="A42" location="Total_CL_In_Liabilities!A1" tooltip="Hi click here to view the sheet" display="Total_CL_In_Liabilities!A1" xr:uid="{9658BFE1-E2C3-4D24-A821-9D58D2F18734}"/>
    <hyperlink ref="A43" location="Total_NCA_In_Assets!A1" tooltip="Hi click here to view the sheet" display="Total_NCA_In_Assets!A1" xr:uid="{A1540241-86BD-4938-A834-1F7D008D8A37}"/>
    <hyperlink ref="A44" location="Total_CA_In_Assets!A1" tooltip="Hi click here to view the sheet" display="Total_CA_In_Assets!A1" xr:uid="{C613B845-6CC0-4F24-8546-DEBA34C4DF6F}"/>
    <hyperlink ref="A45" location="TotalExpenditureVsTotalIncome!A1" tooltip="Hi click here to view the sheet" display="TotalExpenditureVsTotalIncome!A1" xr:uid="{27D8D891-AD35-4E4F-9AE2-58BDBCD15DD4}"/>
    <hyperlink ref="A46" location="Net_Profit_CF_To_Balance_Sheet!A1" tooltip="Hi click here to view the sheet" display="Net_Profit_CF_To_Balance_Sheet!A1" xr:uid="{D7D08C46-CCF1-4512-A76A-F45A32804DB5}"/>
    <hyperlink ref="A47" location="BS_Backup!A1" tooltip="Hi click here to view the sheet" display="BS_Backup!A1" xr:uid="{6D0FAF2A-DEE4-4D07-BFD5-F1C9443F287D}"/>
    <hyperlink ref="A48" location="ISM_Backup!A1" tooltip="Hi click here to view the sheet" display="ISM_Backup!A1" xr:uid="{5EC42349-9BD3-460C-B186-D0DB6BAD5C39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5DF7D-4E34-401F-B5C7-E763A2AEC7B2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Balance_Sheet!B66</f>
        <v>Inventories</v>
      </c>
      <c r="C7" s="13">
        <f>Balance_Sheet!C66</f>
        <v>6443.85</v>
      </c>
      <c r="D7" s="13">
        <f>Balance_Sheet!D66</f>
        <v>5583.93</v>
      </c>
      <c r="E7" s="13">
        <f>Balance_Sheet!E66</f>
        <v>6617.98</v>
      </c>
      <c r="F7" s="13">
        <f>Balance_Sheet!F66</f>
        <v>8947.4699999999993</v>
      </c>
      <c r="G7" s="13">
        <f>Balance_Sheet!G66</f>
        <v>7075.68</v>
      </c>
    </row>
    <row r="8" spans="2:15" ht="18.75" x14ac:dyDescent="0.25">
      <c r="B8" s="14" t="s">
        <v>192</v>
      </c>
      <c r="C8" s="14">
        <f>ROUND(365/C6*C7, 2)</f>
        <v>18.5</v>
      </c>
      <c r="D8" s="14">
        <f t="shared" ref="D8:G8" si="0">ROUND(365/D6*D7, 2)</f>
        <v>14.5</v>
      </c>
      <c r="E8" s="14">
        <f t="shared" si="0"/>
        <v>17.899999999999999</v>
      </c>
      <c r="F8" s="14">
        <f t="shared" si="0"/>
        <v>25.76</v>
      </c>
      <c r="G8" s="14">
        <f t="shared" si="0"/>
        <v>23.54</v>
      </c>
    </row>
  </sheetData>
  <mergeCells count="1">
    <mergeCell ref="B5:G5"/>
  </mergeCells>
  <hyperlinks>
    <hyperlink ref="F1" location="Index_Data!A1" tooltip="Hi click here To return Index page" display="Index_Data!A1" xr:uid="{A860828D-92F2-46CF-B783-33D6424517F5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04DE3-22D4-43FC-95D5-1781B8E86368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193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9345.99</v>
      </c>
      <c r="D6" s="13">
        <f>Income_Statement!D17</f>
        <v>9774.51</v>
      </c>
      <c r="E6" s="13">
        <f>Income_Statement!E17</f>
        <v>9552.7800000000007</v>
      </c>
      <c r="F6" s="13">
        <f>Income_Statement!F17</f>
        <v>10123.540000000001</v>
      </c>
      <c r="G6" s="13">
        <f>Income_Statement!G17</f>
        <v>9442.18</v>
      </c>
    </row>
    <row r="7" spans="2:15" ht="18.75" x14ac:dyDescent="0.25">
      <c r="B7" s="12" t="str">
        <f>Balance_Sheet!B33</f>
        <v>Total Current Liabilities</v>
      </c>
      <c r="C7" s="13">
        <f>Balance_Sheet!C33</f>
        <v>105751.77</v>
      </c>
      <c r="D7" s="13">
        <f>Balance_Sheet!D33</f>
        <v>103655.38999999998</v>
      </c>
      <c r="E7" s="13">
        <f>Balance_Sheet!E33</f>
        <v>111043.45</v>
      </c>
      <c r="F7" s="13">
        <f>Balance_Sheet!F33</f>
        <v>118223.88</v>
      </c>
      <c r="G7" s="13">
        <f>Balance_Sheet!G33</f>
        <v>132305.72</v>
      </c>
    </row>
    <row r="8" spans="2:15" ht="18.75" x14ac:dyDescent="0.25">
      <c r="B8" s="14" t="s">
        <v>194</v>
      </c>
      <c r="C8" s="14">
        <f>ROUND(365/C6*C7, 2)</f>
        <v>4130.05</v>
      </c>
      <c r="D8" s="14">
        <f t="shared" ref="D8:G8" si="0">ROUND(365/D6*D7, 2)</f>
        <v>3870.7</v>
      </c>
      <c r="E8" s="14">
        <f t="shared" si="0"/>
        <v>4242.83</v>
      </c>
      <c r="F8" s="14">
        <f t="shared" si="0"/>
        <v>4262.51</v>
      </c>
      <c r="G8" s="14">
        <f t="shared" si="0"/>
        <v>5114.45</v>
      </c>
    </row>
  </sheetData>
  <mergeCells count="1">
    <mergeCell ref="B5:G5"/>
  </mergeCells>
  <hyperlinks>
    <hyperlink ref="F1" location="Index_Data!A1" tooltip="Hi click here To return Index page" display="Index_Data!A1" xr:uid="{93F5F39F-C301-4F4C-9034-E026391556B8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4A4BB-D246-4B59-B54B-7463576A6511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Balance_Sheet!B68</f>
        <v>Trade Receivables</v>
      </c>
      <c r="C7" s="13">
        <f>Balance_Sheet!C68</f>
        <v>8689.16</v>
      </c>
      <c r="D7" s="13">
        <f>Balance_Sheet!D68</f>
        <v>5498.55</v>
      </c>
      <c r="E7" s="13">
        <f>Balance_Sheet!E68</f>
        <v>14408.22</v>
      </c>
      <c r="F7" s="13">
        <f>Balance_Sheet!F68</f>
        <v>19623.12</v>
      </c>
      <c r="G7" s="13">
        <f>Balance_Sheet!G68</f>
        <v>11367.68</v>
      </c>
    </row>
    <row r="8" spans="2:15" ht="18.75" x14ac:dyDescent="0.25">
      <c r="B8" s="14" t="s">
        <v>196</v>
      </c>
      <c r="C8" s="14">
        <f>ROUND(365/C6*C7, 2)</f>
        <v>24.94</v>
      </c>
      <c r="D8" s="14">
        <f t="shared" ref="D8:G8" si="0">ROUND(365/D6*D7, 2)</f>
        <v>14.27</v>
      </c>
      <c r="E8" s="14">
        <f t="shared" si="0"/>
        <v>38.96</v>
      </c>
      <c r="F8" s="14">
        <f t="shared" si="0"/>
        <v>56.49</v>
      </c>
      <c r="G8" s="14">
        <f t="shared" si="0"/>
        <v>37.82</v>
      </c>
    </row>
  </sheetData>
  <mergeCells count="1">
    <mergeCell ref="B5:G5"/>
  </mergeCells>
  <hyperlinks>
    <hyperlink ref="F1" location="Index_Data!A1" tooltip="Hi click here To return Index page" display="Index_Data!A1" xr:uid="{D4093678-29B6-48D1-81C9-0782A0C6D3A5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9459D-692C-4A2A-94D0-A13B09FBD8C2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Balance_Sheet!B66</f>
        <v>Inventories</v>
      </c>
      <c r="C7" s="13">
        <f>Balance_Sheet!C66</f>
        <v>6443.85</v>
      </c>
      <c r="D7" s="13">
        <f>Balance_Sheet!D66</f>
        <v>5583.93</v>
      </c>
      <c r="E7" s="13">
        <f>Balance_Sheet!E66</f>
        <v>6617.98</v>
      </c>
      <c r="F7" s="13">
        <f>Balance_Sheet!F66</f>
        <v>8947.4699999999993</v>
      </c>
      <c r="G7" s="13">
        <f>Balance_Sheet!G66</f>
        <v>7075.68</v>
      </c>
    </row>
    <row r="8" spans="2:15" ht="18.75" x14ac:dyDescent="0.25">
      <c r="B8" s="12" t="s">
        <v>192</v>
      </c>
      <c r="C8" s="13">
        <f>ROUND(365/C6*C7, 2)</f>
        <v>18.5</v>
      </c>
      <c r="D8" s="13">
        <f t="shared" ref="D8:G8" si="0">ROUND(365/D6*D7, 2)</f>
        <v>14.5</v>
      </c>
      <c r="E8" s="13">
        <f t="shared" si="0"/>
        <v>17.899999999999999</v>
      </c>
      <c r="F8" s="13">
        <f t="shared" si="0"/>
        <v>25.76</v>
      </c>
      <c r="G8" s="13">
        <f t="shared" si="0"/>
        <v>23.54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9345.99</v>
      </c>
      <c r="D9" s="13">
        <f>Income_Statement!D17</f>
        <v>9774.51</v>
      </c>
      <c r="E9" s="13">
        <f>Income_Statement!E17</f>
        <v>9552.7800000000007</v>
      </c>
      <c r="F9" s="13">
        <f>Income_Statement!F17</f>
        <v>10123.540000000001</v>
      </c>
      <c r="G9" s="13">
        <f>Income_Statement!G17</f>
        <v>9442.18</v>
      </c>
    </row>
    <row r="10" spans="2:15" ht="18.75" x14ac:dyDescent="0.25">
      <c r="B10" s="12" t="str">
        <f>Balance_Sheet!B33</f>
        <v>Total Current Liabilities</v>
      </c>
      <c r="C10" s="13">
        <f>Balance_Sheet!C33</f>
        <v>105751.77</v>
      </c>
      <c r="D10" s="13">
        <f>Balance_Sheet!D33</f>
        <v>103655.38999999998</v>
      </c>
      <c r="E10" s="13">
        <f>Balance_Sheet!E33</f>
        <v>111043.45</v>
      </c>
      <c r="F10" s="13">
        <f>Balance_Sheet!F33</f>
        <v>118223.88</v>
      </c>
      <c r="G10" s="13">
        <f>Balance_Sheet!G33</f>
        <v>132305.72</v>
      </c>
    </row>
    <row r="11" spans="2:15" ht="18.75" x14ac:dyDescent="0.25">
      <c r="B11" s="12" t="s">
        <v>194</v>
      </c>
      <c r="C11" s="13">
        <f>ROUND(365/C9*C10, 2)</f>
        <v>4130.05</v>
      </c>
      <c r="D11" s="13">
        <f t="shared" ref="D11:G11" si="1">ROUND(365/D9*D10, 2)</f>
        <v>3870.7</v>
      </c>
      <c r="E11" s="13">
        <f t="shared" si="1"/>
        <v>4242.83</v>
      </c>
      <c r="F11" s="13">
        <f t="shared" si="1"/>
        <v>4262.51</v>
      </c>
      <c r="G11" s="13">
        <f t="shared" si="1"/>
        <v>5114.45</v>
      </c>
    </row>
    <row r="12" spans="2:15" ht="18.75" x14ac:dyDescent="0.25">
      <c r="B12" s="14" t="s">
        <v>198</v>
      </c>
      <c r="C12" s="16">
        <f>ROUND(C11+C8, 2)</f>
        <v>4148.55</v>
      </c>
      <c r="D12" s="16">
        <f t="shared" ref="D12:G12" si="2">ROUND(D11+D8, 2)</f>
        <v>3885.2</v>
      </c>
      <c r="E12" s="16">
        <f t="shared" si="2"/>
        <v>4260.7299999999996</v>
      </c>
      <c r="F12" s="16">
        <f t="shared" si="2"/>
        <v>4288.2700000000004</v>
      </c>
      <c r="G12" s="16">
        <f t="shared" si="2"/>
        <v>5137.99</v>
      </c>
    </row>
  </sheetData>
  <mergeCells count="1">
    <mergeCell ref="B5:G5"/>
  </mergeCells>
  <hyperlinks>
    <hyperlink ref="F1" location="Index_Data!A1" tooltip="Hi click here To return Index page" display="Index_Data!A1" xr:uid="{EC8468A6-5653-4993-A7FC-263CFD06E65A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7FEB1-CC7E-49B5-8A7F-C058758DEAB5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199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127162.17</v>
      </c>
      <c r="D6" s="13">
        <f>Income_Statement!D5</f>
        <v>140603</v>
      </c>
      <c r="E6" s="13">
        <f>Income_Statement!E5</f>
        <v>134979.13</v>
      </c>
      <c r="F6" s="13">
        <f>Income_Statement!F5</f>
        <v>126786.13</v>
      </c>
      <c r="G6" s="13">
        <f>Income_Statement!G5</f>
        <v>109713.5</v>
      </c>
    </row>
    <row r="7" spans="2:15" ht="18.75" x14ac:dyDescent="0.25">
      <c r="B7" s="12" t="str">
        <f>Balance_Sheet!B66</f>
        <v>Inventories</v>
      </c>
      <c r="C7" s="13">
        <f>Balance_Sheet!C66</f>
        <v>6443.85</v>
      </c>
      <c r="D7" s="13">
        <f>Balance_Sheet!D66</f>
        <v>5583.93</v>
      </c>
      <c r="E7" s="13">
        <f>Balance_Sheet!E66</f>
        <v>6617.98</v>
      </c>
      <c r="F7" s="13">
        <f>Balance_Sheet!F66</f>
        <v>8947.4699999999993</v>
      </c>
      <c r="G7" s="13">
        <f>Balance_Sheet!G66</f>
        <v>7075.68</v>
      </c>
    </row>
    <row r="8" spans="2:15" ht="18.75" x14ac:dyDescent="0.25">
      <c r="B8" s="12" t="s">
        <v>192</v>
      </c>
      <c r="C8" s="13">
        <f>ROUND(365/C6*C7, 2)</f>
        <v>18.5</v>
      </c>
      <c r="D8" s="13">
        <f t="shared" ref="D8:G8" si="0">ROUND(365/D6*D7, 2)</f>
        <v>14.5</v>
      </c>
      <c r="E8" s="13">
        <f t="shared" si="0"/>
        <v>17.899999999999999</v>
      </c>
      <c r="F8" s="13">
        <f t="shared" si="0"/>
        <v>25.76</v>
      </c>
      <c r="G8" s="13">
        <f t="shared" si="0"/>
        <v>23.54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9345.99</v>
      </c>
      <c r="D9" s="13">
        <f>Income_Statement!D17</f>
        <v>9774.51</v>
      </c>
      <c r="E9" s="13">
        <f>Income_Statement!E17</f>
        <v>9552.7800000000007</v>
      </c>
      <c r="F9" s="13">
        <f>Income_Statement!F17</f>
        <v>10123.540000000001</v>
      </c>
      <c r="G9" s="13">
        <f>Income_Statement!G17</f>
        <v>9442.18</v>
      </c>
    </row>
    <row r="10" spans="2:15" ht="18.75" x14ac:dyDescent="0.25">
      <c r="B10" s="12" t="str">
        <f>Balance_Sheet!B33</f>
        <v>Total Current Liabilities</v>
      </c>
      <c r="C10" s="13">
        <f>Balance_Sheet!C33</f>
        <v>105751.77</v>
      </c>
      <c r="D10" s="13">
        <f>Balance_Sheet!D33</f>
        <v>103655.38999999998</v>
      </c>
      <c r="E10" s="13">
        <f>Balance_Sheet!E33</f>
        <v>111043.45</v>
      </c>
      <c r="F10" s="13">
        <f>Balance_Sheet!F33</f>
        <v>118223.88</v>
      </c>
      <c r="G10" s="13">
        <f>Balance_Sheet!G33</f>
        <v>132305.72</v>
      </c>
    </row>
    <row r="11" spans="2:15" ht="18.75" x14ac:dyDescent="0.25">
      <c r="B11" s="12" t="s">
        <v>194</v>
      </c>
      <c r="C11" s="13">
        <f>ROUND(365/C9*C10, 2)</f>
        <v>4130.05</v>
      </c>
      <c r="D11" s="13">
        <f t="shared" ref="D11:G11" si="1">ROUND(365/D9*D10, 2)</f>
        <v>3870.7</v>
      </c>
      <c r="E11" s="13">
        <f t="shared" si="1"/>
        <v>4242.83</v>
      </c>
      <c r="F11" s="13">
        <f t="shared" si="1"/>
        <v>4262.51</v>
      </c>
      <c r="G11" s="13">
        <f t="shared" si="1"/>
        <v>5114.45</v>
      </c>
    </row>
    <row r="12" spans="2:15" ht="18.75" x14ac:dyDescent="0.25">
      <c r="B12" s="12" t="s">
        <v>200</v>
      </c>
      <c r="C12" s="13">
        <f>ROUND(C11+C8, 2)</f>
        <v>4148.55</v>
      </c>
      <c r="D12" s="13">
        <f t="shared" ref="D12:G12" si="2">ROUND(D11+D8, 2)</f>
        <v>3885.2</v>
      </c>
      <c r="E12" s="13">
        <f t="shared" si="2"/>
        <v>4260.7299999999996</v>
      </c>
      <c r="F12" s="13">
        <f t="shared" si="2"/>
        <v>4288.2700000000004</v>
      </c>
      <c r="G12" s="13">
        <f t="shared" si="2"/>
        <v>5137.99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9345.99</v>
      </c>
      <c r="D13" s="13">
        <f>Income_Statement!D17</f>
        <v>9774.51</v>
      </c>
      <c r="E13" s="13">
        <f>Income_Statement!E17</f>
        <v>9552.7800000000007</v>
      </c>
      <c r="F13" s="13">
        <f>Income_Statement!F17</f>
        <v>10123.540000000001</v>
      </c>
      <c r="G13" s="13">
        <f>Income_Statement!G17</f>
        <v>9442.18</v>
      </c>
    </row>
    <row r="14" spans="2:15" ht="18.75" x14ac:dyDescent="0.25">
      <c r="B14" s="12" t="str">
        <f>Balance_Sheet!B33</f>
        <v>Total Current Liabilities</v>
      </c>
      <c r="C14" s="13">
        <f>Balance_Sheet!C33</f>
        <v>105751.77</v>
      </c>
      <c r="D14" s="13">
        <f>Balance_Sheet!D33</f>
        <v>103655.38999999998</v>
      </c>
      <c r="E14" s="13">
        <f>Balance_Sheet!E33</f>
        <v>111043.45</v>
      </c>
      <c r="F14" s="13">
        <f>Balance_Sheet!F33</f>
        <v>118223.88</v>
      </c>
      <c r="G14" s="13">
        <f>Balance_Sheet!G33</f>
        <v>132305.72</v>
      </c>
    </row>
    <row r="15" spans="2:15" ht="18.75" x14ac:dyDescent="0.25">
      <c r="B15" s="12" t="s">
        <v>194</v>
      </c>
      <c r="C15" s="13">
        <f>ROUND(365/C13*C14, 2)</f>
        <v>4130.05</v>
      </c>
      <c r="D15" s="13">
        <f t="shared" ref="D15:G15" si="3">ROUND(365/D13*D14, 2)</f>
        <v>3870.7</v>
      </c>
      <c r="E15" s="13">
        <f t="shared" si="3"/>
        <v>4242.83</v>
      </c>
      <c r="F15" s="13">
        <f t="shared" si="3"/>
        <v>4262.51</v>
      </c>
      <c r="G15" s="13">
        <f t="shared" si="3"/>
        <v>5114.45</v>
      </c>
    </row>
    <row r="16" spans="2:15" ht="18.75" x14ac:dyDescent="0.25">
      <c r="B16" s="14" t="s">
        <v>201</v>
      </c>
      <c r="C16" s="16">
        <f>ROUND(C15-C12, 2)</f>
        <v>-18.5</v>
      </c>
      <c r="D16" s="16">
        <f t="shared" ref="D16:G16" si="4">ROUND(D15-D12, 2)</f>
        <v>-14.5</v>
      </c>
      <c r="E16" s="16">
        <f t="shared" si="4"/>
        <v>-17.899999999999999</v>
      </c>
      <c r="F16" s="16">
        <f t="shared" si="4"/>
        <v>-25.76</v>
      </c>
      <c r="G16" s="16">
        <f t="shared" si="4"/>
        <v>-23.54</v>
      </c>
    </row>
  </sheetData>
  <mergeCells count="1">
    <mergeCell ref="B5:G5"/>
  </mergeCells>
  <hyperlinks>
    <hyperlink ref="F1" location="Index_Data!A1" tooltip="Hi click here To return Index page" display="Index_Data!A1" xr:uid="{C7D31636-7616-46B5-A746-E5275C3211D8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67394-670C-4133-B220-B1ED3A45AC9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19846.57</v>
      </c>
      <c r="D5" s="13">
        <f>Balance_Sheet!D13</f>
        <v>21647.312472991332</v>
      </c>
      <c r="E5" s="13">
        <f>Balance_Sheet!E13</f>
        <v>21130.199832269751</v>
      </c>
      <c r="F5" s="13">
        <f>Balance_Sheet!F13</f>
        <v>17790.102104849575</v>
      </c>
      <c r="G5" s="13">
        <f>Balance_Sheet!G13</f>
        <v>37590.197693177353</v>
      </c>
    </row>
    <row r="6" spans="2:15" ht="18.75" x14ac:dyDescent="0.25">
      <c r="B6" s="12" t="str">
        <f>Balance_Sheet!B37</f>
        <v>Total Liabilities</v>
      </c>
      <c r="C6" s="13">
        <f>Balance_Sheet!C37</f>
        <v>127491.73</v>
      </c>
      <c r="D6" s="13">
        <f>Balance_Sheet!D37</f>
        <v>127912.22247299131</v>
      </c>
      <c r="E6" s="13">
        <f>Balance_Sheet!E37</f>
        <v>139300.75983226974</v>
      </c>
      <c r="F6" s="13">
        <f>Balance_Sheet!F37</f>
        <v>143052.43210484958</v>
      </c>
      <c r="G6" s="13">
        <f>Balance_Sheet!G37</f>
        <v>174690.48769317736</v>
      </c>
    </row>
  </sheetData>
  <hyperlinks>
    <hyperlink ref="F1" location="Index_Data!A1" tooltip="Hi click here To return Index page" display="Index_Data!A1" xr:uid="{B4989305-E68D-4942-BD80-0FD4C47E55C9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6DD52-9472-4105-B0FC-3B41CD51456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12115.499119584085</v>
      </c>
      <c r="D5" s="13">
        <f>Income_Statement!D29</f>
        <v>25172.712472991334</v>
      </c>
      <c r="E5" s="13">
        <f>Income_Statement!E29</f>
        <v>20484.977359278419</v>
      </c>
      <c r="F5" s="13">
        <f>Income_Statement!F29</f>
        <v>14024.022272579823</v>
      </c>
      <c r="G5" s="13">
        <f>Income_Statement!G29</f>
        <v>31008.115588327782</v>
      </c>
    </row>
    <row r="6" spans="2:15" ht="18.75" x14ac:dyDescent="0.25">
      <c r="B6" s="12" t="str">
        <f>Income_Statement!B33</f>
        <v>PBIT</v>
      </c>
      <c r="C6" s="13">
        <f>Income_Statement!C33</f>
        <v>9049.1191195840838</v>
      </c>
      <c r="D6" s="13">
        <f>Income_Statement!D33</f>
        <v>21722.352472991333</v>
      </c>
      <c r="E6" s="13">
        <f>Income_Statement!E33</f>
        <v>17034.137359278418</v>
      </c>
      <c r="F6" s="13">
        <f>Income_Statement!F33</f>
        <v>10315.102272579823</v>
      </c>
      <c r="G6" s="13">
        <f>Income_Statement!G33</f>
        <v>26579.445588327784</v>
      </c>
    </row>
  </sheetData>
  <hyperlinks>
    <hyperlink ref="F1" location="Index_Data!A1" tooltip="Hi click here To return Index page" display="Index_Data!A1" xr:uid="{A0F33E85-9F61-4139-AFAC-F8E026E3E581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90568-C2E4-409A-9F63-92BBB94248E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88119.26999999999</v>
      </c>
      <c r="D5" s="13">
        <f>Balance_Sheet!D72</f>
        <v>89994.432472991321</v>
      </c>
      <c r="E5" s="13">
        <f>Balance_Sheet!E72</f>
        <v>103617.50983226976</v>
      </c>
      <c r="F5" s="13">
        <f>Balance_Sheet!F72</f>
        <v>99509.252104849569</v>
      </c>
      <c r="G5" s="13">
        <f>Balance_Sheet!G72</f>
        <v>120448.79769317736</v>
      </c>
    </row>
    <row r="6" spans="2:15" ht="18.75" x14ac:dyDescent="0.25">
      <c r="B6" s="12" t="str">
        <f>Balance_Sheet!B33</f>
        <v>Total Current Liabilities</v>
      </c>
      <c r="C6" s="13">
        <f>Balance_Sheet!C33</f>
        <v>105751.77</v>
      </c>
      <c r="D6" s="13">
        <f>Balance_Sheet!D33</f>
        <v>103655.38999999998</v>
      </c>
      <c r="E6" s="13">
        <f>Balance_Sheet!E33</f>
        <v>111043.45</v>
      </c>
      <c r="F6" s="13">
        <f>Balance_Sheet!F33</f>
        <v>118223.88</v>
      </c>
      <c r="G6" s="13">
        <f>Balance_Sheet!G33</f>
        <v>132305.72</v>
      </c>
    </row>
  </sheetData>
  <hyperlinks>
    <hyperlink ref="F1" location="Index_Data!A1" tooltip="Hi click here To return Index page" display="Index_Data!A1" xr:uid="{07753BBC-E290-4D0E-B88F-5643F2E101C4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4CEC7-B2E8-4200-B0EC-E2E15DEBF37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49903.1</v>
      </c>
      <c r="D5" s="13">
        <f>Balance_Sheet!D23</f>
        <v>52419.56</v>
      </c>
      <c r="E5" s="13">
        <f>Balance_Sheet!E23</f>
        <v>60223.45</v>
      </c>
      <c r="F5" s="13">
        <f>Balance_Sheet!F23</f>
        <v>63178.61</v>
      </c>
      <c r="G5" s="13">
        <f>Balance_Sheet!G23</f>
        <v>65944</v>
      </c>
    </row>
    <row r="6" spans="2:15" ht="18.75" x14ac:dyDescent="0.25">
      <c r="B6" s="12" t="str">
        <f>Balance_Sheet!B25</f>
        <v>Short Term Provisions</v>
      </c>
      <c r="C6" s="13">
        <f>Balance_Sheet!C25</f>
        <v>14813.59</v>
      </c>
      <c r="D6" s="13">
        <f>Balance_Sheet!D25</f>
        <v>7136.44</v>
      </c>
      <c r="E6" s="13">
        <f>Balance_Sheet!E25</f>
        <v>6781.44</v>
      </c>
      <c r="F6" s="13">
        <f>Balance_Sheet!F25</f>
        <v>6465.9</v>
      </c>
      <c r="G6" s="13">
        <f>Balance_Sheet!G25</f>
        <v>6094.68</v>
      </c>
    </row>
  </sheetData>
  <hyperlinks>
    <hyperlink ref="F1" location="Index_Data!A1" tooltip="Hi click here To return Index page" display="Index_Data!A1" xr:uid="{2EC30A91-011C-4FFC-9EF7-D8A18F4E9F9A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63BF6-9C00-4370-BC6A-42A40D2B993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3.140625" bestFit="1" customWidth="1"/>
    <col min="7" max="7" width="11.5703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9345.99</v>
      </c>
      <c r="D5" s="13">
        <f>Income_Statement!D17</f>
        <v>9774.51</v>
      </c>
      <c r="E5" s="13">
        <f>Income_Statement!E17</f>
        <v>9552.7800000000007</v>
      </c>
      <c r="F5" s="13">
        <f>Income_Statement!F17</f>
        <v>10123.540000000001</v>
      </c>
      <c r="G5" s="13">
        <f>Income_Statement!G17</f>
        <v>9442.18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12766.97</v>
      </c>
      <c r="D6" s="13">
        <f>Income_Statement!D19</f>
        <v>19895.59</v>
      </c>
      <c r="E6" s="13">
        <f>Income_Statement!E19</f>
        <v>19453.419999999998</v>
      </c>
      <c r="F6" s="13">
        <f>Income_Statement!F19</f>
        <v>16023.08</v>
      </c>
      <c r="G6" s="13">
        <f>Income_Statement!G19</f>
        <v>0</v>
      </c>
    </row>
  </sheetData>
  <hyperlinks>
    <hyperlink ref="F1" location="Index_Data!A1" tooltip="Hi click here To return Index page" display="Index_Data!A1" xr:uid="{C9F3828B-DB36-4FCE-BD48-7B6048C56CEE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04C5-9F2C-46D6-B844-CE2EC68AC925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6" width="18.85546875" bestFit="1" customWidth="1"/>
    <col min="7" max="8" width="17.140625" bestFit="1" customWidth="1"/>
    <col min="9" max="9" width="18.85546875" bestFit="1" customWidth="1"/>
    <col min="10" max="10" width="17.140625" bestFit="1" customWidth="1"/>
    <col min="11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127162.17</v>
      </c>
      <c r="D5" s="5">
        <v>140603</v>
      </c>
      <c r="E5" s="5">
        <v>134979.13</v>
      </c>
      <c r="F5" s="5">
        <v>126786.13</v>
      </c>
      <c r="G5" s="5">
        <v>109713.5</v>
      </c>
      <c r="H5" s="24">
        <f>GROWTH(C5:G5,C4:G4,H4)</f>
        <v>113045.8497495995</v>
      </c>
      <c r="I5" s="24">
        <f t="shared" ref="I5:L5" si="0">GROWTH(D5:H5,D4:H4,I4)</f>
        <v>102594.38321741499</v>
      </c>
      <c r="J5" s="24">
        <f t="shared" si="0"/>
        <v>95755.641220803533</v>
      </c>
      <c r="K5" s="24">
        <f t="shared" si="0"/>
        <v>90341.95964857786</v>
      </c>
      <c r="L5" s="24">
        <f t="shared" si="0"/>
        <v>86315.544922876827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45462.17</v>
      </c>
      <c r="D7" s="5">
        <v>47706.92</v>
      </c>
      <c r="E7" s="5">
        <v>45605.79</v>
      </c>
      <c r="F7" s="5">
        <v>44075.81</v>
      </c>
      <c r="G7" s="5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0.35751332334136793</v>
      </c>
      <c r="D8" s="18">
        <f>D7/Income_Statement!D5</f>
        <v>0.3393022908472792</v>
      </c>
      <c r="E8" s="18">
        <f>E7/Income_Statement!E5</f>
        <v>0.33787289931413839</v>
      </c>
      <c r="F8" s="18">
        <f>F7/Income_Statement!F5</f>
        <v>0.34763905168491221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81700</v>
      </c>
      <c r="D9" s="7">
        <f t="shared" ref="D9:L9" si="3">D5 - D7</f>
        <v>92896.08</v>
      </c>
      <c r="E9" s="7">
        <f t="shared" si="3"/>
        <v>89373.34</v>
      </c>
      <c r="F9" s="7">
        <f t="shared" si="3"/>
        <v>82710.320000000007</v>
      </c>
      <c r="G9" s="7">
        <f t="shared" si="3"/>
        <v>109713.5</v>
      </c>
      <c r="H9" s="27">
        <f t="shared" si="3"/>
        <v>113045.8497495995</v>
      </c>
      <c r="I9" s="27">
        <f t="shared" si="3"/>
        <v>102594.38321741499</v>
      </c>
      <c r="J9" s="27">
        <f t="shared" si="3"/>
        <v>95755.641220803533</v>
      </c>
      <c r="K9" s="27">
        <f t="shared" si="3"/>
        <v>90341.95964857786</v>
      </c>
      <c r="L9" s="27">
        <f t="shared" si="3"/>
        <v>86315.544922876827</v>
      </c>
    </row>
    <row r="10" spans="2:15" x14ac:dyDescent="0.25">
      <c r="B10" s="19" t="s">
        <v>240</v>
      </c>
      <c r="C10" s="21">
        <f>C9/Income_Statement!C5</f>
        <v>0.64248667665863202</v>
      </c>
      <c r="D10" s="21">
        <f>D9/Income_Statement!D5</f>
        <v>0.66069770915272075</v>
      </c>
      <c r="E10" s="21">
        <f>E9/Income_Statement!E5</f>
        <v>0.66212710068586156</v>
      </c>
      <c r="F10" s="21">
        <f>F9/Income_Statement!F5</f>
        <v>0.65236094831508784</v>
      </c>
      <c r="G10" s="21">
        <f>G9/Income_Statement!G5</f>
        <v>1</v>
      </c>
      <c r="H10" s="29">
        <f>H9/Income_Statement!H5</f>
        <v>1</v>
      </c>
      <c r="I10" s="29">
        <f>I9/Income_Statement!I5</f>
        <v>1</v>
      </c>
      <c r="J10" s="29">
        <f>J9/Income_Statement!J5</f>
        <v>1</v>
      </c>
      <c r="K10" s="29">
        <f>K9/Income_Statement!K5</f>
        <v>1</v>
      </c>
      <c r="L10" s="29">
        <f>L9/Income_Statement!L5</f>
        <v>1</v>
      </c>
    </row>
    <row r="11" spans="2:15" ht="18.75" x14ac:dyDescent="0.25">
      <c r="B11" s="8" t="s">
        <v>59</v>
      </c>
      <c r="C11" s="5">
        <v>4658.32</v>
      </c>
      <c r="D11" s="5">
        <v>5873.73</v>
      </c>
      <c r="E11" s="5">
        <v>6105.4</v>
      </c>
      <c r="F11" s="5">
        <v>3792.38</v>
      </c>
      <c r="G11" s="5">
        <v>3904.52</v>
      </c>
      <c r="H11" s="24">
        <f>H5*H12</f>
        <v>4141.1981472599464</v>
      </c>
      <c r="I11" s="24">
        <f t="shared" ref="I11:L11" si="4">I5*I12</f>
        <v>3758.3305414601577</v>
      </c>
      <c r="J11" s="24">
        <f t="shared" si="4"/>
        <v>3507.8075390793783</v>
      </c>
      <c r="K11" s="24">
        <f t="shared" si="4"/>
        <v>3309.4886432825365</v>
      </c>
      <c r="L11" s="24">
        <f t="shared" si="4"/>
        <v>3161.9893654310522</v>
      </c>
    </row>
    <row r="12" spans="2:15" x14ac:dyDescent="0.25">
      <c r="B12" s="17" t="s">
        <v>241</v>
      </c>
      <c r="C12" s="18">
        <f>C11/Income_Statement!C5</f>
        <v>3.6632907412636952E-2</v>
      </c>
      <c r="D12" s="18">
        <f>D11/Income_Statement!D5</f>
        <v>4.1775282177478432E-2</v>
      </c>
      <c r="E12" s="18">
        <f>E11/Income_Statement!E5</f>
        <v>4.5232177744811357E-2</v>
      </c>
      <c r="F12" s="18">
        <f>F11/Income_Statement!F5</f>
        <v>2.9911631501016712E-2</v>
      </c>
      <c r="G12" s="18">
        <f>G11/Income_Statement!G5</f>
        <v>3.5588327780993224E-2</v>
      </c>
      <c r="H12" s="25">
        <f>MEDIAN(C12:G12)</f>
        <v>3.6632907412636952E-2</v>
      </c>
      <c r="I12" s="25">
        <f t="shared" ref="I12:L12" si="5">H12</f>
        <v>3.6632907412636952E-2</v>
      </c>
      <c r="J12" s="25">
        <f t="shared" si="5"/>
        <v>3.6632907412636952E-2</v>
      </c>
      <c r="K12" s="25">
        <f t="shared" si="5"/>
        <v>3.6632907412636952E-2</v>
      </c>
      <c r="L12" s="25">
        <f t="shared" si="5"/>
        <v>3.6632907412636952E-2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6">
        <f>H5*H14</f>
        <v>0</v>
      </c>
      <c r="I13" s="26">
        <f t="shared" ref="I13:L13" si="6">I5*I14</f>
        <v>0</v>
      </c>
      <c r="J13" s="26">
        <f t="shared" si="6"/>
        <v>0</v>
      </c>
      <c r="K13" s="26">
        <f t="shared" si="6"/>
        <v>0</v>
      </c>
      <c r="L13" s="26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86358.999119584085</v>
      </c>
      <c r="D15" s="7">
        <f t="shared" ref="D15:L15" si="8">SUM(D9:D13)</f>
        <v>98770.512472991337</v>
      </c>
      <c r="E15" s="7">
        <f t="shared" si="8"/>
        <v>95479.44735927842</v>
      </c>
      <c r="F15" s="7">
        <f t="shared" si="8"/>
        <v>86503.382272579824</v>
      </c>
      <c r="G15" s="7">
        <f t="shared" si="8"/>
        <v>113619.05558832778</v>
      </c>
      <c r="H15" s="27">
        <f t="shared" si="8"/>
        <v>117188.08452976686</v>
      </c>
      <c r="I15" s="27">
        <f t="shared" si="8"/>
        <v>106353.75039178257</v>
      </c>
      <c r="J15" s="27">
        <f t="shared" si="8"/>
        <v>99264.485392790331</v>
      </c>
      <c r="K15" s="27">
        <f t="shared" si="8"/>
        <v>93652.484924767807</v>
      </c>
      <c r="L15" s="27">
        <f t="shared" si="8"/>
        <v>89478.570921215301</v>
      </c>
    </row>
    <row r="16" spans="2:15" x14ac:dyDescent="0.25">
      <c r="B16" s="19" t="s">
        <v>243</v>
      </c>
      <c r="C16" s="21">
        <f>C15/Income_Statement!C5</f>
        <v>0.67912492465002827</v>
      </c>
      <c r="D16" s="21">
        <f>D15/Income_Statement!D5</f>
        <v>0.70247798747531232</v>
      </c>
      <c r="E16" s="21">
        <f>E15/Income_Statement!E5</f>
        <v>0.7073645189391754</v>
      </c>
      <c r="F16" s="21">
        <f>F15/Income_Statement!F5</f>
        <v>0.68227796110331485</v>
      </c>
      <c r="G16" s="21">
        <f>G15/Income_Statement!G5</f>
        <v>1.0355977668047029</v>
      </c>
      <c r="H16" s="29">
        <f>H15/Income_Statement!H5</f>
        <v>1.036642077434444</v>
      </c>
      <c r="I16" s="29">
        <f>I15/Income_Statement!I5</f>
        <v>1.0366430116003607</v>
      </c>
      <c r="J16" s="29">
        <f>J15/Income_Statement!J5</f>
        <v>1.0366437332281628</v>
      </c>
      <c r="K16" s="29">
        <f>K15/Income_Statement!K5</f>
        <v>1.0366443819579252</v>
      </c>
      <c r="L16" s="29">
        <f>L15/Income_Statement!L5</f>
        <v>1.0366449172181518</v>
      </c>
    </row>
    <row r="17" spans="2:12" ht="18.75" x14ac:dyDescent="0.25">
      <c r="B17" s="8" t="s">
        <v>62</v>
      </c>
      <c r="C17" s="5">
        <v>9345.99</v>
      </c>
      <c r="D17" s="5">
        <v>9774.51</v>
      </c>
      <c r="E17" s="5">
        <v>9552.7800000000007</v>
      </c>
      <c r="F17" s="5">
        <v>10123.540000000001</v>
      </c>
      <c r="G17" s="5">
        <v>9442.18</v>
      </c>
      <c r="H17" s="24">
        <f>H5*H18</f>
        <v>9728.969193295934</v>
      </c>
      <c r="I17" s="24">
        <f t="shared" ref="I17:L17" si="9">I5*I18</f>
        <v>8829.4934837354704</v>
      </c>
      <c r="J17" s="24">
        <f t="shared" si="9"/>
        <v>8240.9366251395386</v>
      </c>
      <c r="K17" s="24">
        <f t="shared" si="9"/>
        <v>7775.0235345204455</v>
      </c>
      <c r="L17" s="24">
        <f t="shared" si="9"/>
        <v>7428.5016152058688</v>
      </c>
    </row>
    <row r="18" spans="2:12" x14ac:dyDescent="0.25">
      <c r="B18" s="17" t="s">
        <v>244</v>
      </c>
      <c r="C18" s="18">
        <f>C17/Income_Statement!C5</f>
        <v>7.3496622462482356E-2</v>
      </c>
      <c r="D18" s="18">
        <f>D17/Income_Statement!D5</f>
        <v>6.9518502450161099E-2</v>
      </c>
      <c r="E18" s="18">
        <f>E17/Income_Statement!E5</f>
        <v>7.0772274202686003E-2</v>
      </c>
      <c r="F18" s="18">
        <f>F17/Income_Statement!F5</f>
        <v>7.9847377627189978E-2</v>
      </c>
      <c r="G18" s="18">
        <f>G17/Income_Statement!G5</f>
        <v>8.606215278885461E-2</v>
      </c>
      <c r="H18" s="25">
        <f>G18</f>
        <v>8.606215278885461E-2</v>
      </c>
      <c r="I18" s="25">
        <f t="shared" ref="I18:L18" si="10">H18</f>
        <v>8.606215278885461E-2</v>
      </c>
      <c r="J18" s="25">
        <f t="shared" si="10"/>
        <v>8.606215278885461E-2</v>
      </c>
      <c r="K18" s="25">
        <f t="shared" si="10"/>
        <v>8.606215278885461E-2</v>
      </c>
      <c r="L18" s="25">
        <f t="shared" si="10"/>
        <v>8.606215278885461E-2</v>
      </c>
    </row>
    <row r="19" spans="2:12" ht="18.75" x14ac:dyDescent="0.25">
      <c r="B19" s="8" t="s">
        <v>64</v>
      </c>
      <c r="C19" s="4">
        <v>12766.97</v>
      </c>
      <c r="D19" s="5">
        <v>19895.59</v>
      </c>
      <c r="E19" s="5">
        <v>19453.419999999998</v>
      </c>
      <c r="F19" s="5">
        <v>16023.08</v>
      </c>
      <c r="G19" s="5">
        <v>0</v>
      </c>
      <c r="H19" s="24">
        <f>H5*H20</f>
        <v>0</v>
      </c>
      <c r="I19" s="24">
        <f t="shared" ref="I19:L19" si="11">I5*I20</f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</row>
    <row r="20" spans="2:12" x14ac:dyDescent="0.25">
      <c r="B20" s="17" t="s">
        <v>245</v>
      </c>
      <c r="C20" s="18">
        <f>C19/Income_Statement!C5</f>
        <v>0.10039912027295539</v>
      </c>
      <c r="D20" s="18">
        <f>D19/Income_Statement!D5</f>
        <v>0.14150188829541333</v>
      </c>
      <c r="E20" s="18">
        <f>E19/Income_Statement!E5</f>
        <v>0.14412168755273499</v>
      </c>
      <c r="F20" s="18">
        <f>F19/Income_Statement!F5</f>
        <v>0.12637880815511918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42633.599999999999</v>
      </c>
      <c r="D21" s="5">
        <v>38770.1</v>
      </c>
      <c r="E21" s="5">
        <v>39384.080000000002</v>
      </c>
      <c r="F21" s="5">
        <v>38697.72</v>
      </c>
      <c r="G21" s="5">
        <v>40700.82</v>
      </c>
      <c r="H21" s="24">
        <f>H5*H22</f>
        <v>41937.034024121866</v>
      </c>
      <c r="I21" s="24">
        <f t="shared" ref="I21:L21" si="13">I5*I22</f>
        <v>38059.815103364934</v>
      </c>
      <c r="J21" s="24">
        <f t="shared" si="13"/>
        <v>35522.821870713313</v>
      </c>
      <c r="K21" s="24">
        <f t="shared" si="13"/>
        <v>33514.488536998921</v>
      </c>
      <c r="L21" s="24">
        <f t="shared" si="13"/>
        <v>32020.794679851831</v>
      </c>
    </row>
    <row r="22" spans="2:12" x14ac:dyDescent="0.25">
      <c r="B22" s="17" t="s">
        <v>246</v>
      </c>
      <c r="C22" s="18">
        <f>C21/Income_Statement!C5</f>
        <v>0.33526952237446089</v>
      </c>
      <c r="D22" s="18">
        <f>D21/Income_Statement!D5</f>
        <v>0.27574162713455613</v>
      </c>
      <c r="E22" s="18">
        <f>E21/Income_Statement!E5</f>
        <v>0.2917790328030711</v>
      </c>
      <c r="F22" s="18">
        <f>F21/Income_Statement!F5</f>
        <v>0.30522045274195214</v>
      </c>
      <c r="G22" s="18">
        <f>G21/Income_Statement!G5</f>
        <v>0.37097367233749723</v>
      </c>
      <c r="H22" s="25">
        <f>G22</f>
        <v>0.37097367233749723</v>
      </c>
      <c r="I22" s="25">
        <f t="shared" ref="I22:L22" si="14">H22</f>
        <v>0.37097367233749723</v>
      </c>
      <c r="J22" s="25">
        <f t="shared" si="14"/>
        <v>0.37097367233749723</v>
      </c>
      <c r="K22" s="25">
        <f t="shared" si="14"/>
        <v>0.37097367233749723</v>
      </c>
      <c r="L22" s="25">
        <f t="shared" si="14"/>
        <v>0.37097367233749723</v>
      </c>
    </row>
    <row r="23" spans="2:12" ht="18.75" x14ac:dyDescent="0.25">
      <c r="B23" s="8" t="s">
        <v>69</v>
      </c>
      <c r="C23" s="5">
        <v>9496.94</v>
      </c>
      <c r="D23" s="5">
        <v>5157.6000000000004</v>
      </c>
      <c r="E23" s="5">
        <v>6604.19</v>
      </c>
      <c r="F23" s="5">
        <v>7635.02</v>
      </c>
      <c r="G23" s="5">
        <v>32467.94</v>
      </c>
      <c r="H23" s="24">
        <f>H5*H24</f>
        <v>11676.431824638201</v>
      </c>
      <c r="I23" s="24">
        <f t="shared" ref="I23:L23" si="15">I5*I24</f>
        <v>10596.906687706116</v>
      </c>
      <c r="J23" s="24">
        <f t="shared" si="15"/>
        <v>9890.537503285821</v>
      </c>
      <c r="K23" s="24">
        <f t="shared" si="15"/>
        <v>9331.3618773038761</v>
      </c>
      <c r="L23" s="24">
        <f t="shared" si="15"/>
        <v>8915.4761358414034</v>
      </c>
    </row>
    <row r="24" spans="2:12" x14ac:dyDescent="0.25">
      <c r="B24" s="17" t="s">
        <v>247</v>
      </c>
      <c r="C24" s="18">
        <f>C23/Income_Statement!C5</f>
        <v>7.4683689339368781E-2</v>
      </c>
      <c r="D24" s="18">
        <f>D23/Income_Statement!D5</f>
        <v>3.6682005362616732E-2</v>
      </c>
      <c r="E24" s="18">
        <f>E23/Income_Statement!E5</f>
        <v>4.8927489753415952E-2</v>
      </c>
      <c r="F24" s="18">
        <f>F23/Income_Statement!F5</f>
        <v>6.0219678603645369E-2</v>
      </c>
      <c r="G24" s="18">
        <f>G23/Income_Statement!G5</f>
        <v>0.2959338641097039</v>
      </c>
      <c r="H24" s="25">
        <f>AVERAGE(C24:G24)</f>
        <v>0.10328934543375015</v>
      </c>
      <c r="I24" s="25">
        <f t="shared" ref="I24:L24" si="16">H24</f>
        <v>0.10328934543375015</v>
      </c>
      <c r="J24" s="25">
        <f t="shared" si="16"/>
        <v>0.10328934543375015</v>
      </c>
      <c r="K24" s="25">
        <f t="shared" si="16"/>
        <v>0.10328934543375015</v>
      </c>
      <c r="L24" s="25">
        <f t="shared" si="16"/>
        <v>0.10328934543375015</v>
      </c>
    </row>
    <row r="25" spans="2:12" ht="18.75" x14ac:dyDescent="0.25">
      <c r="B25" s="9" t="s">
        <v>108</v>
      </c>
      <c r="C25" s="7">
        <f>C17+C19+C21+C23</f>
        <v>74243.5</v>
      </c>
      <c r="D25" s="7">
        <f t="shared" ref="D25:L25" si="17">D17+D19+D21+D23</f>
        <v>73597.8</v>
      </c>
      <c r="E25" s="7">
        <f t="shared" si="17"/>
        <v>74994.47</v>
      </c>
      <c r="F25" s="7">
        <f t="shared" si="17"/>
        <v>72479.360000000001</v>
      </c>
      <c r="G25" s="7">
        <f t="shared" si="17"/>
        <v>82610.94</v>
      </c>
      <c r="H25" s="27">
        <f t="shared" si="17"/>
        <v>63342.435042056</v>
      </c>
      <c r="I25" s="27">
        <f t="shared" si="17"/>
        <v>57486.215274806513</v>
      </c>
      <c r="J25" s="27">
        <f t="shared" si="17"/>
        <v>53654.295999138674</v>
      </c>
      <c r="K25" s="27">
        <f t="shared" si="17"/>
        <v>50620.873948823239</v>
      </c>
      <c r="L25" s="27">
        <f t="shared" si="17"/>
        <v>48364.772430899102</v>
      </c>
    </row>
    <row r="26" spans="2:12" x14ac:dyDescent="0.25">
      <c r="B26" s="19" t="s">
        <v>248</v>
      </c>
      <c r="C26" s="21">
        <f>C25/Income_Statement!C5</f>
        <v>0.58384895444926743</v>
      </c>
      <c r="D26" s="21">
        <f>D25/Income_Statement!D5</f>
        <v>0.5234440232427473</v>
      </c>
      <c r="E26" s="21">
        <f>E25/Income_Statement!E5</f>
        <v>0.555600484311908</v>
      </c>
      <c r="F26" s="21">
        <f>F25/Income_Statement!F5</f>
        <v>0.57166631712790661</v>
      </c>
      <c r="G26" s="21">
        <f>G25/Income_Statement!G5</f>
        <v>0.75296968923605578</v>
      </c>
      <c r="H26" s="29">
        <f>H25/Income_Statement!H5</f>
        <v>0.560325170560102</v>
      </c>
      <c r="I26" s="29">
        <f>I25/Income_Statement!I5</f>
        <v>0.56032517056010189</v>
      </c>
      <c r="J26" s="29">
        <f>J25/Income_Statement!J5</f>
        <v>0.560325170560102</v>
      </c>
      <c r="K26" s="29">
        <f>K25/Income_Statement!K5</f>
        <v>0.560325170560102</v>
      </c>
      <c r="L26" s="29">
        <f>L25/Income_Statement!L5</f>
        <v>0.560325170560102</v>
      </c>
    </row>
    <row r="27" spans="2:12" ht="18.75" x14ac:dyDescent="0.25">
      <c r="B27" s="9" t="s">
        <v>109</v>
      </c>
      <c r="C27" s="7">
        <f xml:space="preserve"> C15-C25-C11</f>
        <v>7457.1791195840851</v>
      </c>
      <c r="D27" s="7">
        <f t="shared" ref="D27:L27" si="18" xml:space="preserve"> D15-D25-D11</f>
        <v>19298.982472991334</v>
      </c>
      <c r="E27" s="7">
        <f t="shared" si="18"/>
        <v>14379.577359278419</v>
      </c>
      <c r="F27" s="7">
        <f t="shared" si="18"/>
        <v>10231.642272579822</v>
      </c>
      <c r="G27" s="7">
        <f t="shared" si="18"/>
        <v>27103.595588327782</v>
      </c>
      <c r="H27" s="27">
        <f t="shared" si="18"/>
        <v>49704.451340450913</v>
      </c>
      <c r="I27" s="27">
        <f t="shared" si="18"/>
        <v>45109.204575515898</v>
      </c>
      <c r="J27" s="27">
        <f t="shared" si="18"/>
        <v>42102.381854572275</v>
      </c>
      <c r="K27" s="27">
        <f t="shared" si="18"/>
        <v>39722.122332662031</v>
      </c>
      <c r="L27" s="27">
        <f t="shared" si="18"/>
        <v>37951.809124885149</v>
      </c>
    </row>
    <row r="28" spans="2:12" x14ac:dyDescent="0.25">
      <c r="B28" s="19" t="s">
        <v>249</v>
      </c>
      <c r="C28" s="21">
        <f>C27/Income_Statement!C5</f>
        <v>5.8643062788123902E-2</v>
      </c>
      <c r="D28" s="21">
        <f>D27/Income_Statement!D5</f>
        <v>0.13725868205508654</v>
      </c>
      <c r="E28" s="21">
        <f>E27/Income_Statement!E5</f>
        <v>0.10653185688245596</v>
      </c>
      <c r="F28" s="21">
        <f>F27/Income_Statement!F5</f>
        <v>8.07000124743915E-2</v>
      </c>
      <c r="G28" s="21">
        <f>G27/Income_Statement!G5</f>
        <v>0.24703974978765406</v>
      </c>
      <c r="H28" s="29">
        <f>H27/Income_Statement!H5</f>
        <v>0.43968399946170522</v>
      </c>
      <c r="I28" s="29">
        <f>I27/Income_Statement!I5</f>
        <v>0.43968493362762173</v>
      </c>
      <c r="J28" s="29">
        <f>J27/Income_Statement!J5</f>
        <v>0.43968565525542386</v>
      </c>
      <c r="K28" s="29">
        <f>K27/Income_Statement!K5</f>
        <v>0.43968630398518621</v>
      </c>
      <c r="L28" s="29">
        <f>L27/Income_Statement!L5</f>
        <v>0.4396868392454128</v>
      </c>
    </row>
    <row r="29" spans="2:12" ht="18.75" x14ac:dyDescent="0.25">
      <c r="B29" s="9" t="s">
        <v>110</v>
      </c>
      <c r="C29" s="7">
        <f xml:space="preserve"> C27+C11</f>
        <v>12115.499119584085</v>
      </c>
      <c r="D29" s="7">
        <f t="shared" ref="D29:L29" si="19" xml:space="preserve"> D27+D11</f>
        <v>25172.712472991334</v>
      </c>
      <c r="E29" s="7">
        <f t="shared" si="19"/>
        <v>20484.977359278419</v>
      </c>
      <c r="F29" s="7">
        <f t="shared" si="19"/>
        <v>14024.022272579823</v>
      </c>
      <c r="G29" s="7">
        <f t="shared" si="19"/>
        <v>31008.115588327782</v>
      </c>
      <c r="H29" s="27">
        <f t="shared" si="19"/>
        <v>53845.649487710856</v>
      </c>
      <c r="I29" s="27">
        <f t="shared" si="19"/>
        <v>48867.535116976054</v>
      </c>
      <c r="J29" s="27">
        <f t="shared" si="19"/>
        <v>45610.189393651657</v>
      </c>
      <c r="K29" s="27">
        <f t="shared" si="19"/>
        <v>43031.610975944568</v>
      </c>
      <c r="L29" s="27">
        <f t="shared" si="19"/>
        <v>41113.7984903162</v>
      </c>
    </row>
    <row r="30" spans="2:12" x14ac:dyDescent="0.25">
      <c r="B30" s="19" t="s">
        <v>250</v>
      </c>
      <c r="C30" s="21">
        <f>C29/Income_Statement!C5</f>
        <v>9.5275970200760854E-2</v>
      </c>
      <c r="D30" s="21">
        <f>D29/Income_Statement!D5</f>
        <v>0.17903396423256498</v>
      </c>
      <c r="E30" s="21">
        <f>E29/Income_Statement!E5</f>
        <v>0.15176403462726731</v>
      </c>
      <c r="F30" s="21">
        <f>F29/Income_Statement!F5</f>
        <v>0.11061164397540821</v>
      </c>
      <c r="G30" s="21">
        <f>G29/Income_Statement!G5</f>
        <v>0.28262807756864727</v>
      </c>
      <c r="H30" s="29">
        <f>H29/Income_Statement!H5</f>
        <v>0.47631690687434214</v>
      </c>
      <c r="I30" s="29">
        <f>I29/Income_Statement!I5</f>
        <v>0.4763178410402587</v>
      </c>
      <c r="J30" s="29">
        <f>J29/Income_Statement!J5</f>
        <v>0.47631856266806083</v>
      </c>
      <c r="K30" s="29">
        <f>K29/Income_Statement!K5</f>
        <v>0.47631921139782318</v>
      </c>
      <c r="L30" s="29">
        <f>L29/Income_Statement!L5</f>
        <v>0.47631974665804971</v>
      </c>
    </row>
    <row r="31" spans="2:12" ht="18.75" x14ac:dyDescent="0.25">
      <c r="B31" s="8" t="s">
        <v>68</v>
      </c>
      <c r="C31" s="5">
        <v>3066.38</v>
      </c>
      <c r="D31" s="5">
        <v>3450.36</v>
      </c>
      <c r="E31" s="5">
        <v>3450.84</v>
      </c>
      <c r="F31" s="5">
        <v>3708.92</v>
      </c>
      <c r="G31" s="5">
        <v>4428.67</v>
      </c>
      <c r="H31" s="24">
        <f>Balance_Sheet!H40*H62</f>
        <v>6440.9312968994518</v>
      </c>
      <c r="I31" s="24">
        <f>Balance_Sheet!I40*I62</f>
        <v>7153.6584569234128</v>
      </c>
      <c r="J31" s="24">
        <f>Balance_Sheet!J40*J62</f>
        <v>7851.925192167133</v>
      </c>
      <c r="K31" s="24">
        <f>Balance_Sheet!K40*K62</f>
        <v>8667.0290829490732</v>
      </c>
      <c r="L31" s="24">
        <f>Balance_Sheet!L40*L62</f>
        <v>9253.282009129367</v>
      </c>
    </row>
    <row r="32" spans="2:12" x14ac:dyDescent="0.25">
      <c r="B32" s="17" t="s">
        <v>251</v>
      </c>
      <c r="C32" s="18">
        <f>C31/Income_Statement!C5</f>
        <v>2.4113932626346344E-2</v>
      </c>
      <c r="D32" s="18">
        <f>D31/Income_Statement!D5</f>
        <v>2.4539732438141434E-2</v>
      </c>
      <c r="E32" s="18">
        <f>E31/Income_Statement!E5</f>
        <v>2.5565730050267771E-2</v>
      </c>
      <c r="F32" s="18">
        <f>F31/Income_Statement!F5</f>
        <v>2.9253357603075351E-2</v>
      </c>
      <c r="G32" s="18">
        <f>G31/Income_Statement!G5</f>
        <v>4.0365770848619358E-2</v>
      </c>
      <c r="H32" s="25">
        <f>H31/Income_Statement!H5</f>
        <v>5.697627388503284E-2</v>
      </c>
      <c r="I32" s="25">
        <f>I31/Income_Statement!I5</f>
        <v>6.9727583836276794E-2</v>
      </c>
      <c r="J32" s="25">
        <f>J31/Income_Statement!J5</f>
        <v>8.1999609548447691E-2</v>
      </c>
      <c r="K32" s="25">
        <f>K31/Income_Statement!K5</f>
        <v>9.5935810078318431E-2</v>
      </c>
      <c r="L32" s="25">
        <f>L31/Income_Statement!L5</f>
        <v>0.10720296115140325</v>
      </c>
    </row>
    <row r="33" spans="2:12" ht="18.75" x14ac:dyDescent="0.25">
      <c r="B33" s="9" t="s">
        <v>111</v>
      </c>
      <c r="C33" s="7">
        <f xml:space="preserve"> C29-C31</f>
        <v>9049.1191195840838</v>
      </c>
      <c r="D33" s="7">
        <f t="shared" ref="D33:L33" si="20" xml:space="preserve"> D29-D31</f>
        <v>21722.352472991333</v>
      </c>
      <c r="E33" s="7">
        <f t="shared" si="20"/>
        <v>17034.137359278418</v>
      </c>
      <c r="F33" s="7">
        <f t="shared" si="20"/>
        <v>10315.102272579823</v>
      </c>
      <c r="G33" s="7">
        <f t="shared" si="20"/>
        <v>26579.445588327784</v>
      </c>
      <c r="H33" s="27">
        <f t="shared" si="20"/>
        <v>47404.718190811407</v>
      </c>
      <c r="I33" s="27">
        <f t="shared" si="20"/>
        <v>41713.876660052643</v>
      </c>
      <c r="J33" s="27">
        <f t="shared" si="20"/>
        <v>37758.264201484526</v>
      </c>
      <c r="K33" s="27">
        <f t="shared" si="20"/>
        <v>34364.581892995498</v>
      </c>
      <c r="L33" s="27">
        <f t="shared" si="20"/>
        <v>31860.516481186831</v>
      </c>
    </row>
    <row r="34" spans="2:12" x14ac:dyDescent="0.25">
      <c r="B34" s="19" t="s">
        <v>252</v>
      </c>
      <c r="C34" s="21">
        <f>C33/Income_Statement!C5</f>
        <v>7.11620375744145E-2</v>
      </c>
      <c r="D34" s="21">
        <f>D33/Income_Statement!D5</f>
        <v>0.15449423179442354</v>
      </c>
      <c r="E34" s="21">
        <f>E33/Income_Statement!E5</f>
        <v>0.12619830457699954</v>
      </c>
      <c r="F34" s="21">
        <f>F33/Income_Statement!F5</f>
        <v>8.1358286372332861E-2</v>
      </c>
      <c r="G34" s="21">
        <f>G33/Income_Statement!G5</f>
        <v>0.24226230672002794</v>
      </c>
      <c r="H34" s="29">
        <f>H33/Income_Statement!H5</f>
        <v>0.41934063298930929</v>
      </c>
      <c r="I34" s="29">
        <f>I33/Income_Statement!I5</f>
        <v>0.4065902572039819</v>
      </c>
      <c r="J34" s="29">
        <f>J33/Income_Statement!J5</f>
        <v>0.39431895311961318</v>
      </c>
      <c r="K34" s="29">
        <f>K33/Income_Statement!K5</f>
        <v>0.38038340131950477</v>
      </c>
      <c r="L34" s="29">
        <f>L33/Income_Statement!L5</f>
        <v>0.36911678550664645</v>
      </c>
    </row>
    <row r="35" spans="2:12" ht="18.75" x14ac:dyDescent="0.25">
      <c r="B35" s="8" t="s">
        <v>67</v>
      </c>
      <c r="C35" s="4">
        <v>431.79</v>
      </c>
      <c r="D35" s="4">
        <v>275.04000000000002</v>
      </c>
      <c r="E35" s="4">
        <v>502.92</v>
      </c>
      <c r="F35" s="4">
        <v>644.69000000000005</v>
      </c>
      <c r="G35" s="4">
        <v>541.49</v>
      </c>
      <c r="H35" s="26">
        <f>Balance_Sheet!H21*H63</f>
        <v>548.01293099850034</v>
      </c>
      <c r="I35" s="26">
        <f>Balance_Sheet!I21*I63</f>
        <v>608.65358767029534</v>
      </c>
      <c r="J35" s="26">
        <f>Balance_Sheet!J21*J63</f>
        <v>668.06429603133392</v>
      </c>
      <c r="K35" s="26">
        <f>Balance_Sheet!K21*K63</f>
        <v>737.41577252364846</v>
      </c>
      <c r="L35" s="26">
        <f>Balance_Sheet!L21*L63</f>
        <v>787.29569552366297</v>
      </c>
    </row>
    <row r="36" spans="2:12" x14ac:dyDescent="0.25">
      <c r="B36" s="17" t="s">
        <v>253</v>
      </c>
      <c r="C36" s="18">
        <f>C35/Income_Statement!C5</f>
        <v>3.3955853379979283E-3</v>
      </c>
      <c r="D36" s="18">
        <f>D35/Income_Statement!D5</f>
        <v>1.9561460281786306E-3</v>
      </c>
      <c r="E36" s="18">
        <f>E35/Income_Statement!E5</f>
        <v>3.7259093313166264E-3</v>
      </c>
      <c r="F36" s="18">
        <f>F35/Income_Statement!F5</f>
        <v>5.084862200620841E-3</v>
      </c>
      <c r="G36" s="18">
        <f>G35/Income_Statement!G5</f>
        <v>4.9354910744803509E-3</v>
      </c>
      <c r="H36" s="25">
        <f>H35/Income_Statement!H5</f>
        <v>4.8477049994525949E-3</v>
      </c>
      <c r="I36" s="25">
        <f>I35/Income_Statement!I5</f>
        <v>5.9326209543114523E-3</v>
      </c>
      <c r="J36" s="25">
        <f>J35/Income_Statement!J5</f>
        <v>6.9767617606031201E-3</v>
      </c>
      <c r="K36" s="25">
        <f>K35/Income_Statement!K5</f>
        <v>8.1624947631436136E-3</v>
      </c>
      <c r="L36" s="25">
        <f>L35/Income_Statement!L5</f>
        <v>9.1211345097469265E-3</v>
      </c>
    </row>
    <row r="37" spans="2:12" ht="18.75" x14ac:dyDescent="0.25">
      <c r="B37" s="9" t="s">
        <v>112</v>
      </c>
      <c r="C37" s="7">
        <f xml:space="preserve"> C33-C35</f>
        <v>8617.3291195840829</v>
      </c>
      <c r="D37" s="7">
        <f t="shared" ref="D37:L37" si="21" xml:space="preserve"> D33-D35</f>
        <v>21447.312472991332</v>
      </c>
      <c r="E37" s="7">
        <f t="shared" si="21"/>
        <v>16531.21735927842</v>
      </c>
      <c r="F37" s="7">
        <f t="shared" si="21"/>
        <v>9670.4122725798225</v>
      </c>
      <c r="G37" s="7">
        <f t="shared" si="21"/>
        <v>26037.955588327783</v>
      </c>
      <c r="H37" s="27">
        <f t="shared" si="21"/>
        <v>46856.705259812908</v>
      </c>
      <c r="I37" s="27">
        <f t="shared" si="21"/>
        <v>41105.223072382345</v>
      </c>
      <c r="J37" s="27">
        <f t="shared" si="21"/>
        <v>37090.199905453192</v>
      </c>
      <c r="K37" s="27">
        <f t="shared" si="21"/>
        <v>33627.166120471848</v>
      </c>
      <c r="L37" s="27">
        <f t="shared" si="21"/>
        <v>31073.220785663168</v>
      </c>
    </row>
    <row r="38" spans="2:12" x14ac:dyDescent="0.25">
      <c r="B38" s="19" t="s">
        <v>254</v>
      </c>
      <c r="C38" s="21">
        <f>C37/Income_Statement!C5</f>
        <v>6.7766452236416558E-2</v>
      </c>
      <c r="D38" s="21">
        <f>D37/Income_Statement!D5</f>
        <v>0.15253808576624492</v>
      </c>
      <c r="E38" s="21">
        <f>E37/Income_Statement!E5</f>
        <v>0.12247239524568294</v>
      </c>
      <c r="F38" s="21">
        <f>F37/Income_Statement!F5</f>
        <v>7.6273424171712012E-2</v>
      </c>
      <c r="G38" s="21">
        <f>G37/Income_Statement!G5</f>
        <v>0.23732681564554756</v>
      </c>
      <c r="H38" s="29">
        <f>H37/Income_Statement!H5</f>
        <v>0.41449292798985676</v>
      </c>
      <c r="I38" s="29">
        <f>I37/Income_Statement!I5</f>
        <v>0.40065763624967043</v>
      </c>
      <c r="J38" s="29">
        <f>J37/Income_Statement!J5</f>
        <v>0.38734219135901005</v>
      </c>
      <c r="K38" s="29">
        <f>K37/Income_Statement!K5</f>
        <v>0.37222090655636114</v>
      </c>
      <c r="L38" s="29">
        <f>L37/Income_Statement!L5</f>
        <v>0.35999565099689951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6">
        <f>H5*H40</f>
        <v>0</v>
      </c>
      <c r="I39" s="26">
        <f t="shared" ref="I39:L39" si="22">I5*I40</f>
        <v>0</v>
      </c>
      <c r="J39" s="26">
        <f t="shared" si="22"/>
        <v>0</v>
      </c>
      <c r="K39" s="26">
        <f t="shared" si="22"/>
        <v>0</v>
      </c>
      <c r="L39" s="26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8617.3291195840829</v>
      </c>
      <c r="D41" s="7">
        <f t="shared" ref="D41:L41" si="24" xml:space="preserve"> D37+D39</f>
        <v>21447.312472991332</v>
      </c>
      <c r="E41" s="7">
        <f t="shared" si="24"/>
        <v>16531.21735927842</v>
      </c>
      <c r="F41" s="7">
        <f t="shared" si="24"/>
        <v>9670.4122725798225</v>
      </c>
      <c r="G41" s="7">
        <f t="shared" si="24"/>
        <v>26037.955588327783</v>
      </c>
      <c r="H41" s="27">
        <f t="shared" si="24"/>
        <v>46856.705259812908</v>
      </c>
      <c r="I41" s="27">
        <f t="shared" si="24"/>
        <v>41105.223072382345</v>
      </c>
      <c r="J41" s="27">
        <f t="shared" si="24"/>
        <v>37090.199905453192</v>
      </c>
      <c r="K41" s="27">
        <f t="shared" si="24"/>
        <v>33627.166120471848</v>
      </c>
      <c r="L41" s="27">
        <f t="shared" si="24"/>
        <v>31073.220785663168</v>
      </c>
    </row>
    <row r="42" spans="2:12" x14ac:dyDescent="0.25">
      <c r="B42" s="19" t="s">
        <v>256</v>
      </c>
      <c r="C42" s="21">
        <f>C41/Income_Statement!C5</f>
        <v>6.7766452236416558E-2</v>
      </c>
      <c r="D42" s="21">
        <f>D41/Income_Statement!D5</f>
        <v>0.15253808576624492</v>
      </c>
      <c r="E42" s="21">
        <f>E41/Income_Statement!E5</f>
        <v>0.12247239524568294</v>
      </c>
      <c r="F42" s="21">
        <f>F41/Income_Statement!F5</f>
        <v>7.6273424171712012E-2</v>
      </c>
      <c r="G42" s="21">
        <f>G41/Income_Statement!G5</f>
        <v>0.23732681564554756</v>
      </c>
      <c r="H42" s="29">
        <f>H41/Income_Statement!H5</f>
        <v>0.41449292798985676</v>
      </c>
      <c r="I42" s="29">
        <f>I41/Income_Statement!I5</f>
        <v>0.40065763624967043</v>
      </c>
      <c r="J42" s="29">
        <f>J41/Income_Statement!J5</f>
        <v>0.38734219135901005</v>
      </c>
      <c r="K42" s="29">
        <f>K41/Income_Statement!K5</f>
        <v>0.37222090655636114</v>
      </c>
      <c r="L42" s="29">
        <f>L41/Income_Statement!L5</f>
        <v>0.35999565099689951</v>
      </c>
    </row>
    <row r="43" spans="2:12" ht="18.75" x14ac:dyDescent="0.25">
      <c r="B43" s="8" t="s">
        <v>72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26">
        <f>H5*H44</f>
        <v>0</v>
      </c>
      <c r="I43" s="26">
        <f t="shared" ref="I43:L43" si="25">I5*I44</f>
        <v>0</v>
      </c>
      <c r="J43" s="26">
        <f t="shared" si="25"/>
        <v>0</v>
      </c>
      <c r="K43" s="26">
        <f t="shared" si="25"/>
        <v>0</v>
      </c>
      <c r="L43" s="26">
        <f t="shared" si="25"/>
        <v>0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0</v>
      </c>
      <c r="F44" s="18">
        <f>F43/Income_Statement!F5</f>
        <v>0</v>
      </c>
      <c r="G44" s="18">
        <f>G43/Income_Statement!G5</f>
        <v>0</v>
      </c>
      <c r="H44" s="25">
        <f>G44</f>
        <v>0</v>
      </c>
      <c r="I44" s="25">
        <f t="shared" ref="I44:L44" si="26">H44</f>
        <v>0</v>
      </c>
      <c r="J44" s="25">
        <f t="shared" si="26"/>
        <v>0</v>
      </c>
      <c r="K44" s="25">
        <f t="shared" si="26"/>
        <v>0</v>
      </c>
      <c r="L44" s="25">
        <f t="shared" si="26"/>
        <v>0</v>
      </c>
    </row>
    <row r="45" spans="2:12" ht="18.75" x14ac:dyDescent="0.25">
      <c r="B45" s="9" t="s">
        <v>115</v>
      </c>
      <c r="C45" s="7">
        <f xml:space="preserve"> C41+C43</f>
        <v>8617.3291195840829</v>
      </c>
      <c r="D45" s="7">
        <f t="shared" ref="D45:L45" si="27" xml:space="preserve"> D41+D43</f>
        <v>21447.312472991332</v>
      </c>
      <c r="E45" s="7">
        <f t="shared" si="27"/>
        <v>16531.21735927842</v>
      </c>
      <c r="F45" s="7">
        <f t="shared" si="27"/>
        <v>9670.4122725798225</v>
      </c>
      <c r="G45" s="7">
        <f t="shared" si="27"/>
        <v>26037.955588327783</v>
      </c>
      <c r="H45" s="27">
        <f t="shared" si="27"/>
        <v>46856.705259812908</v>
      </c>
      <c r="I45" s="27">
        <f t="shared" si="27"/>
        <v>41105.223072382345</v>
      </c>
      <c r="J45" s="27">
        <f t="shared" si="27"/>
        <v>37090.199905453192</v>
      </c>
      <c r="K45" s="27">
        <f t="shared" si="27"/>
        <v>33627.166120471848</v>
      </c>
      <c r="L45" s="27">
        <f t="shared" si="27"/>
        <v>31073.220785663168</v>
      </c>
    </row>
    <row r="46" spans="2:12" x14ac:dyDescent="0.25">
      <c r="B46" s="19" t="s">
        <v>258</v>
      </c>
      <c r="C46" s="21">
        <f>C45/Income_Statement!C5</f>
        <v>6.7766452236416558E-2</v>
      </c>
      <c r="D46" s="21">
        <f>D45/Income_Statement!D5</f>
        <v>0.15253808576624492</v>
      </c>
      <c r="E46" s="21">
        <f>E45/Income_Statement!E5</f>
        <v>0.12247239524568294</v>
      </c>
      <c r="F46" s="21">
        <f>F45/Income_Statement!F5</f>
        <v>7.6273424171712012E-2</v>
      </c>
      <c r="G46" s="21">
        <f>G45/Income_Statement!G5</f>
        <v>0.23732681564554756</v>
      </c>
      <c r="H46" s="29">
        <f>H45/Income_Statement!H5</f>
        <v>0.41449292798985676</v>
      </c>
      <c r="I46" s="29">
        <f>I45/Income_Statement!I5</f>
        <v>0.40065763624967043</v>
      </c>
      <c r="J46" s="29">
        <f>J45/Income_Statement!J5</f>
        <v>0.38734219135901005</v>
      </c>
      <c r="K46" s="29">
        <f>K45/Income_Statement!K5</f>
        <v>0.37222090655636114</v>
      </c>
      <c r="L46" s="29">
        <f>L45/Income_Statement!L5</f>
        <v>0.35999565099689951</v>
      </c>
    </row>
    <row r="47" spans="2:12" ht="18.75" x14ac:dyDescent="0.25">
      <c r="B47" s="8" t="s">
        <v>79</v>
      </c>
      <c r="C47" s="5">
        <v>3706.66</v>
      </c>
      <c r="D47" s="5">
        <v>9662.4500000000007</v>
      </c>
      <c r="E47" s="5">
        <v>7370.98</v>
      </c>
      <c r="F47" s="5">
        <v>5307.07</v>
      </c>
      <c r="G47" s="5">
        <v>6237.86</v>
      </c>
      <c r="H47" s="24">
        <f>H45*H64</f>
        <v>11225.365466212003</v>
      </c>
      <c r="I47" s="24">
        <f t="shared" ref="I47:L47" si="28">I45*I64</f>
        <v>9847.4945901372157</v>
      </c>
      <c r="J47" s="24">
        <f t="shared" si="28"/>
        <v>8885.6236657053505</v>
      </c>
      <c r="K47" s="24">
        <f t="shared" si="28"/>
        <v>8055.9917135075611</v>
      </c>
      <c r="L47" s="24">
        <f t="shared" si="28"/>
        <v>7444.1482301685219</v>
      </c>
    </row>
    <row r="48" spans="2:12" x14ac:dyDescent="0.25">
      <c r="B48" s="17" t="s">
        <v>259</v>
      </c>
      <c r="C48" s="18">
        <f>C47/Income_Statement!C5</f>
        <v>2.914907790579541E-2</v>
      </c>
      <c r="D48" s="18">
        <f>D47/Income_Statement!D5</f>
        <v>6.8721506653485351E-2</v>
      </c>
      <c r="E48" s="18">
        <f>E47/Income_Statement!E5</f>
        <v>5.4608293889581293E-2</v>
      </c>
      <c r="F48" s="18">
        <f>F47/Income_Statement!F5</f>
        <v>4.1858443033161434E-2</v>
      </c>
      <c r="G48" s="18">
        <f>G47/Income_Statement!G5</f>
        <v>5.6855901962839572E-2</v>
      </c>
      <c r="H48" s="25">
        <f>H47/Income_Statement!H5</f>
        <v>9.9299226739208726E-2</v>
      </c>
      <c r="I48" s="25">
        <f>I47/Income_Statement!I5</f>
        <v>9.5984734069395353E-2</v>
      </c>
      <c r="J48" s="25">
        <f>J47/Income_Statement!J5</f>
        <v>9.2794780050774614E-2</v>
      </c>
      <c r="K48" s="25">
        <f>K47/Income_Statement!K5</f>
        <v>8.9172204641615571E-2</v>
      </c>
      <c r="L48" s="25">
        <f>L47/Income_Statement!L5</f>
        <v>8.6243425061150791E-2</v>
      </c>
    </row>
    <row r="49" spans="2:12" ht="18.75" x14ac:dyDescent="0.25">
      <c r="B49" s="9" t="s">
        <v>116</v>
      </c>
      <c r="C49" s="7">
        <f xml:space="preserve"> C45-C47</f>
        <v>4910.6691195840831</v>
      </c>
      <c r="D49" s="7">
        <f t="shared" ref="D49:L49" si="29" xml:space="preserve"> D45-D47</f>
        <v>11784.862472991332</v>
      </c>
      <c r="E49" s="7">
        <f t="shared" si="29"/>
        <v>9160.2373592784206</v>
      </c>
      <c r="F49" s="7">
        <f t="shared" si="29"/>
        <v>4363.3422725798227</v>
      </c>
      <c r="G49" s="7">
        <f t="shared" si="29"/>
        <v>19800.095588327782</v>
      </c>
      <c r="H49" s="27">
        <f t="shared" si="29"/>
        <v>35631.339793600906</v>
      </c>
      <c r="I49" s="27">
        <f t="shared" si="29"/>
        <v>31257.728482245129</v>
      </c>
      <c r="J49" s="27">
        <f t="shared" si="29"/>
        <v>28204.576239747839</v>
      </c>
      <c r="K49" s="27">
        <f t="shared" si="29"/>
        <v>25571.174406964288</v>
      </c>
      <c r="L49" s="27">
        <f t="shared" si="29"/>
        <v>23629.072555494648</v>
      </c>
    </row>
    <row r="50" spans="2:12" x14ac:dyDescent="0.25">
      <c r="B50" s="19" t="s">
        <v>260</v>
      </c>
      <c r="C50" s="21">
        <f>C49/Income_Statement!C5</f>
        <v>3.8617374330621151E-2</v>
      </c>
      <c r="D50" s="21">
        <f>D49/Income_Statement!D5</f>
        <v>8.3816579112759554E-2</v>
      </c>
      <c r="E50" s="21">
        <f>E49/Income_Statement!E5</f>
        <v>6.7864101356101644E-2</v>
      </c>
      <c r="F50" s="21">
        <f>F49/Income_Statement!F5</f>
        <v>3.4414981138550585E-2</v>
      </c>
      <c r="G50" s="21">
        <f>G49/Income_Statement!G5</f>
        <v>0.18047091368270798</v>
      </c>
      <c r="H50" s="29">
        <f>H49/Income_Statement!H5</f>
        <v>0.315193701250648</v>
      </c>
      <c r="I50" s="29">
        <f>I49/Income_Statement!I5</f>
        <v>0.30467290218027504</v>
      </c>
      <c r="J50" s="29">
        <f>J49/Income_Statement!J5</f>
        <v>0.29454741130823542</v>
      </c>
      <c r="K50" s="29">
        <f>K49/Income_Statement!K5</f>
        <v>0.28304870191474557</v>
      </c>
      <c r="L50" s="29">
        <f>L49/Income_Statement!L5</f>
        <v>0.27375222593574877</v>
      </c>
    </row>
    <row r="51" spans="2:12" ht="18.75" x14ac:dyDescent="0.25">
      <c r="B51" s="8" t="s">
        <v>88</v>
      </c>
      <c r="C51" s="4">
        <v>10242.24</v>
      </c>
      <c r="D51" s="5">
        <v>8105.58</v>
      </c>
      <c r="E51" s="5">
        <v>7395.27</v>
      </c>
      <c r="F51" s="5">
        <v>7703.44</v>
      </c>
      <c r="G51" s="5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8.0544709169401554E-2</v>
      </c>
      <c r="D52" s="18">
        <f>D51/Income_Statement!D5</f>
        <v>5.7648698818659631E-2</v>
      </c>
      <c r="E52" s="18">
        <f>E51/Income_Statement!E5</f>
        <v>5.4788247635023282E-2</v>
      </c>
      <c r="F52" s="18">
        <f>F51/Income_Statement!F5</f>
        <v>6.0759327538430261E-2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2081.5700000000002</v>
      </c>
      <c r="D53" s="4">
        <v>1833.86</v>
      </c>
      <c r="E53" s="5">
        <v>2282.08</v>
      </c>
      <c r="F53" s="5">
        <v>0</v>
      </c>
      <c r="G53" s="5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1.6369412381056412E-2</v>
      </c>
      <c r="D54" s="18">
        <f>D53/Income_Statement!D5</f>
        <v>1.3042822699373412E-2</v>
      </c>
      <c r="E54" s="18">
        <f>E53/Income_Statement!E5</f>
        <v>1.690690997934273E-2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-7413.1408804159164</v>
      </c>
      <c r="D55" s="7">
        <f t="shared" ref="D55:L55" si="34" xml:space="preserve"> D49-D51-D53</f>
        <v>1845.4224729913319</v>
      </c>
      <c r="E55" s="7">
        <f t="shared" si="34"/>
        <v>-517.11264072157974</v>
      </c>
      <c r="F55" s="7">
        <f t="shared" si="34"/>
        <v>-3340.0977274201769</v>
      </c>
      <c r="G55" s="7">
        <f t="shared" si="34"/>
        <v>19800.095588327782</v>
      </c>
      <c r="H55" s="27">
        <f t="shared" si="34"/>
        <v>35631.339793600906</v>
      </c>
      <c r="I55" s="27">
        <f t="shared" si="34"/>
        <v>31257.728482245129</v>
      </c>
      <c r="J55" s="27">
        <f t="shared" si="34"/>
        <v>28204.576239747839</v>
      </c>
      <c r="K55" s="27">
        <f t="shared" si="34"/>
        <v>25571.174406964288</v>
      </c>
      <c r="L55" s="27">
        <f t="shared" si="34"/>
        <v>23629.072555494648</v>
      </c>
    </row>
    <row r="56" spans="2:12" x14ac:dyDescent="0.25">
      <c r="B56" s="19" t="s">
        <v>263</v>
      </c>
      <c r="C56" s="21">
        <f>C55/Income_Statement!C5</f>
        <v>-5.8296747219836818E-2</v>
      </c>
      <c r="D56" s="21">
        <f>D55/Income_Statement!D5</f>
        <v>1.3125057594726514E-2</v>
      </c>
      <c r="E56" s="21">
        <f>E55/Income_Statement!E5</f>
        <v>-3.831056258264368E-3</v>
      </c>
      <c r="F56" s="21">
        <f>F55/Income_Statement!F5</f>
        <v>-2.6344346399879676E-2</v>
      </c>
      <c r="G56" s="21">
        <f>G55/Income_Statement!G5</f>
        <v>0.18047091368270798</v>
      </c>
      <c r="H56" s="29">
        <f>H55/Income_Statement!H5</f>
        <v>0.315193701250648</v>
      </c>
      <c r="I56" s="29">
        <f>I55/Income_Statement!I5</f>
        <v>0.30467290218027504</v>
      </c>
      <c r="J56" s="29">
        <f>J55/Income_Statement!J5</f>
        <v>0.29454741130823542</v>
      </c>
      <c r="K56" s="29">
        <f>K55/Income_Statement!K5</f>
        <v>0.28304870191474557</v>
      </c>
      <c r="L56" s="29">
        <f>L55/Income_Statement!L5</f>
        <v>0.27375222593574877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11</v>
      </c>
      <c r="D60" s="4">
        <v>28</v>
      </c>
      <c r="E60" s="4">
        <v>27</v>
      </c>
      <c r="F60" s="4">
        <v>21</v>
      </c>
      <c r="G60" s="4">
        <v>28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446.42446541673485</v>
      </c>
      <c r="D61" s="4">
        <f t="shared" ref="D61:G61" si="35">D49/D60</f>
        <v>420.88794546397611</v>
      </c>
      <c r="E61" s="4">
        <f t="shared" si="35"/>
        <v>339.2680503436452</v>
      </c>
      <c r="F61" s="4">
        <f t="shared" si="35"/>
        <v>207.77820345618204</v>
      </c>
      <c r="G61" s="4">
        <f t="shared" si="35"/>
        <v>707.14627101170652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0.12742973740093835</v>
      </c>
      <c r="D62" s="23">
        <f>D31/Balance_Sheet!D40</f>
        <v>0.12089956711958978</v>
      </c>
      <c r="E62" s="23">
        <f>E31/Balance_Sheet!E40</f>
        <v>0.10682937928664633</v>
      </c>
      <c r="F62" s="23">
        <f>F31/Balance_Sheet!F40</f>
        <v>9.8240037718207371E-2</v>
      </c>
      <c r="G62" s="23">
        <f>G31/Balance_Sheet!G40</f>
        <v>7.4338848593600237E-2</v>
      </c>
      <c r="H62" s="23">
        <f>MEDIAN(C62:G62)</f>
        <v>0.10682937928664633</v>
      </c>
      <c r="I62" s="23">
        <f t="shared" ref="I62:L62" si="36">H62</f>
        <v>0.10682937928664633</v>
      </c>
      <c r="J62" s="23">
        <f t="shared" si="36"/>
        <v>0.10682937928664633</v>
      </c>
      <c r="K62" s="23">
        <f t="shared" si="36"/>
        <v>0.10682937928664633</v>
      </c>
      <c r="L62" s="23">
        <f t="shared" si="36"/>
        <v>0.10682937928664633</v>
      </c>
    </row>
    <row r="63" spans="2:12" x14ac:dyDescent="0.25">
      <c r="B63" t="s">
        <v>267</v>
      </c>
      <c r="C63" s="23">
        <f>C35/Balance_Sheet!C21</f>
        <v>0.28204240531960756</v>
      </c>
      <c r="D63" s="23">
        <f>D35/Balance_Sheet!D21</f>
        <v>0.12486267103698123</v>
      </c>
      <c r="E63" s="23">
        <f>E35/Balance_Sheet!E21</f>
        <v>7.4694454057088716E-2</v>
      </c>
      <c r="F63" s="23">
        <f>F35/Balance_Sheet!F21</f>
        <v>9.7719242667911613E-2</v>
      </c>
      <c r="G63" s="23">
        <f>G35/Balance_Sheet!G21</f>
        <v>0.13140473405520314</v>
      </c>
      <c r="H63" s="23">
        <f>G63</f>
        <v>0.13140473405520314</v>
      </c>
      <c r="I63" s="23">
        <f t="shared" ref="I63:L63" si="37">H63</f>
        <v>0.13140473405520314</v>
      </c>
      <c r="J63" s="23">
        <f t="shared" si="37"/>
        <v>0.13140473405520314</v>
      </c>
      <c r="K63" s="23">
        <f t="shared" si="37"/>
        <v>0.13140473405520314</v>
      </c>
      <c r="L63" s="23">
        <f t="shared" si="37"/>
        <v>0.13140473405520314</v>
      </c>
    </row>
    <row r="64" spans="2:12" x14ac:dyDescent="0.25">
      <c r="B64" t="s">
        <v>268</v>
      </c>
      <c r="C64" s="23">
        <f>C47/Income_Statement!C45</f>
        <v>0.43014023818309294</v>
      </c>
      <c r="D64" s="23">
        <f>D47/Income_Statement!D45</f>
        <v>0.45052031634117112</v>
      </c>
      <c r="E64" s="23">
        <f>E47/Income_Statement!E45</f>
        <v>0.44588246829038969</v>
      </c>
      <c r="F64" s="23">
        <f>F47/Income_Statement!F45</f>
        <v>0.54879459638427674</v>
      </c>
      <c r="G64" s="23">
        <f>G47/Income_Statement!G45</f>
        <v>0.23956796373046618</v>
      </c>
      <c r="H64" s="23">
        <f>G64</f>
        <v>0.23956796373046618</v>
      </c>
      <c r="I64" s="23">
        <f t="shared" ref="I64:L64" si="38">H64</f>
        <v>0.23956796373046618</v>
      </c>
      <c r="J64" s="23">
        <f t="shared" si="38"/>
        <v>0.23956796373046618</v>
      </c>
      <c r="K64" s="23">
        <f t="shared" si="38"/>
        <v>0.23956796373046618</v>
      </c>
      <c r="L64" s="23">
        <f t="shared" si="38"/>
        <v>0.23956796373046618</v>
      </c>
    </row>
    <row r="65" spans="2:12" x14ac:dyDescent="0.25">
      <c r="B65" t="s">
        <v>269</v>
      </c>
      <c r="C65" s="23">
        <f>C53/Income_Statement!C51</f>
        <v>0.20323386290498954</v>
      </c>
      <c r="D65" s="23">
        <f>D53/Income_Statement!D51</f>
        <v>0.22624661035977683</v>
      </c>
      <c r="E65" s="23">
        <f>E53/Income_Statement!E51</f>
        <v>0.30858643430192539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7C3984FF-50D6-49D8-92F8-D258B00B132E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C4BE-68D3-4D23-BAA4-1C31FE3F1AC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127162.17</v>
      </c>
      <c r="D5" s="13">
        <f>Income_Statement!D5</f>
        <v>140603</v>
      </c>
      <c r="E5" s="13">
        <f>Income_Statement!E5</f>
        <v>134979.13</v>
      </c>
      <c r="F5" s="13">
        <f>Income_Statement!F5</f>
        <v>126786.13</v>
      </c>
      <c r="G5" s="13">
        <f>Income_Statement!G5</f>
        <v>109713.5</v>
      </c>
    </row>
    <row r="6" spans="2:15" ht="18.75" x14ac:dyDescent="0.25">
      <c r="B6" s="12" t="str">
        <f>Income_Statement!B15</f>
        <v>Total Income</v>
      </c>
      <c r="C6" s="13">
        <f>Income_Statement!C15</f>
        <v>86358.999119584085</v>
      </c>
      <c r="D6" s="13">
        <f>Income_Statement!D15</f>
        <v>98770.512472991337</v>
      </c>
      <c r="E6" s="13">
        <f>Income_Statement!E15</f>
        <v>95479.44735927842</v>
      </c>
      <c r="F6" s="13">
        <f>Income_Statement!F15</f>
        <v>86503.382272579824</v>
      </c>
      <c r="G6" s="13">
        <f>Income_Statement!G15</f>
        <v>113619.05558832778</v>
      </c>
    </row>
  </sheetData>
  <hyperlinks>
    <hyperlink ref="F1" location="Index_Data!A1" tooltip="Hi click here To return Index page" display="Index_Data!A1" xr:uid="{F188AD26-BB41-4369-9063-88595C0A81B1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43E53-963A-4AC5-9ADE-D50CB4845F2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127491.73</v>
      </c>
      <c r="D5" s="13">
        <f>Balance_Sheet!D37</f>
        <v>127912.22247299131</v>
      </c>
      <c r="E5" s="13">
        <f>Balance_Sheet!E37</f>
        <v>139300.75983226974</v>
      </c>
      <c r="F5" s="13">
        <f>Balance_Sheet!F37</f>
        <v>143052.43210484958</v>
      </c>
      <c r="G5" s="13">
        <f>Balance_Sheet!G37</f>
        <v>174690.48769317736</v>
      </c>
    </row>
    <row r="6" spans="2:15" ht="18.75" x14ac:dyDescent="0.25">
      <c r="B6" s="12" t="str">
        <f>Balance_Sheet!B21</f>
        <v>Total Debt</v>
      </c>
      <c r="C6" s="13">
        <f>Balance_Sheet!C21</f>
        <v>1530.94</v>
      </c>
      <c r="D6" s="13">
        <f>Balance_Sheet!D21</f>
        <v>2202.7399999999998</v>
      </c>
      <c r="E6" s="13">
        <f>Balance_Sheet!E21</f>
        <v>6733.03</v>
      </c>
      <c r="F6" s="13">
        <f>Balance_Sheet!F21</f>
        <v>6597.37</v>
      </c>
      <c r="G6" s="13">
        <f>Balance_Sheet!G21</f>
        <v>4120.78</v>
      </c>
    </row>
  </sheetData>
  <hyperlinks>
    <hyperlink ref="F1" location="Index_Data!A1" tooltip="Hi click here To return Index page" display="Index_Data!A1" xr:uid="{D50B51CC-80DD-4FC7-8B99-3202AE93A29F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76BB5-1CED-4623-B4E6-D6208F05FF8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127491.73</v>
      </c>
      <c r="D5" s="13">
        <f>Balance_Sheet!D37</f>
        <v>127912.22247299131</v>
      </c>
      <c r="E5" s="13">
        <f>Balance_Sheet!E37</f>
        <v>139300.75983226974</v>
      </c>
      <c r="F5" s="13">
        <f>Balance_Sheet!F37</f>
        <v>143052.43210484958</v>
      </c>
      <c r="G5" s="13">
        <f>Balance_Sheet!G37</f>
        <v>174690.48769317736</v>
      </c>
    </row>
    <row r="6" spans="2:15" ht="18.75" x14ac:dyDescent="0.25">
      <c r="B6" s="12" t="str">
        <f>Balance_Sheet!B33</f>
        <v>Total Current Liabilities</v>
      </c>
      <c r="C6" s="13">
        <f>Balance_Sheet!C33</f>
        <v>105751.77</v>
      </c>
      <c r="D6" s="13">
        <f>Balance_Sheet!D33</f>
        <v>103655.38999999998</v>
      </c>
      <c r="E6" s="13">
        <f>Balance_Sheet!E33</f>
        <v>111043.45</v>
      </c>
      <c r="F6" s="13">
        <f>Balance_Sheet!F33</f>
        <v>118223.88</v>
      </c>
      <c r="G6" s="13">
        <f>Balance_Sheet!G33</f>
        <v>132305.72</v>
      </c>
    </row>
  </sheetData>
  <hyperlinks>
    <hyperlink ref="F1" location="Index_Data!A1" tooltip="Hi click here To return Index page" display="Index_Data!A1" xr:uid="{CE5773F8-3E78-4AA1-B6AF-E3EE5CE33CC2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6DDB8-6239-4D1D-8A53-634358FE263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127491.72999999998</v>
      </c>
      <c r="D5" s="13">
        <f>Balance_Sheet!D74</f>
        <v>127912.22247299133</v>
      </c>
      <c r="E5" s="13">
        <f>Balance_Sheet!E74</f>
        <v>139300.75983226974</v>
      </c>
      <c r="F5" s="13">
        <f>Balance_Sheet!F74</f>
        <v>143052.43210484958</v>
      </c>
      <c r="G5" s="13">
        <f>Balance_Sheet!G74</f>
        <v>174690.48769317736</v>
      </c>
    </row>
    <row r="6" spans="2:15" ht="18.75" x14ac:dyDescent="0.25">
      <c r="B6" s="12" t="str">
        <f>Balance_Sheet!B54</f>
        <v>Total Non Current Assets</v>
      </c>
      <c r="C6" s="13">
        <f>Balance_Sheet!C54</f>
        <v>39372.46</v>
      </c>
      <c r="D6" s="13">
        <f>Balance_Sheet!D54</f>
        <v>37917.79</v>
      </c>
      <c r="E6" s="13">
        <f>Balance_Sheet!E54</f>
        <v>35683.25</v>
      </c>
      <c r="F6" s="13">
        <f>Balance_Sheet!F54</f>
        <v>43543.180000000008</v>
      </c>
      <c r="G6" s="13">
        <f>Balance_Sheet!G54</f>
        <v>54241.69</v>
      </c>
    </row>
  </sheetData>
  <hyperlinks>
    <hyperlink ref="F1" location="Index_Data!A1" tooltip="Hi click here To return Index page" display="Index_Data!A1" xr:uid="{B5AE49B4-02E2-4504-86DA-FA5F8FD8787C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92EFF-88DA-4F4C-A2C8-072F18E3ECA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127491.72999999998</v>
      </c>
      <c r="D5" s="13">
        <f>Balance_Sheet!D74</f>
        <v>127912.22247299133</v>
      </c>
      <c r="E5" s="13">
        <f>Balance_Sheet!E74</f>
        <v>139300.75983226974</v>
      </c>
      <c r="F5" s="13">
        <f>Balance_Sheet!F74</f>
        <v>143052.43210484958</v>
      </c>
      <c r="G5" s="13">
        <f>Balance_Sheet!G74</f>
        <v>174690.48769317736</v>
      </c>
    </row>
    <row r="6" spans="2:15" ht="18.75" x14ac:dyDescent="0.25">
      <c r="B6" s="12" t="str">
        <f>Balance_Sheet!B72</f>
        <v>Total Current Assets</v>
      </c>
      <c r="C6" s="13">
        <f>Balance_Sheet!C72</f>
        <v>88119.26999999999</v>
      </c>
      <c r="D6" s="13">
        <f>Balance_Sheet!D72</f>
        <v>89994.432472991321</v>
      </c>
      <c r="E6" s="13">
        <f>Balance_Sheet!E72</f>
        <v>103617.50983226976</v>
      </c>
      <c r="F6" s="13">
        <f>Balance_Sheet!F72</f>
        <v>99509.252104849569</v>
      </c>
      <c r="G6" s="13">
        <f>Balance_Sheet!G72</f>
        <v>120448.79769317736</v>
      </c>
    </row>
  </sheetData>
  <hyperlinks>
    <hyperlink ref="F1" location="Index_Data!A1" tooltip="Hi click here To return Index page" display="Index_Data!A1" xr:uid="{E93CEB0D-F467-4434-91D8-D12033FA0B9C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2C9F1-C330-4D47-92A3-CCBE126D173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74243.5</v>
      </c>
      <c r="D5" s="13">
        <f>Income_Statement!D25</f>
        <v>73597.8</v>
      </c>
      <c r="E5" s="13">
        <f>Income_Statement!E25</f>
        <v>74994.47</v>
      </c>
      <c r="F5" s="13">
        <f>Income_Statement!F25</f>
        <v>72479.360000000001</v>
      </c>
      <c r="G5" s="13">
        <f>Income_Statement!G25</f>
        <v>82610.94</v>
      </c>
    </row>
    <row r="6" spans="2:15" ht="18.75" x14ac:dyDescent="0.25">
      <c r="B6" s="12" t="str">
        <f>Income_Statement!B15</f>
        <v>Total Income</v>
      </c>
      <c r="C6" s="13">
        <f>Income_Statement!C15</f>
        <v>86358.999119584085</v>
      </c>
      <c r="D6" s="13">
        <f>Income_Statement!D15</f>
        <v>98770.512472991337</v>
      </c>
      <c r="E6" s="13">
        <f>Income_Statement!E15</f>
        <v>95479.44735927842</v>
      </c>
      <c r="F6" s="13">
        <f>Income_Statement!F15</f>
        <v>86503.382272579824</v>
      </c>
      <c r="G6" s="13">
        <f>Income_Statement!G15</f>
        <v>113619.05558832778</v>
      </c>
    </row>
  </sheetData>
  <hyperlinks>
    <hyperlink ref="F1" location="Index_Data!A1" tooltip="Hi click here To return Index page" display="Index_Data!A1" xr:uid="{4BE4C805-7CA2-4B80-B9E8-2902CCF57710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89A9C-00AE-4347-ACFF-597A0573C03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3" width="12.5703125" bestFit="1" customWidth="1"/>
    <col min="4" max="4" width="13.140625" bestFit="1" customWidth="1"/>
    <col min="5" max="5" width="11.5703125" bestFit="1" customWidth="1"/>
    <col min="6" max="6" width="12.5703125" bestFit="1" customWidth="1"/>
    <col min="7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-7413.1408804159164</v>
      </c>
      <c r="D5" s="13">
        <f>Income_Statement!D55</f>
        <v>1845.4224729913319</v>
      </c>
      <c r="E5" s="13">
        <f>Income_Statement!E55</f>
        <v>-517.11264072157974</v>
      </c>
      <c r="F5" s="13">
        <f>Income_Statement!F55</f>
        <v>-3340.0977274201769</v>
      </c>
      <c r="G5" s="13">
        <f>Income_Statement!G55</f>
        <v>19800.095588327782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4910.6691195840831</v>
      </c>
      <c r="D6" s="13">
        <f>Income_Statement!D49</f>
        <v>11784.862472991332</v>
      </c>
      <c r="E6" s="13">
        <f>Income_Statement!E49</f>
        <v>9160.2373592784206</v>
      </c>
      <c r="F6" s="13">
        <f>Income_Statement!F49</f>
        <v>4363.3422725798227</v>
      </c>
      <c r="G6" s="13">
        <f>Income_Statement!G49</f>
        <v>19800.095588327782</v>
      </c>
    </row>
  </sheetData>
  <hyperlinks>
    <hyperlink ref="F1" location="Index_Data!A1" tooltip="Hi click here To return Index page" display="Index_Data!A1" xr:uid="{A53D748E-D684-4A3F-BE76-F8949D30EB52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A2A27-408D-420E-8143-4ACD98F698CA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5">
        <v>6207.41</v>
      </c>
      <c r="D5" s="5">
        <v>6162.73</v>
      </c>
      <c r="E5" s="5">
        <v>6162.73</v>
      </c>
      <c r="F5" s="5">
        <v>6162.73</v>
      </c>
      <c r="G5" s="5">
        <v>6162.73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7">
        <f>C5+C6</f>
        <v>6207.41</v>
      </c>
      <c r="D7" s="7">
        <f t="shared" ref="D7:G7" si="0">D5+D6</f>
        <v>6162.73</v>
      </c>
      <c r="E7" s="7">
        <f t="shared" si="0"/>
        <v>6162.73</v>
      </c>
      <c r="F7" s="7">
        <f t="shared" si="0"/>
        <v>6162.73</v>
      </c>
      <c r="G7" s="7">
        <f t="shared" si="0"/>
        <v>6162.73</v>
      </c>
    </row>
    <row r="8" spans="2:15" ht="18.75" x14ac:dyDescent="0.25">
      <c r="B8" s="8" t="s">
        <v>7</v>
      </c>
      <c r="C8" s="5">
        <v>13639.16</v>
      </c>
      <c r="D8" s="5">
        <f>Income_Statement!D55+C8</f>
        <v>15484.582472991331</v>
      </c>
      <c r="E8" s="5">
        <f>Income_Statement!E55+D8</f>
        <v>14967.469832269751</v>
      </c>
      <c r="F8" s="5">
        <f>Income_Statement!F55+E8</f>
        <v>11627.372104849575</v>
      </c>
      <c r="G8" s="5">
        <f>Income_Statement!G55+F8</f>
        <v>31427.467693177357</v>
      </c>
    </row>
    <row r="9" spans="2:15" ht="18.75" x14ac:dyDescent="0.25">
      <c r="B9" s="9" t="s">
        <v>122</v>
      </c>
      <c r="C9" s="7">
        <f>C7+C8</f>
        <v>19846.57</v>
      </c>
      <c r="D9" s="7">
        <f t="shared" ref="D9:G9" si="1">D7+D8</f>
        <v>21647.312472991332</v>
      </c>
      <c r="E9" s="7">
        <f t="shared" si="1"/>
        <v>21130.199832269751</v>
      </c>
      <c r="F9" s="7">
        <f t="shared" si="1"/>
        <v>17790.102104849575</v>
      </c>
      <c r="G9" s="7">
        <f t="shared" si="1"/>
        <v>37590.197693177353</v>
      </c>
    </row>
    <row r="10" spans="2:15" ht="18.75" x14ac:dyDescent="0.25">
      <c r="B10" s="8" t="s">
        <v>12</v>
      </c>
      <c r="C10" s="5">
        <v>1054.4000000000001</v>
      </c>
      <c r="D10" s="5">
        <v>1472.27</v>
      </c>
      <c r="E10" s="5">
        <v>1993.38</v>
      </c>
      <c r="F10" s="5">
        <v>2688.1</v>
      </c>
      <c r="G10" s="5">
        <v>3301.78</v>
      </c>
    </row>
    <row r="11" spans="2:15" ht="18.75" x14ac:dyDescent="0.25">
      <c r="B11" s="8" t="s">
        <v>13</v>
      </c>
      <c r="C11" s="4">
        <v>0</v>
      </c>
      <c r="D11" s="4">
        <v>0</v>
      </c>
      <c r="E11" s="4">
        <v>307.04000000000002</v>
      </c>
      <c r="F11" s="4">
        <v>722.07</v>
      </c>
      <c r="G11" s="4">
        <v>811.02</v>
      </c>
    </row>
    <row r="12" spans="2:15" ht="18.75" x14ac:dyDescent="0.25">
      <c r="B12" s="8" t="s">
        <v>18</v>
      </c>
      <c r="C12" s="4">
        <v>476.54</v>
      </c>
      <c r="D12" s="5">
        <v>730.47</v>
      </c>
      <c r="E12" s="5">
        <v>4432.6099999999997</v>
      </c>
      <c r="F12" s="4">
        <v>3187.2</v>
      </c>
      <c r="G12" s="4">
        <v>7.98</v>
      </c>
    </row>
    <row r="13" spans="2:15" ht="18.75" x14ac:dyDescent="0.25">
      <c r="B13" s="9" t="s">
        <v>123</v>
      </c>
      <c r="C13" s="7">
        <f>C10+C11+C12</f>
        <v>1530.94</v>
      </c>
      <c r="D13" s="7">
        <f t="shared" ref="D13:G13" si="2">D10+D11+D12</f>
        <v>2202.7399999999998</v>
      </c>
      <c r="E13" s="7">
        <f t="shared" si="2"/>
        <v>6733.03</v>
      </c>
      <c r="F13" s="7">
        <f t="shared" si="2"/>
        <v>6597.37</v>
      </c>
      <c r="G13" s="7">
        <f t="shared" si="2"/>
        <v>4120.78</v>
      </c>
    </row>
    <row r="14" spans="2:15" ht="18.75" x14ac:dyDescent="0.25">
      <c r="B14" s="8" t="s">
        <v>15</v>
      </c>
      <c r="C14" s="5">
        <v>49903.1</v>
      </c>
      <c r="D14" s="5">
        <v>52419.56</v>
      </c>
      <c r="E14" s="5">
        <v>60223.45</v>
      </c>
      <c r="F14" s="5">
        <v>63178.61</v>
      </c>
      <c r="G14" s="5">
        <v>65944</v>
      </c>
    </row>
    <row r="15" spans="2:15" ht="18.75" x14ac:dyDescent="0.25">
      <c r="B15" s="8" t="s">
        <v>21</v>
      </c>
      <c r="C15" s="5">
        <v>14813.59</v>
      </c>
      <c r="D15" s="5">
        <v>7136.44</v>
      </c>
      <c r="E15" s="5">
        <v>6781.44</v>
      </c>
      <c r="F15" s="5">
        <v>6465.9</v>
      </c>
      <c r="G15" s="5">
        <v>6094.68</v>
      </c>
    </row>
    <row r="16" spans="2:15" ht="18.75" x14ac:dyDescent="0.25">
      <c r="B16" s="8" t="s">
        <v>14</v>
      </c>
      <c r="C16" s="5">
        <v>5530.13</v>
      </c>
      <c r="D16" s="5">
        <v>6154.12</v>
      </c>
      <c r="E16" s="5">
        <v>6184.32</v>
      </c>
      <c r="F16" s="5">
        <v>6589.6</v>
      </c>
      <c r="G16" s="5">
        <v>8967.0300000000007</v>
      </c>
    </row>
    <row r="17" spans="2:7" ht="18.75" x14ac:dyDescent="0.25">
      <c r="B17" s="8" t="s">
        <v>19</v>
      </c>
      <c r="C17" s="5">
        <v>4516.93</v>
      </c>
      <c r="D17" s="5">
        <v>6815.51</v>
      </c>
      <c r="E17" s="5">
        <v>7250.96</v>
      </c>
      <c r="F17" s="5">
        <v>7637.63</v>
      </c>
      <c r="G17" s="5">
        <v>8591.7800000000007</v>
      </c>
    </row>
    <row r="18" spans="2:7" ht="18.75" x14ac:dyDescent="0.25">
      <c r="B18" s="8" t="s">
        <v>20</v>
      </c>
      <c r="C18" s="5">
        <v>30988.02</v>
      </c>
      <c r="D18" s="5">
        <v>31129.759999999998</v>
      </c>
      <c r="E18" s="5">
        <v>30603.279999999999</v>
      </c>
      <c r="F18" s="5">
        <v>34352.14</v>
      </c>
      <c r="G18" s="5">
        <v>42708.23</v>
      </c>
    </row>
    <row r="19" spans="2:7" ht="18.75" x14ac:dyDescent="0.25">
      <c r="B19" s="9" t="s">
        <v>22</v>
      </c>
      <c r="C19" s="7">
        <f>C14+C15+C16+C17+C18</f>
        <v>105751.77</v>
      </c>
      <c r="D19" s="7">
        <f t="shared" ref="D19:G19" si="3">D14+D15+D16+D17+D18</f>
        <v>103655.38999999998</v>
      </c>
      <c r="E19" s="7">
        <f t="shared" si="3"/>
        <v>111043.45</v>
      </c>
      <c r="F19" s="7">
        <f t="shared" si="3"/>
        <v>118223.88</v>
      </c>
      <c r="G19" s="7">
        <f t="shared" si="3"/>
        <v>132305.72</v>
      </c>
    </row>
    <row r="20" spans="2:7" ht="18.75" x14ac:dyDescent="0.25">
      <c r="B20" s="8" t="s">
        <v>10</v>
      </c>
      <c r="C20" s="4">
        <v>362.45</v>
      </c>
      <c r="D20" s="4">
        <v>406.78</v>
      </c>
      <c r="E20" s="4">
        <v>394.08</v>
      </c>
      <c r="F20" s="4">
        <v>441.08</v>
      </c>
      <c r="G20" s="4">
        <v>673.79</v>
      </c>
    </row>
    <row r="21" spans="2:7" ht="18.75" x14ac:dyDescent="0.25">
      <c r="B21" s="9" t="s">
        <v>124</v>
      </c>
      <c r="C21" s="7">
        <f>C9+C13+C19+C20</f>
        <v>127491.73</v>
      </c>
      <c r="D21" s="7">
        <f t="shared" ref="D21:G21" si="4">D9+D13+D19+D20</f>
        <v>127912.22247299131</v>
      </c>
      <c r="E21" s="7">
        <f t="shared" si="4"/>
        <v>139300.75983226974</v>
      </c>
      <c r="F21" s="7">
        <f t="shared" si="4"/>
        <v>143052.43210484958</v>
      </c>
      <c r="G21" s="7">
        <f t="shared" si="4"/>
        <v>174690.48769317736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24063.3</v>
      </c>
      <c r="D23" s="5">
        <v>28539.06</v>
      </c>
      <c r="E23" s="5">
        <v>32302.35</v>
      </c>
      <c r="F23" s="5">
        <v>37753.65</v>
      </c>
      <c r="G23" s="5">
        <v>59574.1</v>
      </c>
    </row>
    <row r="24" spans="2:7" ht="18.75" x14ac:dyDescent="0.25">
      <c r="B24" s="8" t="s">
        <v>27</v>
      </c>
      <c r="C24" s="4">
        <v>29.53</v>
      </c>
      <c r="D24" s="4">
        <v>35.18</v>
      </c>
      <c r="E24" s="4">
        <v>38.14</v>
      </c>
      <c r="F24" s="4">
        <v>45.76</v>
      </c>
      <c r="G24" s="4">
        <v>0</v>
      </c>
    </row>
    <row r="25" spans="2:7" ht="18.75" x14ac:dyDescent="0.25">
      <c r="B25" s="8" t="s">
        <v>125</v>
      </c>
      <c r="C25" s="4"/>
      <c r="D25" s="5">
        <f>Income_Statement!D31</f>
        <v>3450.36</v>
      </c>
      <c r="E25" s="5">
        <f>Income_Statement!E31+D25</f>
        <v>6901.2000000000007</v>
      </c>
      <c r="F25" s="5">
        <f>Income_Statement!F31+E25</f>
        <v>10610.12</v>
      </c>
      <c r="G25" s="5">
        <f>Income_Statement!G31+F25</f>
        <v>15038.79</v>
      </c>
    </row>
    <row r="26" spans="2:7" ht="18.75" x14ac:dyDescent="0.25">
      <c r="B26" s="9" t="s">
        <v>126</v>
      </c>
      <c r="C26" s="7">
        <f>C23+C24-C25</f>
        <v>24092.829999999998</v>
      </c>
      <c r="D26" s="7">
        <f t="shared" ref="D26:G26" si="5">D23+D24-D25</f>
        <v>25123.88</v>
      </c>
      <c r="E26" s="7">
        <f t="shared" si="5"/>
        <v>25439.289999999997</v>
      </c>
      <c r="F26" s="7">
        <f t="shared" si="5"/>
        <v>27189.29</v>
      </c>
      <c r="G26" s="7">
        <f t="shared" si="5"/>
        <v>44535.31</v>
      </c>
    </row>
    <row r="27" spans="2:7" ht="18.75" x14ac:dyDescent="0.25">
      <c r="B27" s="8" t="s">
        <v>30</v>
      </c>
      <c r="C27" s="5">
        <v>1303.06</v>
      </c>
      <c r="D27" s="5">
        <v>1421.01</v>
      </c>
      <c r="E27" s="5">
        <v>1873.17</v>
      </c>
      <c r="F27" s="5">
        <v>2317.64</v>
      </c>
      <c r="G27" s="5">
        <v>2426.9699999999998</v>
      </c>
    </row>
    <row r="28" spans="2:7" ht="18.75" x14ac:dyDescent="0.25">
      <c r="B28" s="8" t="s">
        <v>36</v>
      </c>
      <c r="C28" s="5">
        <v>205.57</v>
      </c>
      <c r="D28" s="5">
        <v>1749.96</v>
      </c>
      <c r="E28" s="4">
        <v>99.7</v>
      </c>
      <c r="F28" s="5">
        <v>3632.59</v>
      </c>
      <c r="G28" s="4">
        <v>7279.41</v>
      </c>
    </row>
    <row r="29" spans="2:7" ht="18.75" x14ac:dyDescent="0.25">
      <c r="B29" s="8" t="s">
        <v>28</v>
      </c>
      <c r="C29" s="4">
        <v>13771</v>
      </c>
      <c r="D29" s="5">
        <v>9622.94</v>
      </c>
      <c r="E29" s="5">
        <v>8271.09</v>
      </c>
      <c r="F29" s="5">
        <v>10403.66</v>
      </c>
      <c r="G29" s="5">
        <v>0</v>
      </c>
    </row>
    <row r="30" spans="2:7" ht="18.75" x14ac:dyDescent="0.25">
      <c r="B30" s="9" t="s">
        <v>127</v>
      </c>
      <c r="C30" s="7">
        <f>C26+C27+C28+C29</f>
        <v>39372.46</v>
      </c>
      <c r="D30" s="7">
        <f t="shared" ref="D30:G30" si="6">D26+D27+D28+D29</f>
        <v>37917.79</v>
      </c>
      <c r="E30" s="7">
        <f t="shared" si="6"/>
        <v>35683.25</v>
      </c>
      <c r="F30" s="7">
        <f t="shared" si="6"/>
        <v>43543.180000000008</v>
      </c>
      <c r="G30" s="7">
        <f t="shared" si="6"/>
        <v>54241.69</v>
      </c>
    </row>
    <row r="31" spans="2:7" ht="18.75" x14ac:dyDescent="0.25">
      <c r="B31" s="8" t="s">
        <v>31</v>
      </c>
      <c r="C31" s="5">
        <v>5355.05</v>
      </c>
      <c r="D31" s="5">
        <v>4269.16</v>
      </c>
      <c r="E31" s="5">
        <v>3618.01</v>
      </c>
      <c r="F31" s="5">
        <v>4059.43</v>
      </c>
      <c r="G31" s="5">
        <v>4138.09</v>
      </c>
    </row>
    <row r="32" spans="2:7" ht="18.75" x14ac:dyDescent="0.25">
      <c r="B32" s="8" t="s">
        <v>32</v>
      </c>
      <c r="C32" s="4">
        <v>1020.08</v>
      </c>
      <c r="D32" s="4">
        <v>1141.73</v>
      </c>
      <c r="E32" s="4">
        <v>638.59</v>
      </c>
      <c r="F32" s="5">
        <v>136.27000000000001</v>
      </c>
      <c r="G32" s="5">
        <v>353.39</v>
      </c>
    </row>
    <row r="33" spans="2:7" ht="18.75" x14ac:dyDescent="0.25">
      <c r="B33" s="8" t="s">
        <v>33</v>
      </c>
      <c r="C33" s="5">
        <v>13135.43</v>
      </c>
      <c r="D33" s="5">
        <v>14294.68</v>
      </c>
      <c r="E33" s="5">
        <v>15398.3</v>
      </c>
      <c r="F33" s="5">
        <v>17646.439999999999</v>
      </c>
      <c r="G33" s="5">
        <v>20907.830000000002</v>
      </c>
    </row>
    <row r="34" spans="2:7" ht="18.75" x14ac:dyDescent="0.25">
      <c r="B34" s="8" t="s">
        <v>40</v>
      </c>
      <c r="C34" s="4">
        <v>3.69</v>
      </c>
      <c r="D34" s="4">
        <v>502.33</v>
      </c>
      <c r="E34" s="4">
        <v>502.65</v>
      </c>
      <c r="F34" s="4">
        <v>501.28</v>
      </c>
      <c r="G34" s="4">
        <v>0.21</v>
      </c>
    </row>
    <row r="35" spans="2:7" ht="18.75" x14ac:dyDescent="0.25">
      <c r="B35" s="8" t="s">
        <v>41</v>
      </c>
      <c r="C35" s="5">
        <v>21996.94</v>
      </c>
      <c r="D35" s="5">
        <v>24860.66</v>
      </c>
      <c r="E35" s="5">
        <v>33610.04</v>
      </c>
      <c r="F35" s="5">
        <v>34710.1</v>
      </c>
      <c r="G35" s="5">
        <v>37940.519999999997</v>
      </c>
    </row>
    <row r="36" spans="2:7" ht="18.75" x14ac:dyDescent="0.25">
      <c r="B36" s="8" t="s">
        <v>37</v>
      </c>
      <c r="C36" s="5">
        <v>6443.85</v>
      </c>
      <c r="D36" s="5">
        <v>5583.93</v>
      </c>
      <c r="E36" s="5">
        <v>6617.98</v>
      </c>
      <c r="F36" s="5">
        <v>8947.4699999999993</v>
      </c>
      <c r="G36" s="5">
        <v>7075.68</v>
      </c>
    </row>
    <row r="37" spans="2:7" ht="18.75" x14ac:dyDescent="0.25">
      <c r="B37" s="8" t="s">
        <v>38</v>
      </c>
      <c r="C37" s="5">
        <v>8689.16</v>
      </c>
      <c r="D37" s="5">
        <v>5498.55</v>
      </c>
      <c r="E37" s="5">
        <v>14408.22</v>
      </c>
      <c r="F37" s="5">
        <v>19623.12</v>
      </c>
      <c r="G37" s="5">
        <v>11367.68</v>
      </c>
    </row>
    <row r="38" spans="2:7" ht="18.75" x14ac:dyDescent="0.25">
      <c r="B38" s="8" t="s">
        <v>39</v>
      </c>
      <c r="C38" s="5">
        <v>31475.07</v>
      </c>
      <c r="D38" s="5">
        <f>CashFlow_Statement!D48+C38</f>
        <v>33843.392472991327</v>
      </c>
      <c r="E38" s="5">
        <f>CashFlow_Statement!E48+D38</f>
        <v>28823.719832269751</v>
      </c>
      <c r="F38" s="5">
        <f>CashFlow_Statement!F48+E38</f>
        <v>13885.142104849579</v>
      </c>
      <c r="G38" s="5">
        <f>CashFlow_Statement!G48+F38</f>
        <v>38665.397693177365</v>
      </c>
    </row>
    <row r="39" spans="2:7" ht="18.75" x14ac:dyDescent="0.25">
      <c r="B39" s="9" t="s">
        <v>42</v>
      </c>
      <c r="C39" s="7">
        <f>C31+C32+C33+C34+C35+C36+C37+C38</f>
        <v>88119.26999999999</v>
      </c>
      <c r="D39" s="7">
        <f t="shared" ref="D39:G39" si="7">D31+D32+D33+D34+D35+D36+D37+D38</f>
        <v>89994.432472991321</v>
      </c>
      <c r="E39" s="7">
        <f t="shared" si="7"/>
        <v>103617.50983226976</v>
      </c>
      <c r="F39" s="7">
        <f t="shared" si="7"/>
        <v>99509.252104849569</v>
      </c>
      <c r="G39" s="7">
        <f t="shared" si="7"/>
        <v>120448.79769317736</v>
      </c>
    </row>
    <row r="40" spans="2:7" ht="18.75" x14ac:dyDescent="0.25">
      <c r="B40" s="9" t="s">
        <v>43</v>
      </c>
      <c r="C40" s="7">
        <f>C30+C39</f>
        <v>127491.72999999998</v>
      </c>
      <c r="D40" s="7">
        <f t="shared" ref="D40:G40" si="8">D30+D39</f>
        <v>127912.22247299133</v>
      </c>
      <c r="E40" s="7">
        <f t="shared" si="8"/>
        <v>139300.75983226974</v>
      </c>
      <c r="F40" s="7">
        <f t="shared" si="8"/>
        <v>143052.43210484958</v>
      </c>
      <c r="G40" s="7">
        <f t="shared" si="8"/>
        <v>174690.48769317736</v>
      </c>
    </row>
  </sheetData>
  <mergeCells count="1">
    <mergeCell ref="B3:G3"/>
  </mergeCells>
  <hyperlinks>
    <hyperlink ref="F1" location="Index_Data!A1" tooltip="Hi click here To return Index page" display="Index_Data!A1" xr:uid="{066275FA-7DEC-45EE-9226-573772641C31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CE49D-9F9F-4932-A0AA-895172C62CB9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7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127162.17</v>
      </c>
      <c r="D5" s="5">
        <v>140603</v>
      </c>
      <c r="E5" s="5">
        <v>134979.13</v>
      </c>
      <c r="F5" s="5">
        <v>126786.13</v>
      </c>
      <c r="G5" s="5">
        <v>109713.5</v>
      </c>
    </row>
    <row r="6" spans="2:15" ht="18.75" x14ac:dyDescent="0.25">
      <c r="B6" s="8" t="s">
        <v>98</v>
      </c>
      <c r="C6" s="4">
        <v>45462.17</v>
      </c>
      <c r="D6" s="5">
        <v>47706.92</v>
      </c>
      <c r="E6" s="5">
        <v>45605.79</v>
      </c>
      <c r="F6" s="5">
        <v>44075.81</v>
      </c>
      <c r="G6" s="5">
        <v>0</v>
      </c>
    </row>
    <row r="7" spans="2:15" ht="18.75" x14ac:dyDescent="0.25">
      <c r="B7" s="9" t="s">
        <v>105</v>
      </c>
      <c r="C7" s="7">
        <f>C5 - C6</f>
        <v>81700</v>
      </c>
      <c r="D7" s="7">
        <f t="shared" ref="D7:G7" si="0">D5 - D6</f>
        <v>92896.08</v>
      </c>
      <c r="E7" s="7">
        <f t="shared" si="0"/>
        <v>89373.34</v>
      </c>
      <c r="F7" s="7">
        <f t="shared" si="0"/>
        <v>82710.320000000007</v>
      </c>
      <c r="G7" s="7">
        <f t="shared" si="0"/>
        <v>109713.5</v>
      </c>
    </row>
    <row r="8" spans="2:15" ht="18.75" x14ac:dyDescent="0.25">
      <c r="B8" s="8" t="s">
        <v>59</v>
      </c>
      <c r="C8" s="5">
        <v>4658.32</v>
      </c>
      <c r="D8" s="5">
        <v>5873.73</v>
      </c>
      <c r="E8" s="5">
        <v>6105.4</v>
      </c>
      <c r="F8" s="5">
        <v>3792.38</v>
      </c>
      <c r="G8" s="5">
        <v>3904.52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86358.32</v>
      </c>
      <c r="D10" s="7">
        <f t="shared" ref="D10:G10" si="1">SUM(D7:D9)</f>
        <v>98769.81</v>
      </c>
      <c r="E10" s="7">
        <f t="shared" si="1"/>
        <v>95478.739999999991</v>
      </c>
      <c r="F10" s="7">
        <f t="shared" si="1"/>
        <v>86502.700000000012</v>
      </c>
      <c r="G10" s="7">
        <f t="shared" si="1"/>
        <v>113618.02</v>
      </c>
    </row>
    <row r="11" spans="2:15" ht="18.75" x14ac:dyDescent="0.25">
      <c r="B11" s="8" t="s">
        <v>62</v>
      </c>
      <c r="C11" s="5">
        <v>9345.99</v>
      </c>
      <c r="D11" s="5">
        <v>9774.51</v>
      </c>
      <c r="E11" s="5">
        <v>9552.7800000000007</v>
      </c>
      <c r="F11" s="5">
        <v>10123.540000000001</v>
      </c>
      <c r="G11" s="5">
        <v>9442.18</v>
      </c>
    </row>
    <row r="12" spans="2:15" ht="18.75" x14ac:dyDescent="0.25">
      <c r="B12" s="8" t="s">
        <v>64</v>
      </c>
      <c r="C12" s="4">
        <v>12766.97</v>
      </c>
      <c r="D12" s="5">
        <v>19895.59</v>
      </c>
      <c r="E12" s="5">
        <v>19453.419999999998</v>
      </c>
      <c r="F12" s="5">
        <v>16023.08</v>
      </c>
      <c r="G12" s="5">
        <v>0</v>
      </c>
    </row>
    <row r="13" spans="2:15" ht="18.75" x14ac:dyDescent="0.25">
      <c r="B13" s="8" t="s">
        <v>66</v>
      </c>
      <c r="C13" s="5">
        <v>42633.599999999999</v>
      </c>
      <c r="D13" s="5">
        <v>38770.1</v>
      </c>
      <c r="E13" s="5">
        <v>39384.080000000002</v>
      </c>
      <c r="F13" s="5">
        <v>38697.72</v>
      </c>
      <c r="G13" s="5">
        <v>40700.82</v>
      </c>
    </row>
    <row r="14" spans="2:15" ht="18.75" x14ac:dyDescent="0.25">
      <c r="B14" s="8" t="s">
        <v>69</v>
      </c>
      <c r="C14" s="5">
        <v>9496.94</v>
      </c>
      <c r="D14" s="5">
        <v>5157.6000000000004</v>
      </c>
      <c r="E14" s="5">
        <v>6604.19</v>
      </c>
      <c r="F14" s="5">
        <v>7635.02</v>
      </c>
      <c r="G14" s="5">
        <v>32467.94</v>
      </c>
    </row>
    <row r="15" spans="2:15" ht="18.75" x14ac:dyDescent="0.25">
      <c r="B15" s="9" t="s">
        <v>108</v>
      </c>
      <c r="C15" s="7">
        <f>C11+C12+C13+C14</f>
        <v>74243.5</v>
      </c>
      <c r="D15" s="7">
        <f t="shared" ref="D15:G15" si="2">D11+D12+D13+D14</f>
        <v>73597.8</v>
      </c>
      <c r="E15" s="7">
        <f t="shared" si="2"/>
        <v>74994.47</v>
      </c>
      <c r="F15" s="7">
        <f t="shared" si="2"/>
        <v>72479.360000000001</v>
      </c>
      <c r="G15" s="7">
        <f t="shared" si="2"/>
        <v>82610.94</v>
      </c>
    </row>
    <row r="16" spans="2:15" ht="18.75" x14ac:dyDescent="0.25">
      <c r="B16" s="9" t="s">
        <v>109</v>
      </c>
      <c r="C16" s="7">
        <f xml:space="preserve"> C10-C15-C8</f>
        <v>7456.5000000000073</v>
      </c>
      <c r="D16" s="7">
        <f t="shared" ref="D16:G16" si="3" xml:space="preserve"> D10-D15-D8</f>
        <v>19298.279999999995</v>
      </c>
      <c r="E16" s="7">
        <f t="shared" si="3"/>
        <v>14378.86999999999</v>
      </c>
      <c r="F16" s="7">
        <f t="shared" si="3"/>
        <v>10230.96000000001</v>
      </c>
      <c r="G16" s="7">
        <f t="shared" si="3"/>
        <v>27102.560000000001</v>
      </c>
    </row>
    <row r="17" spans="2:7" ht="18.75" x14ac:dyDescent="0.25">
      <c r="B17" s="9" t="s">
        <v>110</v>
      </c>
      <c r="C17" s="7">
        <f xml:space="preserve"> C16+C8</f>
        <v>12114.820000000007</v>
      </c>
      <c r="D17" s="7">
        <f t="shared" ref="D17:G17" si="4" xml:space="preserve"> D16+D8</f>
        <v>25172.009999999995</v>
      </c>
      <c r="E17" s="7">
        <f t="shared" si="4"/>
        <v>20484.26999999999</v>
      </c>
      <c r="F17" s="7">
        <f t="shared" si="4"/>
        <v>14023.340000000011</v>
      </c>
      <c r="G17" s="7">
        <f t="shared" si="4"/>
        <v>31007.08</v>
      </c>
    </row>
    <row r="18" spans="2:7" ht="18.75" x14ac:dyDescent="0.25">
      <c r="B18" s="8" t="s">
        <v>68</v>
      </c>
      <c r="C18" s="5">
        <v>3066.38</v>
      </c>
      <c r="D18" s="5">
        <v>3450.36</v>
      </c>
      <c r="E18" s="5">
        <v>3450.84</v>
      </c>
      <c r="F18" s="5">
        <v>3708.92</v>
      </c>
      <c r="G18" s="5">
        <v>4428.67</v>
      </c>
    </row>
    <row r="19" spans="2:7" ht="18.75" x14ac:dyDescent="0.25">
      <c r="B19" s="9" t="s">
        <v>111</v>
      </c>
      <c r="C19" s="7">
        <f xml:space="preserve"> C17-C18</f>
        <v>9048.440000000006</v>
      </c>
      <c r="D19" s="7">
        <f t="shared" ref="D19:G19" si="5" xml:space="preserve"> D17-D18</f>
        <v>21721.649999999994</v>
      </c>
      <c r="E19" s="7">
        <f t="shared" si="5"/>
        <v>17033.429999999989</v>
      </c>
      <c r="F19" s="7">
        <f t="shared" si="5"/>
        <v>10314.420000000011</v>
      </c>
      <c r="G19" s="7">
        <f t="shared" si="5"/>
        <v>26578.410000000003</v>
      </c>
    </row>
    <row r="20" spans="2:7" ht="18.75" x14ac:dyDescent="0.25">
      <c r="B20" s="8" t="s">
        <v>67</v>
      </c>
      <c r="C20" s="4">
        <v>431.79</v>
      </c>
      <c r="D20" s="4">
        <v>275.04000000000002</v>
      </c>
      <c r="E20" s="4">
        <v>502.92</v>
      </c>
      <c r="F20" s="4">
        <v>644.69000000000005</v>
      </c>
      <c r="G20" s="4">
        <v>541.49</v>
      </c>
    </row>
    <row r="21" spans="2:7" ht="18.75" x14ac:dyDescent="0.25">
      <c r="B21" s="9" t="s">
        <v>112</v>
      </c>
      <c r="C21" s="7">
        <f xml:space="preserve"> C19-C20</f>
        <v>8616.6500000000051</v>
      </c>
      <c r="D21" s="7">
        <f t="shared" ref="D21:G21" si="6" xml:space="preserve"> D19-D20</f>
        <v>21446.609999999993</v>
      </c>
      <c r="E21" s="7">
        <f t="shared" si="6"/>
        <v>16530.509999999991</v>
      </c>
      <c r="F21" s="7">
        <f t="shared" si="6"/>
        <v>9669.7300000000105</v>
      </c>
      <c r="G21" s="7">
        <f t="shared" si="6"/>
        <v>26036.920000000002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8616.6500000000051</v>
      </c>
      <c r="D23" s="7">
        <f t="shared" ref="D23:G23" si="7" xml:space="preserve"> D21+D22</f>
        <v>21446.609999999993</v>
      </c>
      <c r="E23" s="7">
        <f t="shared" si="7"/>
        <v>16530.509999999991</v>
      </c>
      <c r="F23" s="7">
        <f t="shared" si="7"/>
        <v>9669.7300000000105</v>
      </c>
      <c r="G23" s="7">
        <f t="shared" si="7"/>
        <v>26036.920000000002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8616.6500000000051</v>
      </c>
      <c r="D25" s="7">
        <f t="shared" ref="D25:G25" si="8" xml:space="preserve"> D23+D24</f>
        <v>21446.609999999993</v>
      </c>
      <c r="E25" s="7">
        <f t="shared" si="8"/>
        <v>16530.509999999991</v>
      </c>
      <c r="F25" s="7">
        <f t="shared" si="8"/>
        <v>9669.7300000000105</v>
      </c>
      <c r="G25" s="7">
        <f t="shared" si="8"/>
        <v>26036.920000000002</v>
      </c>
    </row>
    <row r="26" spans="2:7" ht="18.75" x14ac:dyDescent="0.25">
      <c r="B26" s="8" t="s">
        <v>79</v>
      </c>
      <c r="C26" s="5">
        <v>3706.66</v>
      </c>
      <c r="D26" s="5">
        <v>9662.4500000000007</v>
      </c>
      <c r="E26" s="5">
        <v>7370.98</v>
      </c>
      <c r="F26" s="5">
        <v>5307.07</v>
      </c>
      <c r="G26" s="5">
        <v>6237.86</v>
      </c>
    </row>
    <row r="27" spans="2:7" ht="18.75" x14ac:dyDescent="0.25">
      <c r="B27" s="9" t="s">
        <v>116</v>
      </c>
      <c r="C27" s="7">
        <f xml:space="preserve"> C25-C26</f>
        <v>4909.9900000000052</v>
      </c>
      <c r="D27" s="7">
        <f t="shared" ref="D27:G27" si="9" xml:space="preserve"> D25-D26</f>
        <v>11784.159999999993</v>
      </c>
      <c r="E27" s="7">
        <f t="shared" si="9"/>
        <v>9159.5299999999916</v>
      </c>
      <c r="F27" s="7">
        <f t="shared" si="9"/>
        <v>4362.6600000000108</v>
      </c>
      <c r="G27" s="7">
        <f t="shared" si="9"/>
        <v>19799.060000000001</v>
      </c>
    </row>
    <row r="28" spans="2:7" ht="18.75" x14ac:dyDescent="0.25">
      <c r="B28" s="8" t="s">
        <v>88</v>
      </c>
      <c r="C28" s="4">
        <v>10242.24</v>
      </c>
      <c r="D28" s="5">
        <v>8105.58</v>
      </c>
      <c r="E28" s="5">
        <v>7395.27</v>
      </c>
      <c r="F28" s="5">
        <v>7703.44</v>
      </c>
      <c r="G28" s="5">
        <v>0</v>
      </c>
    </row>
    <row r="29" spans="2:7" ht="18.75" x14ac:dyDescent="0.25">
      <c r="B29" s="8" t="s">
        <v>89</v>
      </c>
      <c r="C29" s="4">
        <v>2081.5700000000002</v>
      </c>
      <c r="D29" s="4">
        <v>1833.86</v>
      </c>
      <c r="E29" s="5">
        <v>2282.08</v>
      </c>
      <c r="F29" s="5">
        <v>0</v>
      </c>
      <c r="G29" s="5">
        <v>0</v>
      </c>
    </row>
    <row r="30" spans="2:7" ht="18.75" x14ac:dyDescent="0.25">
      <c r="B30" s="9" t="s">
        <v>117</v>
      </c>
      <c r="C30" s="7">
        <f xml:space="preserve"> C27-C28-C29</f>
        <v>-7413.8199999999943</v>
      </c>
      <c r="D30" s="7">
        <f t="shared" ref="D30:G30" si="10" xml:space="preserve"> D27-D28-D29</f>
        <v>1844.7199999999928</v>
      </c>
      <c r="E30" s="7">
        <f t="shared" si="10"/>
        <v>-517.8200000000088</v>
      </c>
      <c r="F30" s="7">
        <f t="shared" si="10"/>
        <v>-3340.7799999999888</v>
      </c>
      <c r="G30" s="7">
        <f t="shared" si="10"/>
        <v>19799.060000000001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11</v>
      </c>
      <c r="D34" s="4">
        <v>28</v>
      </c>
      <c r="E34" s="4">
        <v>27</v>
      </c>
      <c r="F34" s="4">
        <v>21</v>
      </c>
      <c r="G34" s="4">
        <v>28</v>
      </c>
    </row>
    <row r="35" spans="2:7" ht="18.75" x14ac:dyDescent="0.25">
      <c r="B35" s="8" t="s">
        <v>118</v>
      </c>
      <c r="C35" s="4">
        <f>C27/C34</f>
        <v>446.36272727272774</v>
      </c>
      <c r="D35" s="4">
        <f t="shared" ref="D35:G35" si="11">D27/D34</f>
        <v>420.86285714285685</v>
      </c>
      <c r="E35" s="4">
        <f t="shared" si="11"/>
        <v>339.24185185185155</v>
      </c>
      <c r="F35" s="4">
        <f t="shared" si="11"/>
        <v>207.7457142857148</v>
      </c>
      <c r="G35" s="4">
        <f t="shared" si="11"/>
        <v>707.10928571428576</v>
      </c>
    </row>
  </sheetData>
  <mergeCells count="1">
    <mergeCell ref="B3:G3"/>
  </mergeCells>
  <hyperlinks>
    <hyperlink ref="F1" location="Index_Data!A1" tooltip="Hi click here To return Index page" display="Index_Data!A1" xr:uid="{6C2C2093-F435-40E4-BC7E-D3CBFF755DA9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BA99E-1D8F-4DD8-B638-126E4F7D20AC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7.140625" bestFit="1" customWidth="1"/>
    <col min="8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5">
        <v>6207.41</v>
      </c>
      <c r="D5" s="5">
        <v>6162.73</v>
      </c>
      <c r="E5" s="5">
        <v>6162.73</v>
      </c>
      <c r="F5" s="5">
        <v>6162.73</v>
      </c>
      <c r="G5" s="5">
        <v>6162.73</v>
      </c>
      <c r="H5" s="24">
        <f>G5</f>
        <v>6162.73</v>
      </c>
      <c r="I5" s="24">
        <f t="shared" ref="I5:L5" si="0">H5</f>
        <v>6162.73</v>
      </c>
      <c r="J5" s="24">
        <f t="shared" si="0"/>
        <v>6162.73</v>
      </c>
      <c r="K5" s="24">
        <f t="shared" si="0"/>
        <v>6162.73</v>
      </c>
      <c r="L5" s="24">
        <f t="shared" si="0"/>
        <v>6162.73</v>
      </c>
    </row>
    <row r="6" spans="2:15" x14ac:dyDescent="0.25">
      <c r="B6" s="17" t="s">
        <v>203</v>
      </c>
      <c r="C6" s="18">
        <f>C5/Balance_Sheet!C74</f>
        <v>4.868872671192085E-2</v>
      </c>
      <c r="D6" s="18">
        <f>D5/Balance_Sheet!D74</f>
        <v>4.8179367701169137E-2</v>
      </c>
      <c r="E6" s="18">
        <f>E5/Balance_Sheet!E74</f>
        <v>4.4240462201501726E-2</v>
      </c>
      <c r="F6" s="18">
        <f>F5/Balance_Sheet!F74</f>
        <v>4.3080218276072765E-2</v>
      </c>
      <c r="G6" s="18">
        <f>G5/Balance_Sheet!G74</f>
        <v>3.5277994133396016E-2</v>
      </c>
      <c r="H6" s="25">
        <f>G6</f>
        <v>3.5277994133396016E-2</v>
      </c>
      <c r="I6" s="25">
        <f t="shared" ref="I6:L6" si="1">H6</f>
        <v>3.5277994133396016E-2</v>
      </c>
      <c r="J6" s="25">
        <f t="shared" si="1"/>
        <v>3.5277994133396016E-2</v>
      </c>
      <c r="K6" s="25">
        <f t="shared" si="1"/>
        <v>3.5277994133396016E-2</v>
      </c>
      <c r="L6" s="25">
        <f t="shared" si="1"/>
        <v>3.5277994133396016E-2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6">
        <f>G7</f>
        <v>0</v>
      </c>
      <c r="I7" s="26">
        <f t="shared" ref="I7:L7" si="2">H7</f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7">
        <f>C5+C7</f>
        <v>6207.41</v>
      </c>
      <c r="D9" s="7">
        <f t="shared" ref="D9:L9" si="4">D5+D7</f>
        <v>6162.73</v>
      </c>
      <c r="E9" s="7">
        <f t="shared" si="4"/>
        <v>6162.73</v>
      </c>
      <c r="F9" s="7">
        <f t="shared" si="4"/>
        <v>6162.73</v>
      </c>
      <c r="G9" s="7">
        <f t="shared" si="4"/>
        <v>6162.73</v>
      </c>
      <c r="H9" s="27">
        <f t="shared" si="4"/>
        <v>6162.73</v>
      </c>
      <c r="I9" s="27">
        <f t="shared" si="4"/>
        <v>6162.73</v>
      </c>
      <c r="J9" s="27">
        <f t="shared" si="4"/>
        <v>6162.73</v>
      </c>
      <c r="K9" s="27">
        <f t="shared" si="4"/>
        <v>6162.73</v>
      </c>
      <c r="L9" s="27">
        <f t="shared" si="4"/>
        <v>6162.73</v>
      </c>
    </row>
    <row r="10" spans="2:15" x14ac:dyDescent="0.25">
      <c r="B10" s="19" t="s">
        <v>205</v>
      </c>
      <c r="C10" s="20">
        <f>C9/Balance_Sheet!C74</f>
        <v>4.868872671192085E-2</v>
      </c>
      <c r="D10" s="20">
        <f>D9/Balance_Sheet!D74</f>
        <v>4.8179367701169137E-2</v>
      </c>
      <c r="E10" s="20">
        <f>E9/Balance_Sheet!E74</f>
        <v>4.4240462201501726E-2</v>
      </c>
      <c r="F10" s="20">
        <f>F9/Balance_Sheet!F74</f>
        <v>4.3080218276072765E-2</v>
      </c>
      <c r="G10" s="20">
        <f>G9/Balance_Sheet!G74</f>
        <v>3.5277994133396016E-2</v>
      </c>
      <c r="H10" s="28">
        <f>H9/Balance_Sheet!H74</f>
        <v>3.4858077035335749E-2</v>
      </c>
      <c r="I10" s="28">
        <f>I9/Balance_Sheet!I74</f>
        <v>3.1385124598649894E-2</v>
      </c>
      <c r="J10" s="28">
        <f>J9/Balance_Sheet!J74</f>
        <v>2.8594066533108805E-2</v>
      </c>
      <c r="K10" s="28">
        <f>K9/Balance_Sheet!K74</f>
        <v>2.5904893187891107E-2</v>
      </c>
      <c r="L10" s="28">
        <f>L9/Balance_Sheet!L74</f>
        <v>2.4263658332359727E-2</v>
      </c>
    </row>
    <row r="11" spans="2:15" ht="18.75" x14ac:dyDescent="0.25">
      <c r="B11" s="8" t="s">
        <v>7</v>
      </c>
      <c r="C11" s="5">
        <v>13639.16</v>
      </c>
      <c r="D11" s="5">
        <f>Income_Statement!D55+C11</f>
        <v>15484.582472991331</v>
      </c>
      <c r="E11" s="5">
        <f>Income_Statement!E55+D11</f>
        <v>14967.469832269751</v>
      </c>
      <c r="F11" s="5">
        <f>Income_Statement!F55+E11</f>
        <v>11627.372104849575</v>
      </c>
      <c r="G11" s="5">
        <f>Income_Statement!G55+F11</f>
        <v>31427.467693177357</v>
      </c>
      <c r="H11" s="24">
        <f>H74-H9-H21-H33-H35</f>
        <v>23608.50742456903</v>
      </c>
      <c r="I11" s="24">
        <f t="shared" ref="I11:L11" si="5">I74-I9-I21-I33-I35</f>
        <v>26902.874323460128</v>
      </c>
      <c r="J11" s="24">
        <f t="shared" si="5"/>
        <v>30130.399637684732</v>
      </c>
      <c r="K11" s="24">
        <f t="shared" si="5"/>
        <v>33897.963349847523</v>
      </c>
      <c r="L11" s="24">
        <f t="shared" si="5"/>
        <v>36607.737190477739</v>
      </c>
    </row>
    <row r="12" spans="2:15" x14ac:dyDescent="0.25">
      <c r="B12" s="17" t="s">
        <v>206</v>
      </c>
      <c r="C12" s="18">
        <f>C11/Balance_Sheet!C74</f>
        <v>0.10698074298623135</v>
      </c>
      <c r="D12" s="18">
        <f>D11/Balance_Sheet!D74</f>
        <v>0.1210563163833769</v>
      </c>
      <c r="E12" s="18">
        <f>E11/Balance_Sheet!E74</f>
        <v>0.10744715140313585</v>
      </c>
      <c r="F12" s="18">
        <f>F11/Balance_Sheet!F74</f>
        <v>8.1280492290598388E-2</v>
      </c>
      <c r="G12" s="18">
        <f>G11/Balance_Sheet!G74</f>
        <v>0.17990371489703486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19846.57</v>
      </c>
      <c r="D13" s="7">
        <f t="shared" ref="D13:L13" si="6">D9+D11</f>
        <v>21647.312472991332</v>
      </c>
      <c r="E13" s="7">
        <f t="shared" si="6"/>
        <v>21130.199832269751</v>
      </c>
      <c r="F13" s="7">
        <f t="shared" si="6"/>
        <v>17790.102104849575</v>
      </c>
      <c r="G13" s="7">
        <f t="shared" si="6"/>
        <v>37590.197693177353</v>
      </c>
      <c r="H13" s="27">
        <f t="shared" si="6"/>
        <v>29771.23742456903</v>
      </c>
      <c r="I13" s="27">
        <f t="shared" si="6"/>
        <v>33065.604323460124</v>
      </c>
      <c r="J13" s="27">
        <f t="shared" si="6"/>
        <v>36293.129637684731</v>
      </c>
      <c r="K13" s="27">
        <f t="shared" si="6"/>
        <v>40060.693349847526</v>
      </c>
      <c r="L13" s="27">
        <f t="shared" si="6"/>
        <v>42770.467190477735</v>
      </c>
    </row>
    <row r="14" spans="2:15" x14ac:dyDescent="0.25">
      <c r="B14" s="19" t="s">
        <v>207</v>
      </c>
      <c r="C14" s="20">
        <f>C13/Balance_Sheet!C74</f>
        <v>0.15566946969815221</v>
      </c>
      <c r="D14" s="20">
        <f>D13/Balance_Sheet!D74</f>
        <v>0.16923568408454606</v>
      </c>
      <c r="E14" s="20">
        <f>E13/Balance_Sheet!E74</f>
        <v>0.15168761360463756</v>
      </c>
      <c r="F14" s="20">
        <f>F13/Balance_Sheet!F74</f>
        <v>0.12436071056667115</v>
      </c>
      <c r="G14" s="20">
        <f>G13/Balance_Sheet!G74</f>
        <v>0.21518170903043085</v>
      </c>
      <c r="H14" s="28">
        <f>H13/Balance_Sheet!H74</f>
        <v>0.16839421613195743</v>
      </c>
      <c r="I14" s="28">
        <f>I13/Balance_Sheet!I74</f>
        <v>0.16839422003259152</v>
      </c>
      <c r="J14" s="28">
        <f>J13/Balance_Sheet!J74</f>
        <v>0.16839422845957883</v>
      </c>
      <c r="K14" s="28">
        <f>K13/Balance_Sheet!K74</f>
        <v>0.16839419904176556</v>
      </c>
      <c r="L14" s="28">
        <f>L13/Balance_Sheet!L74</f>
        <v>0.16839420234622537</v>
      </c>
    </row>
    <row r="15" spans="2:15" ht="18.75" x14ac:dyDescent="0.25">
      <c r="B15" s="8" t="s">
        <v>12</v>
      </c>
      <c r="C15" s="5">
        <v>1054.4000000000001</v>
      </c>
      <c r="D15" s="5">
        <v>1472.27</v>
      </c>
      <c r="E15" s="5">
        <v>1993.38</v>
      </c>
      <c r="F15" s="5">
        <v>2688.1</v>
      </c>
      <c r="G15" s="5">
        <v>3301.78</v>
      </c>
      <c r="H15" s="24">
        <f>ROUND(H74*H16,2)</f>
        <v>3341.55</v>
      </c>
      <c r="I15" s="24">
        <f t="shared" ref="I15:L15" si="7">ROUND(I74*I16,2)</f>
        <v>3711.32</v>
      </c>
      <c r="J15" s="24">
        <f t="shared" si="7"/>
        <v>4073.58</v>
      </c>
      <c r="K15" s="24">
        <f t="shared" si="7"/>
        <v>4496.45</v>
      </c>
      <c r="L15" s="24">
        <f t="shared" si="7"/>
        <v>4800.6000000000004</v>
      </c>
    </row>
    <row r="16" spans="2:15" x14ac:dyDescent="0.25">
      <c r="B16" s="17" t="s">
        <v>208</v>
      </c>
      <c r="C16" s="18">
        <f>C15/Balance_Sheet!C74</f>
        <v>8.2703403585471791E-3</v>
      </c>
      <c r="D16" s="18">
        <f>D15/Balance_Sheet!D74</f>
        <v>1.1510002496523503E-2</v>
      </c>
      <c r="E16" s="18">
        <f>E15/Balance_Sheet!E74</f>
        <v>1.4309900408297868E-2</v>
      </c>
      <c r="F16" s="18">
        <f>F15/Balance_Sheet!F74</f>
        <v>1.8791012221517283E-2</v>
      </c>
      <c r="G16" s="18">
        <f>G15/Balance_Sheet!G74</f>
        <v>1.8900742928826073E-2</v>
      </c>
      <c r="H16" s="25">
        <f>G16</f>
        <v>1.8900742928826073E-2</v>
      </c>
      <c r="I16" s="25">
        <f t="shared" ref="I16:L16" si="8">H16</f>
        <v>1.8900742928826073E-2</v>
      </c>
      <c r="J16" s="25">
        <f t="shared" si="8"/>
        <v>1.8900742928826073E-2</v>
      </c>
      <c r="K16" s="25">
        <f t="shared" si="8"/>
        <v>1.8900742928826073E-2</v>
      </c>
      <c r="L16" s="25">
        <f t="shared" si="8"/>
        <v>1.8900742928826073E-2</v>
      </c>
    </row>
    <row r="17" spans="2:12" ht="18.75" x14ac:dyDescent="0.25">
      <c r="B17" s="8" t="s">
        <v>13</v>
      </c>
      <c r="C17" s="4">
        <v>0</v>
      </c>
      <c r="D17" s="4">
        <v>0</v>
      </c>
      <c r="E17" s="4">
        <v>307.04000000000002</v>
      </c>
      <c r="F17" s="4">
        <v>722.07</v>
      </c>
      <c r="G17" s="4">
        <v>811.02</v>
      </c>
      <c r="H17" s="26">
        <f>H74*H18</f>
        <v>389.68275560867448</v>
      </c>
      <c r="I17" s="26">
        <f t="shared" ref="I17:L17" si="9">I74*I18</f>
        <v>432.80349171955874</v>
      </c>
      <c r="J17" s="26">
        <f t="shared" si="9"/>
        <v>475.04930782128434</v>
      </c>
      <c r="K17" s="26">
        <f t="shared" si="9"/>
        <v>524.36392676185812</v>
      </c>
      <c r="L17" s="26">
        <f t="shared" si="9"/>
        <v>559.83278895058686</v>
      </c>
    </row>
    <row r="18" spans="2:12" x14ac:dyDescent="0.25">
      <c r="B18" s="17" t="s">
        <v>209</v>
      </c>
      <c r="C18" s="18">
        <f>C17/Balance_Sheet!C74</f>
        <v>0</v>
      </c>
      <c r="D18" s="18">
        <f>D17/Balance_Sheet!D74</f>
        <v>0</v>
      </c>
      <c r="E18" s="18">
        <f>E17/Balance_Sheet!E74</f>
        <v>2.2041516526521672E-3</v>
      </c>
      <c r="F18" s="18">
        <f>F17/Balance_Sheet!F74</f>
        <v>5.0475898198694196E-3</v>
      </c>
      <c r="G18" s="18">
        <f>G17/Balance_Sheet!G74</f>
        <v>4.6426111158637219E-3</v>
      </c>
      <c r="H18" s="25">
        <f>MEDIAN(C18:G18)</f>
        <v>2.2041516526521672E-3</v>
      </c>
      <c r="I18" s="25">
        <f t="shared" ref="I18:L18" si="10">H18</f>
        <v>2.2041516526521672E-3</v>
      </c>
      <c r="J18" s="25">
        <f t="shared" si="10"/>
        <v>2.2041516526521672E-3</v>
      </c>
      <c r="K18" s="25">
        <f t="shared" si="10"/>
        <v>2.2041516526521672E-3</v>
      </c>
      <c r="L18" s="25">
        <f t="shared" si="10"/>
        <v>2.2041516526521672E-3</v>
      </c>
    </row>
    <row r="19" spans="2:12" ht="18.75" x14ac:dyDescent="0.25">
      <c r="B19" s="8" t="s">
        <v>18</v>
      </c>
      <c r="C19" s="4">
        <v>476.54</v>
      </c>
      <c r="D19" s="5">
        <v>730.47</v>
      </c>
      <c r="E19" s="5">
        <v>4432.6099999999997</v>
      </c>
      <c r="F19" s="4">
        <v>3187.2</v>
      </c>
      <c r="G19" s="4">
        <v>7.98</v>
      </c>
      <c r="H19" s="26">
        <f>ROUND(H74*H20,2)</f>
        <v>8.08</v>
      </c>
      <c r="I19" s="26">
        <f t="shared" ref="I19:L19" si="11">ROUND(I74*I20,2)</f>
        <v>8.9700000000000006</v>
      </c>
      <c r="J19" s="26">
        <f t="shared" si="11"/>
        <v>9.85</v>
      </c>
      <c r="K19" s="26">
        <f t="shared" si="11"/>
        <v>10.87</v>
      </c>
      <c r="L19" s="26">
        <f t="shared" si="11"/>
        <v>11.6</v>
      </c>
    </row>
    <row r="20" spans="2:12" x14ac:dyDescent="0.25">
      <c r="B20" s="17" t="s">
        <v>210</v>
      </c>
      <c r="C20" s="18">
        <f>C19/Balance_Sheet!C74</f>
        <v>3.7378110721377777E-3</v>
      </c>
      <c r="D20" s="18">
        <f>D19/Balance_Sheet!D74</f>
        <v>5.7107130646114664E-3</v>
      </c>
      <c r="E20" s="18">
        <f>E19/Balance_Sheet!E74</f>
        <v>3.1820429445878463E-2</v>
      </c>
      <c r="F20" s="18">
        <f>F19/Balance_Sheet!F74</f>
        <v>2.2279942767166359E-2</v>
      </c>
      <c r="G20" s="18">
        <f>G19/Balance_Sheet!G74</f>
        <v>4.5680792957747658E-5</v>
      </c>
      <c r="H20" s="25">
        <f>G20</f>
        <v>4.5680792957747658E-5</v>
      </c>
      <c r="I20" s="25">
        <f t="shared" ref="I20:L20" si="12">H20</f>
        <v>4.5680792957747658E-5</v>
      </c>
      <c r="J20" s="25">
        <f t="shared" si="12"/>
        <v>4.5680792957747658E-5</v>
      </c>
      <c r="K20" s="25">
        <f t="shared" si="12"/>
        <v>4.5680792957747658E-5</v>
      </c>
      <c r="L20" s="25">
        <f t="shared" si="12"/>
        <v>4.5680792957747658E-5</v>
      </c>
    </row>
    <row r="21" spans="2:12" ht="18.75" x14ac:dyDescent="0.25">
      <c r="B21" s="9" t="s">
        <v>123</v>
      </c>
      <c r="C21" s="7">
        <f>C15+C17+C19</f>
        <v>1530.94</v>
      </c>
      <c r="D21" s="7">
        <f t="shared" ref="D21:G21" si="13">D15+D17+D19</f>
        <v>2202.7399999999998</v>
      </c>
      <c r="E21" s="7">
        <f t="shared" si="13"/>
        <v>6733.03</v>
      </c>
      <c r="F21" s="7">
        <f t="shared" si="13"/>
        <v>6597.37</v>
      </c>
      <c r="G21" s="7">
        <f t="shared" si="13"/>
        <v>4120.78</v>
      </c>
      <c r="H21" s="27">
        <f>ROUND(H74*H22,2)</f>
        <v>4170.42</v>
      </c>
      <c r="I21" s="27">
        <f t="shared" ref="I21:L21" si="14">ROUND(I74*I22,2)</f>
        <v>4631.8999999999996</v>
      </c>
      <c r="J21" s="27">
        <f t="shared" si="14"/>
        <v>5084.0200000000004</v>
      </c>
      <c r="K21" s="27">
        <f t="shared" si="14"/>
        <v>5611.79</v>
      </c>
      <c r="L21" s="27">
        <f t="shared" si="14"/>
        <v>5991.38</v>
      </c>
    </row>
    <row r="22" spans="2:12" x14ac:dyDescent="0.25">
      <c r="B22" s="19" t="s">
        <v>211</v>
      </c>
      <c r="C22" s="20">
        <f>C21/Balance_Sheet!C74</f>
        <v>1.2008151430684956E-2</v>
      </c>
      <c r="D22" s="20">
        <f>D21/Balance_Sheet!D74</f>
        <v>1.7220715561134969E-2</v>
      </c>
      <c r="E22" s="20">
        <f>E21/Balance_Sheet!E74</f>
        <v>4.8334481506828494E-2</v>
      </c>
      <c r="F22" s="20">
        <f>F21/Balance_Sheet!F74</f>
        <v>4.6118544808553062E-2</v>
      </c>
      <c r="G22" s="20">
        <f>G21/Balance_Sheet!G74</f>
        <v>2.358903483764754E-2</v>
      </c>
      <c r="H22" s="28">
        <f>G22</f>
        <v>2.358903483764754E-2</v>
      </c>
      <c r="I22" s="28">
        <f t="shared" ref="I22:L22" si="15">H22</f>
        <v>2.358903483764754E-2</v>
      </c>
      <c r="J22" s="28">
        <f t="shared" si="15"/>
        <v>2.358903483764754E-2</v>
      </c>
      <c r="K22" s="28">
        <f t="shared" si="15"/>
        <v>2.358903483764754E-2</v>
      </c>
      <c r="L22" s="28">
        <f t="shared" si="15"/>
        <v>2.358903483764754E-2</v>
      </c>
    </row>
    <row r="23" spans="2:12" ht="18.75" x14ac:dyDescent="0.25">
      <c r="B23" s="8" t="s">
        <v>15</v>
      </c>
      <c r="C23" s="5">
        <v>49903.1</v>
      </c>
      <c r="D23" s="5">
        <v>52419.56</v>
      </c>
      <c r="E23" s="5">
        <v>60223.45</v>
      </c>
      <c r="F23" s="5">
        <v>63178.61</v>
      </c>
      <c r="G23" s="5">
        <v>65944</v>
      </c>
      <c r="H23" s="24">
        <f>H74*H24</f>
        <v>72452.110694842631</v>
      </c>
      <c r="I23" s="24">
        <f t="shared" ref="I23:L23" si="16">I74*I24</f>
        <v>80469.371661571786</v>
      </c>
      <c r="J23" s="24">
        <f t="shared" si="16"/>
        <v>88323.962352441085</v>
      </c>
      <c r="K23" s="24">
        <f t="shared" si="16"/>
        <v>97492.826457745366</v>
      </c>
      <c r="L23" s="24">
        <f t="shared" si="16"/>
        <v>104087.40600362221</v>
      </c>
    </row>
    <row r="24" spans="2:12" x14ac:dyDescent="0.25">
      <c r="B24" s="17" t="s">
        <v>212</v>
      </c>
      <c r="C24" s="18">
        <f>C23/Balance_Sheet!C74</f>
        <v>0.39142225146682069</v>
      </c>
      <c r="D24" s="18">
        <f>D23/Balance_Sheet!D74</f>
        <v>0.40980884380355748</v>
      </c>
      <c r="E24" s="18">
        <f>E23/Balance_Sheet!E74</f>
        <v>0.43232678753880655</v>
      </c>
      <c r="F24" s="18">
        <f>F23/Balance_Sheet!F74</f>
        <v>0.44164652827219009</v>
      </c>
      <c r="G24" s="18">
        <f>G23/Balance_Sheet!G74</f>
        <v>0.37749050260723199</v>
      </c>
      <c r="H24" s="25">
        <f>MEDIAN(C24:G24)</f>
        <v>0.40980884380355748</v>
      </c>
      <c r="I24" s="25">
        <f t="shared" ref="I24:L24" si="17">H24</f>
        <v>0.40980884380355748</v>
      </c>
      <c r="J24" s="25">
        <f t="shared" si="17"/>
        <v>0.40980884380355748</v>
      </c>
      <c r="K24" s="25">
        <f t="shared" si="17"/>
        <v>0.40980884380355748</v>
      </c>
      <c r="L24" s="25">
        <f t="shared" si="17"/>
        <v>0.40980884380355748</v>
      </c>
    </row>
    <row r="25" spans="2:12" ht="18.75" x14ac:dyDescent="0.25">
      <c r="B25" s="8" t="s">
        <v>21</v>
      </c>
      <c r="C25" s="5">
        <v>14813.59</v>
      </c>
      <c r="D25" s="5">
        <v>7136.44</v>
      </c>
      <c r="E25" s="5">
        <v>6781.44</v>
      </c>
      <c r="F25" s="5">
        <v>6465.9</v>
      </c>
      <c r="G25" s="5">
        <v>6094.68</v>
      </c>
      <c r="H25" s="24">
        <f>H74*H26</f>
        <v>8606.7295016769458</v>
      </c>
      <c r="I25" s="24">
        <f t="shared" ref="I25:L25" si="18">I74*I26</f>
        <v>9559.1157858477218</v>
      </c>
      <c r="J25" s="24">
        <f t="shared" si="18"/>
        <v>10492.178146272703</v>
      </c>
      <c r="K25" s="24">
        <f t="shared" si="18"/>
        <v>11581.365644541216</v>
      </c>
      <c r="L25" s="24">
        <f t="shared" si="18"/>
        <v>12364.748789412022</v>
      </c>
    </row>
    <row r="26" spans="2:12" x14ac:dyDescent="0.25">
      <c r="B26" s="17" t="s">
        <v>213</v>
      </c>
      <c r="C26" s="18">
        <f>C25/Balance_Sheet!C74</f>
        <v>0.11619255617599669</v>
      </c>
      <c r="D26" s="18">
        <f>D25/Balance_Sheet!D74</f>
        <v>5.5791697322019863E-2</v>
      </c>
      <c r="E26" s="18">
        <f>E25/Balance_Sheet!E74</f>
        <v>4.8682002942162302E-2</v>
      </c>
      <c r="F26" s="18">
        <f>F25/Balance_Sheet!F74</f>
        <v>4.5199511150295232E-2</v>
      </c>
      <c r="G26" s="18">
        <f>G25/Balance_Sheet!G74</f>
        <v>3.4888448023023245E-2</v>
      </c>
      <c r="H26" s="25">
        <f>MEDIAN(C26:G26)</f>
        <v>4.8682002942162302E-2</v>
      </c>
      <c r="I26" s="25">
        <f t="shared" ref="I26:L26" si="19">H26</f>
        <v>4.8682002942162302E-2</v>
      </c>
      <c r="J26" s="25">
        <f t="shared" si="19"/>
        <v>4.8682002942162302E-2</v>
      </c>
      <c r="K26" s="25">
        <f t="shared" si="19"/>
        <v>4.8682002942162302E-2</v>
      </c>
      <c r="L26" s="25">
        <f t="shared" si="19"/>
        <v>4.8682002942162302E-2</v>
      </c>
    </row>
    <row r="27" spans="2:12" ht="18.75" x14ac:dyDescent="0.25">
      <c r="B27" s="8" t="s">
        <v>14</v>
      </c>
      <c r="C27" s="5">
        <v>5530.13</v>
      </c>
      <c r="D27" s="5">
        <v>6154.12</v>
      </c>
      <c r="E27" s="5">
        <v>6184.32</v>
      </c>
      <c r="F27" s="5">
        <v>6589.6</v>
      </c>
      <c r="G27" s="5">
        <v>8967.0300000000007</v>
      </c>
      <c r="H27" s="24">
        <f>ROUND(H74*H28,2)</f>
        <v>9075.0499999999993</v>
      </c>
      <c r="I27" s="24">
        <f t="shared" ref="I27:L27" si="20">ROUND(I74*I28,2)</f>
        <v>10079.26</v>
      </c>
      <c r="J27" s="24">
        <f t="shared" si="20"/>
        <v>11063.09</v>
      </c>
      <c r="K27" s="24">
        <f t="shared" si="20"/>
        <v>12211.55</v>
      </c>
      <c r="L27" s="24">
        <f t="shared" si="20"/>
        <v>13037.56</v>
      </c>
    </row>
    <row r="28" spans="2:12" x14ac:dyDescent="0.25">
      <c r="B28" s="17" t="s">
        <v>214</v>
      </c>
      <c r="C28" s="18">
        <f>C27/Balance_Sheet!C74</f>
        <v>4.3376382138668922E-2</v>
      </c>
      <c r="D28" s="18">
        <f>D27/Balance_Sheet!D74</f>
        <v>4.8112055916309661E-2</v>
      </c>
      <c r="E28" s="18">
        <f>E27/Balance_Sheet!E74</f>
        <v>4.439545058796851E-2</v>
      </c>
      <c r="F28" s="18">
        <f>F27/Balance_Sheet!F74</f>
        <v>4.6064229059525431E-2</v>
      </c>
      <c r="G28" s="18">
        <f>G27/Balance_Sheet!G74</f>
        <v>5.1330957503247114E-2</v>
      </c>
      <c r="H28" s="25">
        <f>G28</f>
        <v>5.1330957503247114E-2</v>
      </c>
      <c r="I28" s="25">
        <f t="shared" ref="I28:L28" si="21">H28</f>
        <v>5.1330957503247114E-2</v>
      </c>
      <c r="J28" s="25">
        <f t="shared" si="21"/>
        <v>5.1330957503247114E-2</v>
      </c>
      <c r="K28" s="25">
        <f t="shared" si="21"/>
        <v>5.1330957503247114E-2</v>
      </c>
      <c r="L28" s="25">
        <f t="shared" si="21"/>
        <v>5.1330957503247114E-2</v>
      </c>
    </row>
    <row r="29" spans="2:12" ht="18.75" x14ac:dyDescent="0.25">
      <c r="B29" s="8" t="s">
        <v>19</v>
      </c>
      <c r="C29" s="5">
        <v>4516.93</v>
      </c>
      <c r="D29" s="5">
        <v>6815.51</v>
      </c>
      <c r="E29" s="5">
        <v>7250.96</v>
      </c>
      <c r="F29" s="5">
        <v>7637.63</v>
      </c>
      <c r="G29" s="5">
        <v>8591.7800000000007</v>
      </c>
      <c r="H29" s="24">
        <f>H74*H30</f>
        <v>9202.6253048732233</v>
      </c>
      <c r="I29" s="24">
        <f t="shared" ref="I29:L29" si="22">I74*I30</f>
        <v>10220.951036734145</v>
      </c>
      <c r="J29" s="24">
        <f t="shared" si="22"/>
        <v>11218.614933037454</v>
      </c>
      <c r="K29" s="24">
        <f t="shared" si="22"/>
        <v>12383.213452296648</v>
      </c>
      <c r="L29" s="24">
        <f t="shared" si="22"/>
        <v>13220.834938018326</v>
      </c>
    </row>
    <row r="30" spans="2:12" x14ac:dyDescent="0.25">
      <c r="B30" s="17" t="s">
        <v>215</v>
      </c>
      <c r="C30" s="18">
        <f>C29/Balance_Sheet!C74</f>
        <v>3.5429199995952683E-2</v>
      </c>
      <c r="D30" s="18">
        <f>D29/Balance_Sheet!D74</f>
        <v>5.3282711129806967E-2</v>
      </c>
      <c r="E30" s="18">
        <f>E29/Balance_Sheet!E74</f>
        <v>5.2052551678331026E-2</v>
      </c>
      <c r="F30" s="18">
        <f>F29/Balance_Sheet!F74</f>
        <v>5.3390423969877261E-2</v>
      </c>
      <c r="G30" s="18">
        <f>G29/Balance_Sheet!G74</f>
        <v>4.918287259630541E-2</v>
      </c>
      <c r="H30" s="25">
        <f>MEDIAN(C30:G30)</f>
        <v>5.2052551678331026E-2</v>
      </c>
      <c r="I30" s="25">
        <f t="shared" ref="I30:L30" si="23">H30</f>
        <v>5.2052551678331026E-2</v>
      </c>
      <c r="J30" s="25">
        <f t="shared" si="23"/>
        <v>5.2052551678331026E-2</v>
      </c>
      <c r="K30" s="25">
        <f t="shared" si="23"/>
        <v>5.2052551678331026E-2</v>
      </c>
      <c r="L30" s="25">
        <f t="shared" si="23"/>
        <v>5.2052551678331026E-2</v>
      </c>
    </row>
    <row r="31" spans="2:12" ht="18.75" x14ac:dyDescent="0.25">
      <c r="B31" s="8" t="s">
        <v>20</v>
      </c>
      <c r="C31" s="5">
        <v>30988.02</v>
      </c>
      <c r="D31" s="5">
        <v>31129.759999999998</v>
      </c>
      <c r="E31" s="5">
        <v>30603.279999999999</v>
      </c>
      <c r="F31" s="5">
        <v>34352.14</v>
      </c>
      <c r="G31" s="5">
        <v>42708.23</v>
      </c>
      <c r="H31" s="24">
        <f>H74*H32</f>
        <v>42971.600436317189</v>
      </c>
      <c r="I31" s="24">
        <f t="shared" ref="I31:L31" si="24">I74*I32</f>
        <v>47726.665976188211</v>
      </c>
      <c r="J31" s="24">
        <f t="shared" si="24"/>
        <v>52385.251206098954</v>
      </c>
      <c r="K31" s="24">
        <f t="shared" si="24"/>
        <v>57823.336598082882</v>
      </c>
      <c r="L31" s="24">
        <f t="shared" si="24"/>
        <v>61734.604807845353</v>
      </c>
    </row>
    <row r="32" spans="2:12" x14ac:dyDescent="0.25">
      <c r="B32" s="17" t="s">
        <v>216</v>
      </c>
      <c r="C32" s="18">
        <f>C31/Balance_Sheet!C74</f>
        <v>0.24305905959547341</v>
      </c>
      <c r="D32" s="18">
        <f>D31/Balance_Sheet!D74</f>
        <v>0.2433681426071152</v>
      </c>
      <c r="E32" s="18">
        <f>E31/Balance_Sheet!E74</f>
        <v>0.21969212541876307</v>
      </c>
      <c r="F32" s="18">
        <f>F31/Balance_Sheet!F74</f>
        <v>0.24013670718175395</v>
      </c>
      <c r="G32" s="18">
        <f>G31/Balance_Sheet!G74</f>
        <v>0.24447942509045956</v>
      </c>
      <c r="H32" s="25">
        <f>MEDIAN(C32:G32)</f>
        <v>0.24305905959547341</v>
      </c>
      <c r="I32" s="25">
        <f t="shared" ref="I32:L32" si="25">H32</f>
        <v>0.24305905959547341</v>
      </c>
      <c r="J32" s="25">
        <f t="shared" si="25"/>
        <v>0.24305905959547341</v>
      </c>
      <c r="K32" s="25">
        <f t="shared" si="25"/>
        <v>0.24305905959547341</v>
      </c>
      <c r="L32" s="25">
        <f t="shared" si="25"/>
        <v>0.24305905959547341</v>
      </c>
    </row>
    <row r="33" spans="2:12" ht="18.75" x14ac:dyDescent="0.25">
      <c r="B33" s="9" t="s">
        <v>22</v>
      </c>
      <c r="C33" s="7">
        <f>C23+C25+C27+C29+C31</f>
        <v>105751.77</v>
      </c>
      <c r="D33" s="7">
        <f t="shared" ref="D33:L33" si="26">D23+D25+D27+D29+D31</f>
        <v>103655.38999999998</v>
      </c>
      <c r="E33" s="7">
        <f t="shared" si="26"/>
        <v>111043.45</v>
      </c>
      <c r="F33" s="7">
        <f t="shared" si="26"/>
        <v>118223.88</v>
      </c>
      <c r="G33" s="7">
        <f t="shared" si="26"/>
        <v>132305.72</v>
      </c>
      <c r="H33" s="27">
        <f t="shared" si="26"/>
        <v>142308.11593770998</v>
      </c>
      <c r="I33" s="27">
        <f t="shared" si="26"/>
        <v>158055.36446034187</v>
      </c>
      <c r="J33" s="27">
        <f t="shared" si="26"/>
        <v>173483.09663785022</v>
      </c>
      <c r="K33" s="27">
        <f t="shared" si="26"/>
        <v>191492.29215266611</v>
      </c>
      <c r="L33" s="27">
        <f t="shared" si="26"/>
        <v>204445.15453889791</v>
      </c>
    </row>
    <row r="34" spans="2:12" x14ac:dyDescent="0.25">
      <c r="B34" s="19" t="s">
        <v>217</v>
      </c>
      <c r="C34" s="20">
        <f>C33/Balance_Sheet!C74</f>
        <v>0.8294794493729124</v>
      </c>
      <c r="D34" s="20">
        <f>D33/Balance_Sheet!D74</f>
        <v>0.81036345077880911</v>
      </c>
      <c r="E34" s="20">
        <f>E33/Balance_Sheet!E74</f>
        <v>0.79714891816603151</v>
      </c>
      <c r="F34" s="20">
        <f>F33/Balance_Sheet!F74</f>
        <v>0.82643739963364193</v>
      </c>
      <c r="G34" s="20">
        <f>G33/Balance_Sheet!G74</f>
        <v>0.75737220582026732</v>
      </c>
      <c r="H34" s="28">
        <f>H33/Balance_Sheet!H74</f>
        <v>0.80493340907522903</v>
      </c>
      <c r="I34" s="28">
        <f>I33/Balance_Sheet!I74</f>
        <v>0.80493341539753493</v>
      </c>
      <c r="J34" s="28">
        <f>J33/Balance_Sheet!J74</f>
        <v>0.80493339926176122</v>
      </c>
      <c r="K34" s="28">
        <f>K33/Balance_Sheet!K74</f>
        <v>0.80493342634177611</v>
      </c>
      <c r="L34" s="28">
        <f>L33/Balance_Sheet!L74</f>
        <v>0.80493342681543778</v>
      </c>
    </row>
    <row r="35" spans="2:12" ht="18.75" x14ac:dyDescent="0.25">
      <c r="B35" s="8" t="s">
        <v>10</v>
      </c>
      <c r="C35" s="4">
        <v>362.45</v>
      </c>
      <c r="D35" s="4">
        <v>406.78</v>
      </c>
      <c r="E35" s="4">
        <v>394.08</v>
      </c>
      <c r="F35" s="4">
        <v>441.08</v>
      </c>
      <c r="G35" s="4">
        <v>673.79</v>
      </c>
      <c r="H35" s="26">
        <f>H74*H36</f>
        <v>545.11964782073221</v>
      </c>
      <c r="I35" s="26">
        <f t="shared" ref="I35:L35" si="27">I74*I36</f>
        <v>605.44040911749585</v>
      </c>
      <c r="J35" s="26">
        <f t="shared" si="27"/>
        <v>664.53726178499801</v>
      </c>
      <c r="K35" s="26">
        <f t="shared" si="27"/>
        <v>733.52252562432193</v>
      </c>
      <c r="L35" s="26">
        <f t="shared" si="27"/>
        <v>783.13922892113942</v>
      </c>
    </row>
    <row r="36" spans="2:12" x14ac:dyDescent="0.25">
      <c r="B36" s="17" t="s">
        <v>218</v>
      </c>
      <c r="C36" s="18">
        <f>C35/Balance_Sheet!C74</f>
        <v>2.8429294982505928E-3</v>
      </c>
      <c r="D36" s="18">
        <f>D35/Balance_Sheet!D74</f>
        <v>3.1801495755098119E-3</v>
      </c>
      <c r="E36" s="18">
        <f>E35/Balance_Sheet!E74</f>
        <v>2.8289867225024948E-3</v>
      </c>
      <c r="F36" s="18">
        <f>F35/Balance_Sheet!F74</f>
        <v>3.0833449911338282E-3</v>
      </c>
      <c r="G36" s="18">
        <f>G35/Balance_Sheet!G74</f>
        <v>3.8570503116542344E-3</v>
      </c>
      <c r="H36" s="25">
        <f>MEDIAN(C36:G36)</f>
        <v>3.0833449911338282E-3</v>
      </c>
      <c r="I36" s="25">
        <f t="shared" ref="I36:L36" si="28">H36</f>
        <v>3.0833449911338282E-3</v>
      </c>
      <c r="J36" s="25">
        <f t="shared" si="28"/>
        <v>3.0833449911338282E-3</v>
      </c>
      <c r="K36" s="25">
        <f t="shared" si="28"/>
        <v>3.0833449911338282E-3</v>
      </c>
      <c r="L36" s="25">
        <f t="shared" si="28"/>
        <v>3.0833449911338282E-3</v>
      </c>
    </row>
    <row r="37" spans="2:12" ht="18.75" x14ac:dyDescent="0.25">
      <c r="B37" s="9" t="s">
        <v>124</v>
      </c>
      <c r="C37" s="7">
        <f>C13+C21+C33+C35</f>
        <v>127491.73</v>
      </c>
      <c r="D37" s="7">
        <f t="shared" ref="D37:L37" si="29">D13+D21+D33+D35</f>
        <v>127912.22247299131</v>
      </c>
      <c r="E37" s="7">
        <f t="shared" si="29"/>
        <v>139300.75983226974</v>
      </c>
      <c r="F37" s="7">
        <f t="shared" si="29"/>
        <v>143052.43210484958</v>
      </c>
      <c r="G37" s="7">
        <f t="shared" si="29"/>
        <v>174690.48769317736</v>
      </c>
      <c r="H37" s="27">
        <f t="shared" si="29"/>
        <v>176794.89301009974</v>
      </c>
      <c r="I37" s="27">
        <f t="shared" si="29"/>
        <v>196358.30919291949</v>
      </c>
      <c r="J37" s="27">
        <f t="shared" si="29"/>
        <v>215524.78353731998</v>
      </c>
      <c r="K37" s="27">
        <f t="shared" si="29"/>
        <v>237898.29802813794</v>
      </c>
      <c r="L37" s="27">
        <f t="shared" si="29"/>
        <v>253990.1409582968</v>
      </c>
    </row>
    <row r="38" spans="2:12" x14ac:dyDescent="0.25">
      <c r="B38" s="19" t="s">
        <v>219</v>
      </c>
      <c r="C38" s="20">
        <f>C37/Balance_Sheet!C74</f>
        <v>1.0000000000000002</v>
      </c>
      <c r="D38" s="20">
        <f>D37/Balance_Sheet!D74</f>
        <v>0.99999999999999989</v>
      </c>
      <c r="E38" s="20">
        <f>E37/Balance_Sheet!E74</f>
        <v>1</v>
      </c>
      <c r="F38" s="20">
        <f>F37/Balance_Sheet!F74</f>
        <v>1</v>
      </c>
      <c r="G38" s="20">
        <f>G37/Balance_Sheet!G74</f>
        <v>1</v>
      </c>
      <c r="H38" s="28">
        <f>H37/Balance_Sheet!H74</f>
        <v>0.99999999999999989</v>
      </c>
      <c r="I38" s="28">
        <f>I37/Balance_Sheet!I74</f>
        <v>1</v>
      </c>
      <c r="J38" s="28">
        <f>J37/Balance_Sheet!J74</f>
        <v>1.0000000000000002</v>
      </c>
      <c r="K38" s="28">
        <f>K37/Balance_Sheet!K74</f>
        <v>0.99999999999999989</v>
      </c>
      <c r="L38" s="28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6"/>
      <c r="I39" s="26"/>
      <c r="J39" s="26"/>
      <c r="K39" s="26"/>
      <c r="L39" s="26"/>
    </row>
    <row r="40" spans="2:12" ht="18.75" x14ac:dyDescent="0.25">
      <c r="B40" s="8" t="s">
        <v>26</v>
      </c>
      <c r="C40" s="5">
        <v>24063.3</v>
      </c>
      <c r="D40" s="5">
        <v>28539.06</v>
      </c>
      <c r="E40" s="5">
        <v>32302.35</v>
      </c>
      <c r="F40" s="5">
        <v>37753.65</v>
      </c>
      <c r="G40" s="5">
        <v>59574.1</v>
      </c>
      <c r="H40" s="24">
        <f>ROUND(H74*H41,2)</f>
        <v>60291.76</v>
      </c>
      <c r="I40" s="24">
        <f t="shared" ref="I40:L40" si="30">ROUND(I74*I41,2)</f>
        <v>66963.399999999994</v>
      </c>
      <c r="J40" s="24">
        <f t="shared" si="30"/>
        <v>73499.679999999993</v>
      </c>
      <c r="K40" s="24">
        <f t="shared" si="30"/>
        <v>81129.64</v>
      </c>
      <c r="L40" s="24">
        <f t="shared" si="30"/>
        <v>86617.39</v>
      </c>
    </row>
    <row r="41" spans="2:12" x14ac:dyDescent="0.25">
      <c r="B41" s="17" t="s">
        <v>220</v>
      </c>
      <c r="C41" s="18">
        <f>C40/Balance_Sheet!C74</f>
        <v>0.18874400716030759</v>
      </c>
      <c r="D41" s="18">
        <f>D40/Balance_Sheet!D74</f>
        <v>0.22311440961809592</v>
      </c>
      <c r="E41" s="18">
        <f>E40/Balance_Sheet!E74</f>
        <v>0.23188925917485909</v>
      </c>
      <c r="F41" s="18">
        <f>F40/Balance_Sheet!F74</f>
        <v>0.26391477197905067</v>
      </c>
      <c r="G41" s="18">
        <f>G40/Balance_Sheet!G74</f>
        <v>0.34102658242407952</v>
      </c>
      <c r="H41" s="25">
        <f>G41</f>
        <v>0.34102658242407952</v>
      </c>
      <c r="I41" s="25">
        <f t="shared" ref="I41:L41" si="31">H41</f>
        <v>0.34102658242407952</v>
      </c>
      <c r="J41" s="25">
        <f t="shared" si="31"/>
        <v>0.34102658242407952</v>
      </c>
      <c r="K41" s="25">
        <f t="shared" si="31"/>
        <v>0.34102658242407952</v>
      </c>
      <c r="L41" s="25">
        <f t="shared" si="31"/>
        <v>0.34102658242407952</v>
      </c>
    </row>
    <row r="42" spans="2:12" ht="18.75" x14ac:dyDescent="0.25">
      <c r="B42" s="8" t="s">
        <v>27</v>
      </c>
      <c r="C42" s="4">
        <v>29.53</v>
      </c>
      <c r="D42" s="4">
        <v>35.18</v>
      </c>
      <c r="E42" s="4">
        <v>38.14</v>
      </c>
      <c r="F42" s="4">
        <v>45.76</v>
      </c>
      <c r="G42" s="4">
        <v>0</v>
      </c>
      <c r="H42" s="26">
        <f>ROUND(H74*H43,2)</f>
        <v>0</v>
      </c>
      <c r="I42" s="26">
        <f t="shared" ref="I42:L42" si="32">ROUND(I74*I43,2)</f>
        <v>0</v>
      </c>
      <c r="J42" s="26">
        <f t="shared" si="32"/>
        <v>0</v>
      </c>
      <c r="K42" s="26">
        <f t="shared" si="32"/>
        <v>0</v>
      </c>
      <c r="L42" s="26">
        <f t="shared" si="32"/>
        <v>0</v>
      </c>
    </row>
    <row r="43" spans="2:12" x14ac:dyDescent="0.25">
      <c r="B43" s="17" t="s">
        <v>221</v>
      </c>
      <c r="C43" s="18">
        <f>C42/Balance_Sheet!C74</f>
        <v>2.3162286683222515E-4</v>
      </c>
      <c r="D43" s="18">
        <f>D42/Balance_Sheet!D74</f>
        <v>2.7503235671968925E-4</v>
      </c>
      <c r="E43" s="18">
        <f>E42/Balance_Sheet!E74</f>
        <v>2.7379606576391892E-4</v>
      </c>
      <c r="F43" s="18">
        <f>F42/Balance_Sheet!F74</f>
        <v>3.1988271242015955E-4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3450.36</v>
      </c>
      <c r="E44" s="5">
        <f>Income_Statement!E31+D44</f>
        <v>6901.2000000000007</v>
      </c>
      <c r="F44" s="5">
        <f>Income_Statement!F31+E44</f>
        <v>10610.12</v>
      </c>
      <c r="G44" s="5">
        <f>Income_Statement!G31+F44</f>
        <v>15038.79</v>
      </c>
      <c r="H44" s="24">
        <f>Income_Statement!H31+G44</f>
        <v>21479.721296899454</v>
      </c>
      <c r="I44" s="24">
        <f>Income_Statement!I31+H44</f>
        <v>28633.379753822868</v>
      </c>
      <c r="J44" s="24">
        <f>Income_Statement!J31+I44</f>
        <v>36485.304945989999</v>
      </c>
      <c r="K44" s="24">
        <f>Income_Statement!K31+J44</f>
        <v>45152.334028939076</v>
      </c>
      <c r="L44" s="24">
        <f>Income_Statement!L31+K44</f>
        <v>54405.616038068445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2.6974435540970634E-2</v>
      </c>
      <c r="E45" s="18">
        <f>E44/Balance_Sheet!E74</f>
        <v>4.9541725460145708E-2</v>
      </c>
      <c r="F45" s="18">
        <f>F44/Balance_Sheet!F74</f>
        <v>7.4169448529357168E-2</v>
      </c>
      <c r="G45" s="18">
        <f>G44/Balance_Sheet!G74</f>
        <v>8.6088202045745105E-2</v>
      </c>
      <c r="H45" s="25">
        <f>H44/Balance_Sheet!H74</f>
        <v>0.1214951457657342</v>
      </c>
      <c r="I45" s="25">
        <f>I44/Balance_Sheet!I74</f>
        <v>0.14582209365884763</v>
      </c>
      <c r="J45" s="25">
        <f>J44/Balance_Sheet!J74</f>
        <v>0.16928589068584893</v>
      </c>
      <c r="K45" s="25">
        <f>K44/Balance_Sheet!K74</f>
        <v>0.18979679301277969</v>
      </c>
      <c r="L45" s="25">
        <f>L44/Balance_Sheet!L74</f>
        <v>0.21420365307408298</v>
      </c>
    </row>
    <row r="46" spans="2:12" ht="18.75" x14ac:dyDescent="0.25">
      <c r="B46" s="9" t="s">
        <v>126</v>
      </c>
      <c r="C46" s="7">
        <f>C40+C42-C44</f>
        <v>24092.829999999998</v>
      </c>
      <c r="D46" s="7">
        <f t="shared" ref="D46:L46" si="34">D40+D42-D44</f>
        <v>25123.88</v>
      </c>
      <c r="E46" s="7">
        <f t="shared" si="34"/>
        <v>25439.289999999997</v>
      </c>
      <c r="F46" s="7">
        <f t="shared" si="34"/>
        <v>27189.29</v>
      </c>
      <c r="G46" s="7">
        <f t="shared" si="34"/>
        <v>44535.31</v>
      </c>
      <c r="H46" s="27">
        <f t="shared" si="34"/>
        <v>38812.038703100552</v>
      </c>
      <c r="I46" s="27">
        <f t="shared" si="34"/>
        <v>38330.020246177126</v>
      </c>
      <c r="J46" s="27">
        <f t="shared" si="34"/>
        <v>37014.375054009994</v>
      </c>
      <c r="K46" s="27">
        <f t="shared" si="34"/>
        <v>35977.305971060923</v>
      </c>
      <c r="L46" s="27">
        <f t="shared" si="34"/>
        <v>32211.773961931554</v>
      </c>
    </row>
    <row r="47" spans="2:12" x14ac:dyDescent="0.25">
      <c r="B47" s="19" t="s">
        <v>223</v>
      </c>
      <c r="C47" s="20">
        <f>C46/Balance_Sheet!C74</f>
        <v>0.18897563002713982</v>
      </c>
      <c r="D47" s="20">
        <f>D46/Balance_Sheet!D74</f>
        <v>0.19641500643384496</v>
      </c>
      <c r="E47" s="20">
        <f>E46/Balance_Sheet!E74</f>
        <v>0.18262132978047729</v>
      </c>
      <c r="F47" s="20">
        <f>F46/Balance_Sheet!F74</f>
        <v>0.19006520616211364</v>
      </c>
      <c r="G47" s="20">
        <f>G46/Balance_Sheet!G74</f>
        <v>0.25493838037833444</v>
      </c>
      <c r="H47" s="28">
        <f>H46/Balance_Sheet!H74</f>
        <v>0.21953144710398018</v>
      </c>
      <c r="I47" s="28">
        <f>I46/Balance_Sheet!I74</f>
        <v>0.19520447290324944</v>
      </c>
      <c r="J47" s="28">
        <f>J46/Balance_Sheet!J74</f>
        <v>0.17174069007985171</v>
      </c>
      <c r="K47" s="28">
        <f>K46/Balance_Sheet!K74</f>
        <v>0.15122977452661568</v>
      </c>
      <c r="L47" s="28">
        <f>L46/Balance_Sheet!L74</f>
        <v>0.12682293037201187</v>
      </c>
    </row>
    <row r="48" spans="2:12" ht="18.75" x14ac:dyDescent="0.25">
      <c r="B48" s="8" t="s">
        <v>30</v>
      </c>
      <c r="C48" s="5">
        <v>1303.06</v>
      </c>
      <c r="D48" s="5">
        <v>1421.01</v>
      </c>
      <c r="E48" s="5">
        <v>1873.17</v>
      </c>
      <c r="F48" s="5">
        <v>2317.64</v>
      </c>
      <c r="G48" s="5">
        <v>2426.9699999999998</v>
      </c>
      <c r="H48" s="24">
        <f>H74*H49</f>
        <v>2377.3516392766442</v>
      </c>
      <c r="I48" s="24">
        <f t="shared" ref="I48:L48" si="35">I74*I49</f>
        <v>2640.4198690213843</v>
      </c>
      <c r="J48" s="24">
        <f t="shared" si="35"/>
        <v>2898.1504427162431</v>
      </c>
      <c r="K48" s="24">
        <f t="shared" si="35"/>
        <v>3199.0059167942609</v>
      </c>
      <c r="L48" s="24">
        <f t="shared" si="35"/>
        <v>3415.3920833721036</v>
      </c>
    </row>
    <row r="49" spans="2:12" x14ac:dyDescent="0.25">
      <c r="B49" s="17" t="s">
        <v>224</v>
      </c>
      <c r="C49" s="18">
        <f>C48/Balance_Sheet!C74</f>
        <v>1.022074137671518E-2</v>
      </c>
      <c r="D49" s="18">
        <f>D48/Balance_Sheet!D74</f>
        <v>1.1109258931843252E-2</v>
      </c>
      <c r="E49" s="18">
        <f>E48/Balance_Sheet!E74</f>
        <v>1.3446947470031462E-2</v>
      </c>
      <c r="F49" s="18">
        <f>F48/Balance_Sheet!F74</f>
        <v>1.6201332377916489E-2</v>
      </c>
      <c r="G49" s="18">
        <f>G48/Balance_Sheet!G74</f>
        <v>1.3892971689807621E-2</v>
      </c>
      <c r="H49" s="25">
        <f>MEDIAN(C49:G49)</f>
        <v>1.3446947470031462E-2</v>
      </c>
      <c r="I49" s="25">
        <f t="shared" ref="I49:L49" si="36">H49</f>
        <v>1.3446947470031462E-2</v>
      </c>
      <c r="J49" s="25">
        <f t="shared" si="36"/>
        <v>1.3446947470031462E-2</v>
      </c>
      <c r="K49" s="25">
        <f t="shared" si="36"/>
        <v>1.3446947470031462E-2</v>
      </c>
      <c r="L49" s="25">
        <f t="shared" si="36"/>
        <v>1.3446947470031462E-2</v>
      </c>
    </row>
    <row r="50" spans="2:12" ht="18.75" x14ac:dyDescent="0.25">
      <c r="B50" s="8" t="s">
        <v>36</v>
      </c>
      <c r="C50" s="5">
        <v>205.57</v>
      </c>
      <c r="D50" s="5">
        <v>1749.96</v>
      </c>
      <c r="E50" s="4">
        <v>99.7</v>
      </c>
      <c r="F50" s="5">
        <v>3632.59</v>
      </c>
      <c r="G50" s="4">
        <v>7279.41</v>
      </c>
      <c r="H50" s="26">
        <f>H74*H51</f>
        <v>2418.721096314941</v>
      </c>
      <c r="I50" s="26">
        <f t="shared" ref="I50:L50" si="37">I74*I51</f>
        <v>2686.3671048151527</v>
      </c>
      <c r="J50" s="26">
        <f t="shared" si="37"/>
        <v>2948.5825741055023</v>
      </c>
      <c r="K50" s="26">
        <f t="shared" si="37"/>
        <v>3254.673381233953</v>
      </c>
      <c r="L50" s="26">
        <f t="shared" si="37"/>
        <v>3474.8249891853102</v>
      </c>
    </row>
    <row r="51" spans="2:12" x14ac:dyDescent="0.25">
      <c r="B51" s="17" t="s">
        <v>225</v>
      </c>
      <c r="C51" s="18">
        <f>C50/Balance_Sheet!C74</f>
        <v>1.6124183113681179E-3</v>
      </c>
      <c r="D51" s="18">
        <f>D50/Balance_Sheet!D74</f>
        <v>1.3680944370812603E-2</v>
      </c>
      <c r="E51" s="18">
        <f>E50/Balance_Sheet!E74</f>
        <v>7.1571756047883364E-4</v>
      </c>
      <c r="F51" s="18">
        <f>F50/Balance_Sheet!F74</f>
        <v>2.5393416571467386E-2</v>
      </c>
      <c r="G51" s="18">
        <f>G50/Balance_Sheet!G74</f>
        <v>4.1670328454205242E-2</v>
      </c>
      <c r="H51" s="25">
        <f>MEDIAN(C51:G51)</f>
        <v>1.3680944370812603E-2</v>
      </c>
      <c r="I51" s="25">
        <f t="shared" ref="I51:L51" si="38">H51</f>
        <v>1.3680944370812603E-2</v>
      </c>
      <c r="J51" s="25">
        <f t="shared" si="38"/>
        <v>1.3680944370812603E-2</v>
      </c>
      <c r="K51" s="25">
        <f t="shared" si="38"/>
        <v>1.3680944370812603E-2</v>
      </c>
      <c r="L51" s="25">
        <f t="shared" si="38"/>
        <v>1.3680944370812603E-2</v>
      </c>
    </row>
    <row r="52" spans="2:12" ht="18.75" x14ac:dyDescent="0.25">
      <c r="B52" s="8" t="s">
        <v>28</v>
      </c>
      <c r="C52" s="4">
        <v>13771</v>
      </c>
      <c r="D52" s="5">
        <v>9622.94</v>
      </c>
      <c r="E52" s="5">
        <v>8271.09</v>
      </c>
      <c r="F52" s="5">
        <v>10403.66</v>
      </c>
      <c r="G52" s="5">
        <v>0</v>
      </c>
      <c r="H52" s="24">
        <f>H74*H53</f>
        <v>12857.62101035331</v>
      </c>
      <c r="I52" s="24">
        <f t="shared" ref="I52:L52" si="39">I74*I53</f>
        <v>14280.39395737582</v>
      </c>
      <c r="J52" s="24">
        <f t="shared" si="39"/>
        <v>15674.298832280114</v>
      </c>
      <c r="K52" s="24">
        <f t="shared" si="39"/>
        <v>17301.439555039295</v>
      </c>
      <c r="L52" s="24">
        <f t="shared" si="39"/>
        <v>18471.738166223138</v>
      </c>
    </row>
    <row r="53" spans="2:12" x14ac:dyDescent="0.25">
      <c r="B53" s="17" t="s">
        <v>226</v>
      </c>
      <c r="C53" s="18">
        <f>C52/Balance_Sheet!C74</f>
        <v>0.10801484927689037</v>
      </c>
      <c r="D53" s="18">
        <f>D52/Balance_Sheet!D74</f>
        <v>7.5230809174876817E-2</v>
      </c>
      <c r="E53" s="18">
        <f>E52/Balance_Sheet!E74</f>
        <v>5.9375770885665757E-2</v>
      </c>
      <c r="F53" s="18">
        <f>F52/Balance_Sheet!F74</f>
        <v>7.2726201483765671E-2</v>
      </c>
      <c r="G53" s="18">
        <f>G52/Balance_Sheet!G74</f>
        <v>0</v>
      </c>
      <c r="H53" s="25">
        <f>MEDIAN(C53:G53)</f>
        <v>7.2726201483765671E-2</v>
      </c>
      <c r="I53" s="25">
        <f t="shared" ref="I53:L53" si="40">H53</f>
        <v>7.2726201483765671E-2</v>
      </c>
      <c r="J53" s="25">
        <f t="shared" si="40"/>
        <v>7.2726201483765671E-2</v>
      </c>
      <c r="K53" s="25">
        <f t="shared" si="40"/>
        <v>7.2726201483765671E-2</v>
      </c>
      <c r="L53" s="25">
        <f t="shared" si="40"/>
        <v>7.2726201483765671E-2</v>
      </c>
    </row>
    <row r="54" spans="2:12" ht="18.75" x14ac:dyDescent="0.25">
      <c r="B54" s="9" t="s">
        <v>127</v>
      </c>
      <c r="C54" s="7">
        <f>C46+C48+C50+C52</f>
        <v>39372.46</v>
      </c>
      <c r="D54" s="7">
        <f t="shared" ref="D54:L54" si="41">D46+D48+D50+D52</f>
        <v>37917.79</v>
      </c>
      <c r="E54" s="7">
        <f t="shared" si="41"/>
        <v>35683.25</v>
      </c>
      <c r="F54" s="7">
        <f t="shared" si="41"/>
        <v>43543.180000000008</v>
      </c>
      <c r="G54" s="7">
        <f t="shared" si="41"/>
        <v>54241.69</v>
      </c>
      <c r="H54" s="27">
        <f t="shared" si="41"/>
        <v>56465.732449045448</v>
      </c>
      <c r="I54" s="27">
        <f t="shared" si="41"/>
        <v>57937.201177389477</v>
      </c>
      <c r="J54" s="27">
        <f t="shared" si="41"/>
        <v>58535.406903111856</v>
      </c>
      <c r="K54" s="27">
        <f t="shared" si="41"/>
        <v>59732.424824128429</v>
      </c>
      <c r="L54" s="27">
        <f t="shared" si="41"/>
        <v>57573.729200712114</v>
      </c>
    </row>
    <row r="55" spans="2:12" x14ac:dyDescent="0.25">
      <c r="B55" s="19" t="s">
        <v>227</v>
      </c>
      <c r="C55" s="20">
        <f>C54/Balance_Sheet!C74</f>
        <v>0.30882363899211351</v>
      </c>
      <c r="D55" s="20">
        <f>D54/Balance_Sheet!D74</f>
        <v>0.29643601891137761</v>
      </c>
      <c r="E55" s="20">
        <f>E54/Balance_Sheet!E74</f>
        <v>0.25615976569665339</v>
      </c>
      <c r="F55" s="20">
        <f>F54/Balance_Sheet!F74</f>
        <v>0.30438615659526325</v>
      </c>
      <c r="G55" s="20">
        <f>G54/Balance_Sheet!G74</f>
        <v>0.31050168052234733</v>
      </c>
      <c r="H55" s="28">
        <f>H54/Balance_Sheet!H74</f>
        <v>0.31938554042858991</v>
      </c>
      <c r="I55" s="28">
        <f>I54/Balance_Sheet!I74</f>
        <v>0.29505856622785914</v>
      </c>
      <c r="J55" s="28">
        <f>J54/Balance_Sheet!J74</f>
        <v>0.27159478340446147</v>
      </c>
      <c r="K55" s="28">
        <f>K54/Balance_Sheet!K74</f>
        <v>0.25108386785122538</v>
      </c>
      <c r="L55" s="28">
        <f>L54/Balance_Sheet!L74</f>
        <v>0.22667702369662163</v>
      </c>
    </row>
    <row r="56" spans="2:12" ht="18.75" x14ac:dyDescent="0.25">
      <c r="B56" s="8" t="s">
        <v>31</v>
      </c>
      <c r="C56" s="5">
        <v>5355.05</v>
      </c>
      <c r="D56" s="5">
        <v>4269.16</v>
      </c>
      <c r="E56" s="5">
        <v>3618.01</v>
      </c>
      <c r="F56" s="5">
        <v>4059.43</v>
      </c>
      <c r="G56" s="5">
        <v>4138.09</v>
      </c>
      <c r="H56" s="24">
        <f>H74*H57</f>
        <v>5016.9471568715762</v>
      </c>
      <c r="I56" s="24">
        <f t="shared" ref="I56:L56" si="42">I74*I57</f>
        <v>5572.1024757047162</v>
      </c>
      <c r="J56" s="24">
        <f t="shared" si="42"/>
        <v>6115.9936895979745</v>
      </c>
      <c r="K56" s="24">
        <f t="shared" si="42"/>
        <v>6750.8917797114837</v>
      </c>
      <c r="L56" s="24">
        <f t="shared" si="42"/>
        <v>7207.5335087950962</v>
      </c>
    </row>
    <row r="57" spans="2:12" x14ac:dyDescent="0.25">
      <c r="B57" s="17" t="s">
        <v>228</v>
      </c>
      <c r="C57" s="18">
        <f>C56/Balance_Sheet!C74</f>
        <v>4.2003116594307735E-2</v>
      </c>
      <c r="D57" s="18">
        <f>D56/Balance_Sheet!D74</f>
        <v>3.3375700284634123E-2</v>
      </c>
      <c r="E57" s="18">
        <f>E56/Balance_Sheet!E74</f>
        <v>2.5972650862467653E-2</v>
      </c>
      <c r="F57" s="18">
        <f>F56/Balance_Sheet!F74</f>
        <v>2.8377217641603329E-2</v>
      </c>
      <c r="G57" s="18">
        <f>G56/Balance_Sheet!G74</f>
        <v>2.3688124377258899E-2</v>
      </c>
      <c r="H57" s="25">
        <f>MEDIAN(C57:G57)</f>
        <v>2.8377217641603329E-2</v>
      </c>
      <c r="I57" s="25">
        <f t="shared" ref="I57:L57" si="43">H57</f>
        <v>2.8377217641603329E-2</v>
      </c>
      <c r="J57" s="25">
        <f t="shared" si="43"/>
        <v>2.8377217641603329E-2</v>
      </c>
      <c r="K57" s="25">
        <f t="shared" si="43"/>
        <v>2.8377217641603329E-2</v>
      </c>
      <c r="L57" s="25">
        <f t="shared" si="43"/>
        <v>2.8377217641603329E-2</v>
      </c>
    </row>
    <row r="58" spans="2:12" ht="18.75" x14ac:dyDescent="0.25">
      <c r="B58" s="8" t="s">
        <v>32</v>
      </c>
      <c r="C58" s="4">
        <v>1020.08</v>
      </c>
      <c r="D58" s="4">
        <v>1141.73</v>
      </c>
      <c r="E58" s="4">
        <v>638.59</v>
      </c>
      <c r="F58" s="5">
        <v>136.27000000000001</v>
      </c>
      <c r="G58" s="5">
        <v>353.39</v>
      </c>
      <c r="H58" s="24">
        <f>ROUND(H74*H59,2)</f>
        <v>357.65</v>
      </c>
      <c r="I58" s="24">
        <f t="shared" ref="I58:L58" si="44">ROUND(I74*I59,2)</f>
        <v>397.22</v>
      </c>
      <c r="J58" s="24">
        <f t="shared" si="44"/>
        <v>436</v>
      </c>
      <c r="K58" s="24">
        <f t="shared" si="44"/>
        <v>481.26</v>
      </c>
      <c r="L58" s="24">
        <f t="shared" si="44"/>
        <v>513.80999999999995</v>
      </c>
    </row>
    <row r="59" spans="2:12" x14ac:dyDescent="0.25">
      <c r="B59" s="17" t="s">
        <v>229</v>
      </c>
      <c r="C59" s="18">
        <f>C58/Balance_Sheet!C74</f>
        <v>8.0011464273015993E-3</v>
      </c>
      <c r="D59" s="18">
        <f>D58/Balance_Sheet!D74</f>
        <v>8.925886658259545E-3</v>
      </c>
      <c r="E59" s="18">
        <f>E58/Balance_Sheet!E74</f>
        <v>4.5842535300519398E-3</v>
      </c>
      <c r="F59" s="18">
        <f>F58/Balance_Sheet!F74</f>
        <v>9.5258778893127509E-4</v>
      </c>
      <c r="G59" s="18">
        <f>G58/Balance_Sheet!G74</f>
        <v>2.0229493011702311E-3</v>
      </c>
      <c r="H59" s="25">
        <f>G59</f>
        <v>2.0229493011702311E-3</v>
      </c>
      <c r="I59" s="25">
        <f t="shared" ref="I59:L59" si="45">H59</f>
        <v>2.0229493011702311E-3</v>
      </c>
      <c r="J59" s="25">
        <f t="shared" si="45"/>
        <v>2.0229493011702311E-3</v>
      </c>
      <c r="K59" s="25">
        <f t="shared" si="45"/>
        <v>2.0229493011702311E-3</v>
      </c>
      <c r="L59" s="25">
        <f t="shared" si="45"/>
        <v>2.0229493011702311E-3</v>
      </c>
    </row>
    <row r="60" spans="2:12" ht="18.75" x14ac:dyDescent="0.25">
      <c r="B60" s="8" t="s">
        <v>33</v>
      </c>
      <c r="C60" s="5">
        <v>13135.43</v>
      </c>
      <c r="D60" s="5">
        <v>14294.68</v>
      </c>
      <c r="E60" s="5">
        <v>15398.3</v>
      </c>
      <c r="F60" s="5">
        <v>17646.439999999999</v>
      </c>
      <c r="G60" s="5">
        <v>20907.830000000002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0.10302966317893719</v>
      </c>
      <c r="D61" s="18">
        <f>D60/Balance_Sheet!D74</f>
        <v>0.11175382401801613</v>
      </c>
      <c r="E61" s="18">
        <f>E60/Balance_Sheet!E74</f>
        <v>0.11053995698617075</v>
      </c>
      <c r="F61" s="18">
        <f>F60/Balance_Sheet!F74</f>
        <v>0.1233564486835577</v>
      </c>
      <c r="G61" s="18">
        <f>G60/Balance_Sheet!G74</f>
        <v>0.11968499416363224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3.69</v>
      </c>
      <c r="D62" s="4">
        <v>502.33</v>
      </c>
      <c r="E62" s="4">
        <v>502.65</v>
      </c>
      <c r="F62" s="4">
        <v>501.28</v>
      </c>
      <c r="G62" s="4">
        <v>0.21</v>
      </c>
      <c r="H62" s="26">
        <f>ROUND(H74*H63,2)</f>
        <v>0.21</v>
      </c>
      <c r="I62" s="26">
        <f t="shared" ref="I62:L62" si="46">ROUND(I74*I63,2)</f>
        <v>0.24</v>
      </c>
      <c r="J62" s="26">
        <f t="shared" si="46"/>
        <v>0.26</v>
      </c>
      <c r="K62" s="26">
        <f t="shared" si="46"/>
        <v>0.28999999999999998</v>
      </c>
      <c r="L62" s="26">
        <f t="shared" si="46"/>
        <v>0.31</v>
      </c>
    </row>
    <row r="63" spans="2:12" x14ac:dyDescent="0.25">
      <c r="B63" s="17" t="s">
        <v>231</v>
      </c>
      <c r="C63" s="18">
        <f>C62/Balance_Sheet!C74</f>
        <v>2.8943053796508999E-5</v>
      </c>
      <c r="D63" s="18">
        <f>D62/Balance_Sheet!D74</f>
        <v>3.9271462123650226E-3</v>
      </c>
      <c r="E63" s="18">
        <f>E62/Balance_Sheet!E74</f>
        <v>3.6083794561152026E-3</v>
      </c>
      <c r="F63" s="18">
        <f>F62/Balance_Sheet!F74</f>
        <v>3.5041697133299295E-3</v>
      </c>
      <c r="G63" s="18">
        <f>G62/Balance_Sheet!G74</f>
        <v>1.2021261304670436E-6</v>
      </c>
      <c r="H63" s="25">
        <f>G63</f>
        <v>1.2021261304670436E-6</v>
      </c>
      <c r="I63" s="25">
        <f t="shared" ref="I63:L63" si="47">H63</f>
        <v>1.2021261304670436E-6</v>
      </c>
      <c r="J63" s="25">
        <f t="shared" si="47"/>
        <v>1.2021261304670436E-6</v>
      </c>
      <c r="K63" s="25">
        <f t="shared" si="47"/>
        <v>1.2021261304670436E-6</v>
      </c>
      <c r="L63" s="25">
        <f t="shared" si="47"/>
        <v>1.2021261304670436E-6</v>
      </c>
    </row>
    <row r="64" spans="2:12" ht="18.75" x14ac:dyDescent="0.25">
      <c r="B64" s="8" t="s">
        <v>41</v>
      </c>
      <c r="C64" s="5">
        <v>21996.94</v>
      </c>
      <c r="D64" s="5">
        <v>24860.66</v>
      </c>
      <c r="E64" s="5">
        <v>33610.04</v>
      </c>
      <c r="F64" s="5">
        <v>34710.1</v>
      </c>
      <c r="G64" s="5">
        <v>37940.519999999997</v>
      </c>
      <c r="H64" s="24">
        <f>H74*H65</f>
        <v>38397.569682951449</v>
      </c>
      <c r="I64" s="24">
        <f t="shared" ref="I64:L64" si="48">I74*I65</f>
        <v>42646.491262793053</v>
      </c>
      <c r="J64" s="24">
        <f t="shared" si="48"/>
        <v>46809.202196833299</v>
      </c>
      <c r="K64" s="24">
        <f t="shared" si="48"/>
        <v>51668.440872153136</v>
      </c>
      <c r="L64" s="24">
        <f t="shared" si="48"/>
        <v>55163.381533151667</v>
      </c>
    </row>
    <row r="65" spans="2:12" x14ac:dyDescent="0.25">
      <c r="B65" s="17" t="s">
        <v>232</v>
      </c>
      <c r="C65" s="18">
        <f>C64/Balance_Sheet!C74</f>
        <v>0.17253621078010317</v>
      </c>
      <c r="D65" s="18">
        <f>D64/Balance_Sheet!D74</f>
        <v>0.19435718901099799</v>
      </c>
      <c r="E65" s="18">
        <f>E64/Balance_Sheet!E74</f>
        <v>0.24127678873015063</v>
      </c>
      <c r="F65" s="18">
        <f>F64/Balance_Sheet!F74</f>
        <v>0.24263900647672598</v>
      </c>
      <c r="G65" s="18">
        <f>G64/Balance_Sheet!G74</f>
        <v>0.21718709759765464</v>
      </c>
      <c r="H65" s="25">
        <f>MEDIAN(C65:G65)</f>
        <v>0.21718709759765464</v>
      </c>
      <c r="I65" s="25">
        <f t="shared" ref="I65:L65" si="49">H65</f>
        <v>0.21718709759765464</v>
      </c>
      <c r="J65" s="25">
        <f t="shared" si="49"/>
        <v>0.21718709759765464</v>
      </c>
      <c r="K65" s="25">
        <f t="shared" si="49"/>
        <v>0.21718709759765464</v>
      </c>
      <c r="L65" s="25">
        <f t="shared" si="49"/>
        <v>0.21718709759765464</v>
      </c>
    </row>
    <row r="66" spans="2:12" ht="18.75" x14ac:dyDescent="0.25">
      <c r="B66" s="8" t="s">
        <v>37</v>
      </c>
      <c r="C66" s="5">
        <v>6443.85</v>
      </c>
      <c r="D66" s="5">
        <v>5583.93</v>
      </c>
      <c r="E66" s="5">
        <v>6617.98</v>
      </c>
      <c r="F66" s="5">
        <v>8947.4699999999993</v>
      </c>
      <c r="G66" s="5">
        <v>7075.68</v>
      </c>
      <c r="H66" s="24">
        <f>H74*H67</f>
        <v>8399.2726777067983</v>
      </c>
      <c r="I66" s="24">
        <f t="shared" ref="I66:L66" si="50">I74*I67</f>
        <v>9328.7026189753942</v>
      </c>
      <c r="J66" s="24">
        <f t="shared" si="50"/>
        <v>10239.27442084127</v>
      </c>
      <c r="K66" s="24">
        <f t="shared" si="50"/>
        <v>11302.208116308759</v>
      </c>
      <c r="L66" s="24">
        <f t="shared" si="50"/>
        <v>12066.708574189695</v>
      </c>
    </row>
    <row r="67" spans="2:12" x14ac:dyDescent="0.25">
      <c r="B67" s="17" t="s">
        <v>233</v>
      </c>
      <c r="C67" s="18">
        <f>C66/Balance_Sheet!C74</f>
        <v>5.0543278375781715E-2</v>
      </c>
      <c r="D67" s="18">
        <f>D66/Balance_Sheet!D74</f>
        <v>4.3654389643484205E-2</v>
      </c>
      <c r="E67" s="18">
        <f>E66/Balance_Sheet!E74</f>
        <v>4.7508570721140529E-2</v>
      </c>
      <c r="F67" s="18">
        <f>F66/Balance_Sheet!F74</f>
        <v>6.2546786995148707E-2</v>
      </c>
      <c r="G67" s="18">
        <f>G66/Balance_Sheet!G74</f>
        <v>4.0504094375347861E-2</v>
      </c>
      <c r="H67" s="25">
        <f>MEDIAN(C67:G67)</f>
        <v>4.7508570721140529E-2</v>
      </c>
      <c r="I67" s="25">
        <f t="shared" ref="I67:L67" si="51">H67</f>
        <v>4.7508570721140529E-2</v>
      </c>
      <c r="J67" s="25">
        <f t="shared" si="51"/>
        <v>4.7508570721140529E-2</v>
      </c>
      <c r="K67" s="25">
        <f t="shared" si="51"/>
        <v>4.7508570721140529E-2</v>
      </c>
      <c r="L67" s="25">
        <f t="shared" si="51"/>
        <v>4.7508570721140529E-2</v>
      </c>
    </row>
    <row r="68" spans="2:12" ht="18.75" x14ac:dyDescent="0.25">
      <c r="B68" s="8" t="s">
        <v>38</v>
      </c>
      <c r="C68" s="5">
        <v>8689.16</v>
      </c>
      <c r="D68" s="5">
        <v>5498.55</v>
      </c>
      <c r="E68" s="5">
        <v>14408.22</v>
      </c>
      <c r="F68" s="5">
        <v>19623.12</v>
      </c>
      <c r="G68" s="5">
        <v>11367.68</v>
      </c>
      <c r="H68" s="24">
        <f>H69*H74</f>
        <v>18751.13809559336</v>
      </c>
      <c r="I68" s="24">
        <f t="shared" ref="I68:L68" si="52">I69*I74</f>
        <v>20826.064085931001</v>
      </c>
      <c r="J68" s="24">
        <f t="shared" si="52"/>
        <v>22858.889814765651</v>
      </c>
      <c r="K68" s="24">
        <f t="shared" si="52"/>
        <v>25231.859150916789</v>
      </c>
      <c r="L68" s="24">
        <f t="shared" si="52"/>
        <v>26938.58474608864</v>
      </c>
    </row>
    <row r="69" spans="2:12" x14ac:dyDescent="0.25">
      <c r="B69" s="17" t="s">
        <v>234</v>
      </c>
      <c r="C69" s="18">
        <f>C68/Balance_Sheet!C74</f>
        <v>6.8154695210426594E-2</v>
      </c>
      <c r="D69" s="18">
        <f>D68/Balance_Sheet!D74</f>
        <v>4.2986900654947334E-2</v>
      </c>
      <c r="E69" s="18">
        <f>E68/Balance_Sheet!E74</f>
        <v>0.10343245806662327</v>
      </c>
      <c r="F69" s="18">
        <f>F68/Balance_Sheet!F74</f>
        <v>0.13717431931263727</v>
      </c>
      <c r="G69" s="18">
        <f>G68/Balance_Sheet!G74</f>
        <v>6.5073262718036207E-2</v>
      </c>
      <c r="H69" s="25">
        <f>GROWTH(C69:G69,C4:G4,H4)</f>
        <v>0.10606153705199031</v>
      </c>
      <c r="I69" s="25">
        <f t="shared" ref="I69:L69" si="53">H69</f>
        <v>0.10606153705199031</v>
      </c>
      <c r="J69" s="25">
        <f t="shared" si="53"/>
        <v>0.10606153705199031</v>
      </c>
      <c r="K69" s="25">
        <f t="shared" si="53"/>
        <v>0.10606153705199031</v>
      </c>
      <c r="L69" s="25">
        <f t="shared" si="53"/>
        <v>0.10606153705199031</v>
      </c>
    </row>
    <row r="70" spans="2:12" ht="18.75" x14ac:dyDescent="0.25">
      <c r="B70" s="8" t="s">
        <v>39</v>
      </c>
      <c r="C70" s="5">
        <v>31475.07</v>
      </c>
      <c r="D70" s="5">
        <f>CashFlow_Statement!D48+C70</f>
        <v>33843.392472991327</v>
      </c>
      <c r="E70" s="5">
        <f>CashFlow_Statement!E48+D70</f>
        <v>28823.719832269751</v>
      </c>
      <c r="F70" s="5">
        <f>CashFlow_Statement!F48+E70</f>
        <v>13885.142104849579</v>
      </c>
      <c r="G70" s="5">
        <f>CashFlow_Statement!G48+F70</f>
        <v>38665.397693177365</v>
      </c>
      <c r="H70" s="24">
        <f>CashFlow_Statement!H48+G70</f>
        <v>92425.565765749023</v>
      </c>
      <c r="I70" s="24">
        <f>CashFlow_Statement!I48+H70</f>
        <v>130585.14270940865</v>
      </c>
      <c r="J70" s="24">
        <f>CashFlow_Statement!J48+I70</f>
        <v>166394.92839107767</v>
      </c>
      <c r="K70" s="24">
        <f>CashFlow_Statement!K48+J70</f>
        <v>200345.14047756922</v>
      </c>
      <c r="L70" s="24">
        <f>CashFlow_Statement!L48+K70</f>
        <v>233020.35816506261</v>
      </c>
    </row>
    <row r="71" spans="2:12" x14ac:dyDescent="0.25">
      <c r="B71" s="17" t="s">
        <v>235</v>
      </c>
      <c r="C71" s="18">
        <f>C70/Balance_Sheet!C74</f>
        <v>0.24687930738723213</v>
      </c>
      <c r="D71" s="18">
        <f>D70/Balance_Sheet!D74</f>
        <v>0.26458294460591802</v>
      </c>
      <c r="E71" s="18">
        <f>E70/Balance_Sheet!E74</f>
        <v>0.2069171759506267</v>
      </c>
      <c r="F71" s="18">
        <f>F70/Balance_Sheet!F74</f>
        <v>9.7063306792802603E-2</v>
      </c>
      <c r="G71" s="18">
        <f>G70/Balance_Sheet!G74</f>
        <v>0.22133659481842219</v>
      </c>
      <c r="H71" s="25">
        <f>H70/Balance_Sheet!H74</f>
        <v>0.52278413811686875</v>
      </c>
      <c r="I71" s="25">
        <f>I70/Balance_Sheet!I74</f>
        <v>0.66503497227158559</v>
      </c>
      <c r="J71" s="25">
        <f>J70/Balance_Sheet!J74</f>
        <v>0.7720454495307032</v>
      </c>
      <c r="K71" s="25">
        <f>K70/Balance_Sheet!K74</f>
        <v>0.84214616976315204</v>
      </c>
      <c r="L71" s="25">
        <f>L70/Balance_Sheet!L74</f>
        <v>0.91743859539541239</v>
      </c>
    </row>
    <row r="72" spans="2:12" ht="18.75" x14ac:dyDescent="0.25">
      <c r="B72" s="9" t="s">
        <v>42</v>
      </c>
      <c r="C72" s="7">
        <f>C56+C58+C60+C62+C64+C66+C68+C70</f>
        <v>88119.26999999999</v>
      </c>
      <c r="D72" s="7">
        <f t="shared" ref="D72:L72" si="54">D56+D58+D60+D62+D64+D66+D68+D70</f>
        <v>89994.432472991321</v>
      </c>
      <c r="E72" s="7">
        <f t="shared" si="54"/>
        <v>103617.50983226976</v>
      </c>
      <c r="F72" s="7">
        <f t="shared" si="54"/>
        <v>99509.252104849569</v>
      </c>
      <c r="G72" s="7">
        <f t="shared" si="54"/>
        <v>120448.79769317736</v>
      </c>
      <c r="H72" s="27">
        <f t="shared" si="54"/>
        <v>163348.35337887221</v>
      </c>
      <c r="I72" s="27">
        <f t="shared" si="54"/>
        <v>209355.96315281282</v>
      </c>
      <c r="J72" s="27">
        <f t="shared" si="54"/>
        <v>252854.54851311585</v>
      </c>
      <c r="K72" s="27">
        <f t="shared" si="54"/>
        <v>295780.09039665939</v>
      </c>
      <c r="L72" s="27">
        <f t="shared" si="54"/>
        <v>334910.6865272877</v>
      </c>
    </row>
    <row r="73" spans="2:12" x14ac:dyDescent="0.25">
      <c r="B73" s="19" t="s">
        <v>236</v>
      </c>
      <c r="C73" s="20">
        <f>C72/Balance_Sheet!C74</f>
        <v>0.6911763610078866</v>
      </c>
      <c r="D73" s="20">
        <f>D72/Balance_Sheet!D74</f>
        <v>0.70356398108862228</v>
      </c>
      <c r="E73" s="20">
        <f>E72/Balance_Sheet!E74</f>
        <v>0.74384023430334678</v>
      </c>
      <c r="F73" s="20">
        <f>F72/Balance_Sheet!F74</f>
        <v>0.69561384340473675</v>
      </c>
      <c r="G73" s="20">
        <f>G72/Balance_Sheet!G74</f>
        <v>0.68949831947765272</v>
      </c>
      <c r="H73" s="28">
        <f>H72/Balance_Sheet!H74</f>
        <v>0.92394271462095123</v>
      </c>
      <c r="I73" s="28">
        <f>I72/Balance_Sheet!I74</f>
        <v>1.0661935520493981</v>
      </c>
      <c r="J73" s="28">
        <f>J72/Balance_Sheet!J74</f>
        <v>1.173204048105827</v>
      </c>
      <c r="K73" s="28">
        <f>K72/Balance_Sheet!K74</f>
        <v>1.2433047770761072</v>
      </c>
      <c r="L73" s="28">
        <f>L72/Balance_Sheet!L74</f>
        <v>1.31859719146452</v>
      </c>
    </row>
    <row r="74" spans="2:12" ht="18.75" x14ac:dyDescent="0.25">
      <c r="B74" s="9" t="s">
        <v>43</v>
      </c>
      <c r="C74" s="7">
        <f>C54+C72</f>
        <v>127491.72999999998</v>
      </c>
      <c r="D74" s="7">
        <f t="shared" ref="D74:G74" si="55">D54+D72</f>
        <v>127912.22247299133</v>
      </c>
      <c r="E74" s="7">
        <f t="shared" si="55"/>
        <v>139300.75983226974</v>
      </c>
      <c r="F74" s="7">
        <f t="shared" si="55"/>
        <v>143052.43210484958</v>
      </c>
      <c r="G74" s="7">
        <f t="shared" si="55"/>
        <v>174690.48769317736</v>
      </c>
      <c r="H74" s="27">
        <f>Income_Statement!H5/H80</f>
        <v>176794.89301009977</v>
      </c>
      <c r="I74" s="27">
        <f>Income_Statement!I5/I80</f>
        <v>196358.30919291949</v>
      </c>
      <c r="J74" s="27">
        <f>Income_Statement!J5/J80</f>
        <v>215524.78353731995</v>
      </c>
      <c r="K74" s="27">
        <f>Income_Statement!K5/K80</f>
        <v>237898.29802813797</v>
      </c>
      <c r="L74" s="27">
        <f>Income_Statement!L5/L80</f>
        <v>253990.1409582968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8">
        <f>H74/Balance_Sheet!H74</f>
        <v>1</v>
      </c>
      <c r="I75" s="28">
        <f>I74/Balance_Sheet!I74</f>
        <v>1</v>
      </c>
      <c r="J75" s="28">
        <f>J74/Balance_Sheet!J74</f>
        <v>1</v>
      </c>
      <c r="K75" s="28">
        <f>K74/Balance_Sheet!K74</f>
        <v>1</v>
      </c>
      <c r="L75" s="28">
        <f>L74/Balance_Sheet!L74</f>
        <v>1</v>
      </c>
    </row>
    <row r="80" spans="2:12" x14ac:dyDescent="0.25">
      <c r="B80" t="s">
        <v>265</v>
      </c>
      <c r="C80">
        <f>Income_Statement!C5/C74</f>
        <v>0.99741504801919323</v>
      </c>
      <c r="D80">
        <f>Income_Statement!D5/D74</f>
        <v>1.0992147371193424</v>
      </c>
      <c r="E80">
        <f>Income_Statement!E5/E74</f>
        <v>0.96897626518711488</v>
      </c>
      <c r="F80">
        <f>Income_Statement!F5/F74</f>
        <v>0.88629132783336906</v>
      </c>
      <c r="G80">
        <f>Income_Statement!G5/G74</f>
        <v>0.62804507245236185</v>
      </c>
      <c r="H80">
        <f>GROWTH(C80:G80,C4:G4,H4)</f>
        <v>0.63941807268800188</v>
      </c>
      <c r="I80">
        <f t="shared" ref="I80:L80" si="56">GROWTH(D80:H80,D4:H4,I4)</f>
        <v>0.52248557058320022</v>
      </c>
      <c r="J80">
        <f t="shared" si="56"/>
        <v>0.44429062704161182</v>
      </c>
      <c r="K80">
        <f t="shared" si="56"/>
        <v>0.37975034036558114</v>
      </c>
      <c r="L80">
        <f t="shared" si="56"/>
        <v>0.33983817087234564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7D8D2266-4E1B-4688-8B54-B3B712E43B9C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394DA-6445-4423-B575-9D3E4E265945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5" width="14.85546875" bestFit="1" customWidth="1"/>
    <col min="6" max="7" width="16.5703125" bestFit="1" customWidth="1"/>
    <col min="8" max="8" width="19.85546875" bestFit="1" customWidth="1"/>
    <col min="9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143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21447.312472991332</v>
      </c>
      <c r="E5" s="5">
        <f>Income_Statement!E45</f>
        <v>16531.21735927842</v>
      </c>
      <c r="F5" s="5">
        <f>Income_Statement!F45</f>
        <v>9670.4122725798225</v>
      </c>
      <c r="G5" s="5">
        <f>Income_Statement!G45</f>
        <v>26037.955588327783</v>
      </c>
      <c r="H5" s="24">
        <f>Income_Statement!H45</f>
        <v>46856.705259812908</v>
      </c>
      <c r="I5" s="24">
        <f>Income_Statement!I45</f>
        <v>41105.223072382345</v>
      </c>
      <c r="J5" s="24">
        <f>Income_Statement!J45</f>
        <v>37090.199905453192</v>
      </c>
      <c r="K5" s="24">
        <f>Income_Statement!K45</f>
        <v>33627.166120471848</v>
      </c>
      <c r="L5" s="24">
        <f>Income_Statement!L45</f>
        <v>31073.220785663168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6"/>
      <c r="I6" s="26"/>
      <c r="J6" s="26"/>
      <c r="K6" s="26"/>
      <c r="L6" s="26"/>
    </row>
    <row r="7" spans="2:15" ht="18.75" x14ac:dyDescent="0.25">
      <c r="B7" s="8" t="s">
        <v>125</v>
      </c>
      <c r="C7" s="4"/>
      <c r="D7" s="5">
        <f>Income_Statement!D31</f>
        <v>3450.36</v>
      </c>
      <c r="E7" s="5">
        <f>Income_Statement!E31</f>
        <v>3450.84</v>
      </c>
      <c r="F7" s="5">
        <f>Income_Statement!F31</f>
        <v>3708.92</v>
      </c>
      <c r="G7" s="5">
        <f>Income_Statement!G31</f>
        <v>4428.67</v>
      </c>
      <c r="H7" s="24">
        <f>Income_Statement!H31</f>
        <v>6440.9312968994518</v>
      </c>
      <c r="I7" s="24">
        <f>Income_Statement!I31</f>
        <v>7153.6584569234128</v>
      </c>
      <c r="J7" s="24">
        <f>Income_Statement!J31</f>
        <v>7851.925192167133</v>
      </c>
      <c r="K7" s="24">
        <f>Income_Statement!K31</f>
        <v>8667.0290829490732</v>
      </c>
      <c r="L7" s="24">
        <f>Income_Statement!L31</f>
        <v>9253.282009129367</v>
      </c>
    </row>
    <row r="8" spans="2:15" ht="18.75" x14ac:dyDescent="0.25">
      <c r="B8" s="8" t="s">
        <v>131</v>
      </c>
      <c r="C8" s="4"/>
      <c r="D8" s="4">
        <f>Income_Statement!D35</f>
        <v>275.04000000000002</v>
      </c>
      <c r="E8" s="4">
        <f>Income_Statement!E35</f>
        <v>502.92</v>
      </c>
      <c r="F8" s="4">
        <f>Income_Statement!F35</f>
        <v>644.69000000000005</v>
      </c>
      <c r="G8" s="4">
        <f>Income_Statement!G35</f>
        <v>541.49</v>
      </c>
      <c r="H8" s="26">
        <f>Income_Statement!H35</f>
        <v>548.01293099850034</v>
      </c>
      <c r="I8" s="26">
        <f>Income_Statement!I35</f>
        <v>608.65358767029534</v>
      </c>
      <c r="J8" s="26">
        <f>Income_Statement!J35</f>
        <v>668.06429603133392</v>
      </c>
      <c r="K8" s="26">
        <f>Income_Statement!K35</f>
        <v>737.41577252364846</v>
      </c>
      <c r="L8" s="26">
        <f>Income_Statement!L35</f>
        <v>787.29569552366297</v>
      </c>
    </row>
    <row r="9" spans="2:15" ht="18.75" x14ac:dyDescent="0.25">
      <c r="B9" s="8" t="s">
        <v>59</v>
      </c>
      <c r="C9" s="4"/>
      <c r="D9" s="5">
        <f>Income_Statement!D11</f>
        <v>5873.73</v>
      </c>
      <c r="E9" s="5">
        <f>Income_Statement!E11</f>
        <v>6105.4</v>
      </c>
      <c r="F9" s="5">
        <f>Income_Statement!F11</f>
        <v>3792.38</v>
      </c>
      <c r="G9" s="5">
        <f>Income_Statement!G11</f>
        <v>3904.52</v>
      </c>
      <c r="H9" s="24">
        <f>Income_Statement!H11</f>
        <v>4141.1981472599464</v>
      </c>
      <c r="I9" s="24">
        <f>Income_Statement!I11</f>
        <v>3758.3305414601577</v>
      </c>
      <c r="J9" s="24">
        <f>Income_Statement!J11</f>
        <v>3507.8075390793783</v>
      </c>
      <c r="K9" s="24">
        <f>Income_Statement!K11</f>
        <v>3309.4886432825365</v>
      </c>
      <c r="L9" s="24">
        <f>Income_Statement!L11</f>
        <v>3161.9893654310522</v>
      </c>
    </row>
    <row r="10" spans="2:15" ht="18.75" x14ac:dyDescent="0.25">
      <c r="B10" s="9" t="s">
        <v>132</v>
      </c>
      <c r="C10" s="6"/>
      <c r="D10" s="7">
        <f>D7+D8-D9</f>
        <v>-2148.3299999999995</v>
      </c>
      <c r="E10" s="7">
        <f t="shared" ref="E10:L10" si="0">E7+E8-E9</f>
        <v>-2151.6399999999994</v>
      </c>
      <c r="F10" s="7">
        <f t="shared" si="0"/>
        <v>561.23000000000047</v>
      </c>
      <c r="G10" s="7">
        <f t="shared" si="0"/>
        <v>1065.6399999999999</v>
      </c>
      <c r="H10" s="27">
        <f t="shared" si="0"/>
        <v>2847.7460806380059</v>
      </c>
      <c r="I10" s="27">
        <f t="shared" si="0"/>
        <v>4003.9815031335506</v>
      </c>
      <c r="J10" s="27">
        <f t="shared" si="0"/>
        <v>5012.181949119089</v>
      </c>
      <c r="K10" s="27">
        <f t="shared" si="0"/>
        <v>6094.9562121901854</v>
      </c>
      <c r="L10" s="27">
        <f t="shared" si="0"/>
        <v>6878.5883392219766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6"/>
      <c r="I11" s="26"/>
      <c r="J11" s="26"/>
      <c r="K11" s="26"/>
      <c r="L11" s="26"/>
    </row>
    <row r="12" spans="2:15" ht="18.75" x14ac:dyDescent="0.25">
      <c r="B12" s="8" t="str">
        <f>Balance_Sheet!B56</f>
        <v>Deferred Tax Assets [Net]</v>
      </c>
      <c r="C12" s="4"/>
      <c r="D12" s="5">
        <f>Balance_Sheet!C56-Balance_Sheet!D56</f>
        <v>1085.8900000000003</v>
      </c>
      <c r="E12" s="5">
        <f>Balance_Sheet!D56-Balance_Sheet!E56</f>
        <v>651.14999999999964</v>
      </c>
      <c r="F12" s="5">
        <f>Balance_Sheet!E56-Balance_Sheet!F56</f>
        <v>-441.41999999999962</v>
      </c>
      <c r="G12" s="5">
        <f>Balance_Sheet!F56-Balance_Sheet!G56</f>
        <v>-78.660000000000309</v>
      </c>
      <c r="H12" s="24">
        <f>Balance_Sheet!G56-Balance_Sheet!H56</f>
        <v>-878.85715687157608</v>
      </c>
      <c r="I12" s="24">
        <f>Balance_Sheet!H56-Balance_Sheet!I56</f>
        <v>-555.15531883313997</v>
      </c>
      <c r="J12" s="24">
        <f>Balance_Sheet!I56-Balance_Sheet!J56</f>
        <v>-543.89121389325828</v>
      </c>
      <c r="K12" s="24">
        <f>Balance_Sheet!J56-Balance_Sheet!K56</f>
        <v>-634.89809011350917</v>
      </c>
      <c r="L12" s="24">
        <f>Balance_Sheet!K56-Balance_Sheet!L56</f>
        <v>-456.64172908361252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-121.64999999999998</v>
      </c>
      <c r="E13" s="4">
        <f>Balance_Sheet!D58-Balance_Sheet!E58</f>
        <v>503.14</v>
      </c>
      <c r="F13" s="4">
        <f>Balance_Sheet!E58-Balance_Sheet!F58</f>
        <v>502.32000000000005</v>
      </c>
      <c r="G13" s="4">
        <f>Balance_Sheet!F58-Balance_Sheet!G58</f>
        <v>-217.11999999999998</v>
      </c>
      <c r="H13" s="26">
        <f>Balance_Sheet!G58-Balance_Sheet!H58</f>
        <v>-4.2599999999999909</v>
      </c>
      <c r="I13" s="26">
        <f>Balance_Sheet!H58-Balance_Sheet!I58</f>
        <v>-39.57000000000005</v>
      </c>
      <c r="J13" s="26">
        <f>Balance_Sheet!I58-Balance_Sheet!J58</f>
        <v>-38.779999999999973</v>
      </c>
      <c r="K13" s="26">
        <f>Balance_Sheet!J58-Balance_Sheet!K58</f>
        <v>-45.259999999999991</v>
      </c>
      <c r="L13" s="26">
        <f>Balance_Sheet!K58-Balance_Sheet!L58</f>
        <v>-32.549999999999955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-1159.25</v>
      </c>
      <c r="E14" s="5">
        <f>Balance_Sheet!D60-Balance_Sheet!E60</f>
        <v>-1103.619999999999</v>
      </c>
      <c r="F14" s="5">
        <f>Balance_Sheet!E60-Balance_Sheet!F60</f>
        <v>-2248.1399999999994</v>
      </c>
      <c r="G14" s="5">
        <f>Balance_Sheet!F60-Balance_Sheet!G60</f>
        <v>-3261.3900000000031</v>
      </c>
      <c r="H14" s="24">
        <f>Balance_Sheet!G60-Balance_Sheet!H60</f>
        <v>20907.830000000002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-498.64</v>
      </c>
      <c r="E15" s="4">
        <f>Balance_Sheet!D62-Balance_Sheet!E62</f>
        <v>-0.31999999999999318</v>
      </c>
      <c r="F15" s="4">
        <f>Balance_Sheet!E62-Balance_Sheet!F62</f>
        <v>1.3700000000000045</v>
      </c>
      <c r="G15" s="4">
        <f>Balance_Sheet!F62-Balance_Sheet!G62</f>
        <v>501.07</v>
      </c>
      <c r="H15" s="26">
        <f>Balance_Sheet!G62-Balance_Sheet!H62</f>
        <v>0</v>
      </c>
      <c r="I15" s="26">
        <f>Balance_Sheet!H62-Balance_Sheet!I62</f>
        <v>-0.03</v>
      </c>
      <c r="J15" s="26">
        <f>Balance_Sheet!I62-Balance_Sheet!J62</f>
        <v>-2.0000000000000018E-2</v>
      </c>
      <c r="K15" s="26">
        <f>Balance_Sheet!J62-Balance_Sheet!K62</f>
        <v>-2.9999999999999971E-2</v>
      </c>
      <c r="L15" s="26">
        <f>Balance_Sheet!K62-Balance_Sheet!L62</f>
        <v>-2.0000000000000018E-2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-2863.7200000000012</v>
      </c>
      <c r="E16" s="5">
        <f>Balance_Sheet!D64-Balance_Sheet!E64</f>
        <v>-8749.380000000001</v>
      </c>
      <c r="F16" s="5">
        <f>Balance_Sheet!E64-Balance_Sheet!F64</f>
        <v>-1100.0599999999977</v>
      </c>
      <c r="G16" s="5">
        <f>Balance_Sheet!F64-Balance_Sheet!G64</f>
        <v>-3230.4199999999983</v>
      </c>
      <c r="H16" s="24">
        <f>Balance_Sheet!G64-Balance_Sheet!H64</f>
        <v>-457.04968295145227</v>
      </c>
      <c r="I16" s="24">
        <f>Balance_Sheet!H64-Balance_Sheet!I64</f>
        <v>-4248.9215798416044</v>
      </c>
      <c r="J16" s="24">
        <f>Balance_Sheet!I64-Balance_Sheet!J64</f>
        <v>-4162.7109340402458</v>
      </c>
      <c r="K16" s="24">
        <f>Balance_Sheet!J64-Balance_Sheet!K64</f>
        <v>-4859.2386753198371</v>
      </c>
      <c r="L16" s="24">
        <f>Balance_Sheet!K64-Balance_Sheet!L64</f>
        <v>-3494.9406609985308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859.92000000000007</v>
      </c>
      <c r="E17" s="5">
        <f>Balance_Sheet!D66-Balance_Sheet!E66</f>
        <v>-1034.0499999999993</v>
      </c>
      <c r="F17" s="5">
        <f>Balance_Sheet!E66-Balance_Sheet!F66</f>
        <v>-2329.4899999999998</v>
      </c>
      <c r="G17" s="5">
        <f>Balance_Sheet!F66-Balance_Sheet!G66</f>
        <v>1871.7899999999991</v>
      </c>
      <c r="H17" s="24">
        <f>Balance_Sheet!G66-Balance_Sheet!H66</f>
        <v>-1323.592677706798</v>
      </c>
      <c r="I17" s="24">
        <f>Balance_Sheet!H66-Balance_Sheet!I66</f>
        <v>-929.42994126859594</v>
      </c>
      <c r="J17" s="24">
        <f>Balance_Sheet!I66-Balance_Sheet!J66</f>
        <v>-910.57180186587539</v>
      </c>
      <c r="K17" s="24">
        <f>Balance_Sheet!J66-Balance_Sheet!K66</f>
        <v>-1062.9336954674891</v>
      </c>
      <c r="L17" s="24">
        <f>Balance_Sheet!K66-Balance_Sheet!L66</f>
        <v>-764.50045788093666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3190.6099999999997</v>
      </c>
      <c r="E18" s="5">
        <f>Balance_Sheet!D68-Balance_Sheet!E68</f>
        <v>-8909.6699999999983</v>
      </c>
      <c r="F18" s="5">
        <f>Balance_Sheet!E68-Balance_Sheet!F68</f>
        <v>-5214.8999999999996</v>
      </c>
      <c r="G18" s="5">
        <f>Balance_Sheet!F68-Balance_Sheet!G68</f>
        <v>8255.4399999999987</v>
      </c>
      <c r="H18" s="24">
        <f>Balance_Sheet!G68-Balance_Sheet!H68</f>
        <v>-7383.4580955933598</v>
      </c>
      <c r="I18" s="24">
        <f>Balance_Sheet!H68-Balance_Sheet!I68</f>
        <v>-2074.9259903376405</v>
      </c>
      <c r="J18" s="24">
        <f>Balance_Sheet!I68-Balance_Sheet!J68</f>
        <v>-2032.8257288346504</v>
      </c>
      <c r="K18" s="24">
        <f>Balance_Sheet!J68-Balance_Sheet!K68</f>
        <v>-2372.9693361511381</v>
      </c>
      <c r="L18" s="24">
        <f>Balance_Sheet!K68-Balance_Sheet!L68</f>
        <v>-1706.7255951718507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6"/>
      <c r="I19" s="26"/>
      <c r="J19" s="26"/>
      <c r="K19" s="26"/>
      <c r="L19" s="26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2516.4599999999991</v>
      </c>
      <c r="E20" s="5">
        <f>Balance_Sheet!E23-Balance_Sheet!D23</f>
        <v>7803.8899999999994</v>
      </c>
      <c r="F20" s="5">
        <f>Balance_Sheet!F23-Balance_Sheet!E23</f>
        <v>2955.1600000000035</v>
      </c>
      <c r="G20" s="5">
        <f>Balance_Sheet!G23-Balance_Sheet!F23</f>
        <v>2765.3899999999994</v>
      </c>
      <c r="H20" s="24">
        <f>Balance_Sheet!H23-Balance_Sheet!G23</f>
        <v>6508.1106948426313</v>
      </c>
      <c r="I20" s="24">
        <f>Balance_Sheet!I23-Balance_Sheet!H23</f>
        <v>8017.2609667291545</v>
      </c>
      <c r="J20" s="24">
        <f>Balance_Sheet!J23-Balance_Sheet!I23</f>
        <v>7854.5906908692996</v>
      </c>
      <c r="K20" s="24">
        <f>Balance_Sheet!K23-Balance_Sheet!J23</f>
        <v>9168.8641053042811</v>
      </c>
      <c r="L20" s="24">
        <f>Balance_Sheet!L23-Balance_Sheet!K23</f>
        <v>6594.5795458768407</v>
      </c>
    </row>
    <row r="21" spans="2:12" ht="18.75" x14ac:dyDescent="0.25">
      <c r="B21" s="8" t="str">
        <f>Balance_Sheet!B25</f>
        <v>Short Term Provisions</v>
      </c>
      <c r="C21" s="4"/>
      <c r="D21" s="5">
        <f>Balance_Sheet!D25-Balance_Sheet!C25</f>
        <v>-7677.1500000000005</v>
      </c>
      <c r="E21" s="5">
        <f>Balance_Sheet!E25-Balance_Sheet!D25</f>
        <v>-355</v>
      </c>
      <c r="F21" s="5">
        <f>Balance_Sheet!F25-Balance_Sheet!E25</f>
        <v>-315.53999999999996</v>
      </c>
      <c r="G21" s="5">
        <f>Balance_Sheet!G25-Balance_Sheet!F25</f>
        <v>-371.21999999999935</v>
      </c>
      <c r="H21" s="24">
        <f>Balance_Sheet!H25-Balance_Sheet!G25</f>
        <v>2512.0495016769455</v>
      </c>
      <c r="I21" s="24">
        <f>Balance_Sheet!I25-Balance_Sheet!H25</f>
        <v>952.38628417077598</v>
      </c>
      <c r="J21" s="24">
        <f>Balance_Sheet!J25-Balance_Sheet!I25</f>
        <v>933.06236042498131</v>
      </c>
      <c r="K21" s="24">
        <f>Balance_Sheet!K25-Balance_Sheet!J25</f>
        <v>1089.1874982685131</v>
      </c>
      <c r="L21" s="24">
        <f>Balance_Sheet!L25-Balance_Sheet!K25</f>
        <v>783.38314487080606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623.98999999999978</v>
      </c>
      <c r="E22" s="5">
        <f>Balance_Sheet!E27-Balance_Sheet!D27</f>
        <v>30.199999999999818</v>
      </c>
      <c r="F22" s="5">
        <f>Balance_Sheet!F27-Balance_Sheet!E27</f>
        <v>405.28000000000065</v>
      </c>
      <c r="G22" s="5">
        <f>Balance_Sheet!G27-Balance_Sheet!F27</f>
        <v>2377.4300000000003</v>
      </c>
      <c r="H22" s="24">
        <f>Balance_Sheet!H27-Balance_Sheet!G27</f>
        <v>108.01999999999862</v>
      </c>
      <c r="I22" s="24">
        <f>Balance_Sheet!I27-Balance_Sheet!H27</f>
        <v>1004.2100000000009</v>
      </c>
      <c r="J22" s="24">
        <f>Balance_Sheet!J27-Balance_Sheet!I27</f>
        <v>983.82999999999993</v>
      </c>
      <c r="K22" s="24">
        <f>Balance_Sheet!K27-Balance_Sheet!J27</f>
        <v>1148.4599999999991</v>
      </c>
      <c r="L22" s="24">
        <f>Balance_Sheet!L27-Balance_Sheet!K27</f>
        <v>826.01000000000022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2298.58</v>
      </c>
      <c r="E23" s="5">
        <f>Balance_Sheet!E29-Balance_Sheet!D29</f>
        <v>435.44999999999982</v>
      </c>
      <c r="F23" s="5">
        <f>Balance_Sheet!F29-Balance_Sheet!E29</f>
        <v>386.67000000000007</v>
      </c>
      <c r="G23" s="5">
        <f>Balance_Sheet!G29-Balance_Sheet!F29</f>
        <v>954.15000000000055</v>
      </c>
      <c r="H23" s="24">
        <f>Balance_Sheet!H29-Balance_Sheet!G29</f>
        <v>610.84530487322263</v>
      </c>
      <c r="I23" s="24">
        <f>Balance_Sheet!I29-Balance_Sheet!H29</f>
        <v>1018.3257318609212</v>
      </c>
      <c r="J23" s="24">
        <f>Balance_Sheet!J29-Balance_Sheet!I29</f>
        <v>997.66389630330923</v>
      </c>
      <c r="K23" s="24">
        <f>Balance_Sheet!K29-Balance_Sheet!J29</f>
        <v>1164.5985192591943</v>
      </c>
      <c r="L23" s="24">
        <f>Balance_Sheet!L29-Balance_Sheet!K29</f>
        <v>837.62148572167825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141.73999999999796</v>
      </c>
      <c r="E24" s="5">
        <f>Balance_Sheet!E31-Balance_Sheet!D31</f>
        <v>-526.47999999999956</v>
      </c>
      <c r="F24" s="5">
        <f>Balance_Sheet!F31-Balance_Sheet!E31</f>
        <v>3748.8600000000006</v>
      </c>
      <c r="G24" s="5">
        <f>Balance_Sheet!G31-Balance_Sheet!F31</f>
        <v>8356.0900000000038</v>
      </c>
      <c r="H24" s="24">
        <f>Balance_Sheet!H31-Balance_Sheet!G31</f>
        <v>263.37043631718552</v>
      </c>
      <c r="I24" s="24">
        <f>Balance_Sheet!I31-Balance_Sheet!H31</f>
        <v>4755.0655398710223</v>
      </c>
      <c r="J24" s="24">
        <f>Balance_Sheet!J31-Balance_Sheet!I31</f>
        <v>4658.5852299107428</v>
      </c>
      <c r="K24" s="24">
        <f>Balance_Sheet!K31-Balance_Sheet!J31</f>
        <v>5438.0853919839283</v>
      </c>
      <c r="L24" s="24">
        <f>Balance_Sheet!L31-Balance_Sheet!K31</f>
        <v>3911.2682097624711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6"/>
      <c r="I25" s="26"/>
      <c r="J25" s="26"/>
      <c r="K25" s="26"/>
      <c r="L25" s="26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9662.4500000000007</v>
      </c>
      <c r="E26" s="5">
        <f>Income_Statement!E47</f>
        <v>7370.98</v>
      </c>
      <c r="F26" s="5">
        <f>Income_Statement!F47</f>
        <v>5307.07</v>
      </c>
      <c r="G26" s="5">
        <f>Income_Statement!G47</f>
        <v>6237.86</v>
      </c>
      <c r="H26" s="24">
        <f>Income_Statement!H47</f>
        <v>11225.365466212003</v>
      </c>
      <c r="I26" s="24">
        <f>Income_Statement!I47</f>
        <v>9847.4945901372157</v>
      </c>
      <c r="J26" s="24">
        <f>Income_Statement!J47</f>
        <v>8885.6236657053505</v>
      </c>
      <c r="K26" s="24">
        <f>Income_Statement!K47</f>
        <v>8055.9917135075611</v>
      </c>
      <c r="L26" s="24">
        <f>Income_Statement!L47</f>
        <v>7444.1482301685219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8033.312472991327</v>
      </c>
      <c r="E27" s="7">
        <f t="shared" ref="E27:L27" si="1">E12+E13+E14+E15+E16+E17+E18+E20+E21+E22+E23+E24-E26+E10+E5</f>
        <v>-4246.0926407215775</v>
      </c>
      <c r="F27" s="7">
        <f t="shared" si="1"/>
        <v>1274.6822725798302</v>
      </c>
      <c r="G27" s="7">
        <f t="shared" si="1"/>
        <v>38788.285588327781</v>
      </c>
      <c r="H27" s="27">
        <f t="shared" si="1"/>
        <v>59342.094198825711</v>
      </c>
      <c r="I27" s="27">
        <f t="shared" si="1"/>
        <v>43160.925677729574</v>
      </c>
      <c r="J27" s="27">
        <f t="shared" si="1"/>
        <v>40955.690687741233</v>
      </c>
      <c r="K27" s="27">
        <f t="shared" si="1"/>
        <v>40699.996336918412</v>
      </c>
      <c r="L27" s="27">
        <f t="shared" si="1"/>
        <v>37005.144837813488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6"/>
      <c r="I28" s="26"/>
      <c r="J28" s="26"/>
      <c r="K28" s="26"/>
      <c r="L28" s="26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-4475.760000000002</v>
      </c>
      <c r="E29" s="5">
        <f>Balance_Sheet!D40-Balance_Sheet!E40</f>
        <v>-3763.2899999999972</v>
      </c>
      <c r="F29" s="5">
        <f>Balance_Sheet!E40-Balance_Sheet!F40</f>
        <v>-5451.3000000000029</v>
      </c>
      <c r="G29" s="5">
        <f>Balance_Sheet!F40-Balance_Sheet!G40</f>
        <v>-21820.449999999997</v>
      </c>
      <c r="H29" s="24">
        <f>Balance_Sheet!G40-Balance_Sheet!H40</f>
        <v>-717.66000000000349</v>
      </c>
      <c r="I29" s="24">
        <f>Balance_Sheet!H40-Balance_Sheet!I40</f>
        <v>-6671.6399999999921</v>
      </c>
      <c r="J29" s="24">
        <f>Balance_Sheet!I40-Balance_Sheet!J40</f>
        <v>-6536.2799999999988</v>
      </c>
      <c r="K29" s="24">
        <f>Balance_Sheet!J40-Balance_Sheet!K40</f>
        <v>-7629.9600000000064</v>
      </c>
      <c r="L29" s="24">
        <f>Balance_Sheet!K40-Balance_Sheet!L40</f>
        <v>-5487.75</v>
      </c>
    </row>
    <row r="30" spans="2:12" ht="18.75" x14ac:dyDescent="0.25">
      <c r="B30" s="8" t="str">
        <f>Balance_Sheet!B42</f>
        <v>Intangible Assets</v>
      </c>
      <c r="C30" s="4"/>
      <c r="D30" s="4">
        <f>Balance_Sheet!C42-Balance_Sheet!D42</f>
        <v>-5.6499999999999986</v>
      </c>
      <c r="E30" s="4">
        <f>Balance_Sheet!D42-Balance_Sheet!E42</f>
        <v>-2.9600000000000009</v>
      </c>
      <c r="F30" s="4">
        <f>Balance_Sheet!E42-Balance_Sheet!F42</f>
        <v>-7.6199999999999974</v>
      </c>
      <c r="G30" s="4">
        <f>Balance_Sheet!F42-Balance_Sheet!G42</f>
        <v>45.76</v>
      </c>
      <c r="H30" s="26">
        <f>Balance_Sheet!G42-Balance_Sheet!H42</f>
        <v>0</v>
      </c>
      <c r="I30" s="26">
        <f>Balance_Sheet!H42-Balance_Sheet!I42</f>
        <v>0</v>
      </c>
      <c r="J30" s="26">
        <f>Balance_Sheet!I42-Balance_Sheet!J42</f>
        <v>0</v>
      </c>
      <c r="K30" s="26">
        <f>Balance_Sheet!J42-Balance_Sheet!K42</f>
        <v>0</v>
      </c>
      <c r="L30" s="26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-117.95000000000005</v>
      </c>
      <c r="E31" s="5">
        <f>Balance_Sheet!D48-Balance_Sheet!E48</f>
        <v>-452.16000000000008</v>
      </c>
      <c r="F31" s="5">
        <f>Balance_Sheet!E48-Balance_Sheet!F48</f>
        <v>-444.4699999999998</v>
      </c>
      <c r="G31" s="5">
        <f>Balance_Sheet!F48-Balance_Sheet!G48</f>
        <v>-109.32999999999993</v>
      </c>
      <c r="H31" s="24">
        <f>Balance_Sheet!G48-Balance_Sheet!H48</f>
        <v>49.618360723355636</v>
      </c>
      <c r="I31" s="24">
        <f>Balance_Sheet!H48-Balance_Sheet!I48</f>
        <v>-263.06822974474017</v>
      </c>
      <c r="J31" s="24">
        <f>Balance_Sheet!I48-Balance_Sheet!J48</f>
        <v>-257.73057369485878</v>
      </c>
      <c r="K31" s="24">
        <f>Balance_Sheet!J48-Balance_Sheet!K48</f>
        <v>-300.85547407801778</v>
      </c>
      <c r="L31" s="24">
        <f>Balance_Sheet!K48-Balance_Sheet!L48</f>
        <v>-216.38616657784269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-1544.39</v>
      </c>
      <c r="E32" s="5">
        <f>Balance_Sheet!D50-Balance_Sheet!E50</f>
        <v>1650.26</v>
      </c>
      <c r="F32" s="5">
        <f>Balance_Sheet!E50-Balance_Sheet!F50</f>
        <v>-3532.8900000000003</v>
      </c>
      <c r="G32" s="5">
        <f>Balance_Sheet!F50-Balance_Sheet!G50</f>
        <v>-3646.8199999999997</v>
      </c>
      <c r="H32" s="24">
        <f>Balance_Sheet!G50-Balance_Sheet!H50</f>
        <v>4860.6889036850589</v>
      </c>
      <c r="I32" s="24">
        <f>Balance_Sheet!H50-Balance_Sheet!I50</f>
        <v>-267.64600850021179</v>
      </c>
      <c r="J32" s="24">
        <f>Balance_Sheet!I50-Balance_Sheet!J50</f>
        <v>-262.21546929034957</v>
      </c>
      <c r="K32" s="24">
        <f>Balance_Sheet!J50-Balance_Sheet!K50</f>
        <v>-306.09080712845071</v>
      </c>
      <c r="L32" s="24">
        <f>Balance_Sheet!K50-Balance_Sheet!L50</f>
        <v>-220.15160795135716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4148.0599999999995</v>
      </c>
      <c r="E33" s="5">
        <f>Balance_Sheet!D52-Balance_Sheet!E52</f>
        <v>1351.8500000000004</v>
      </c>
      <c r="F33" s="5">
        <f>Balance_Sheet!E52-Balance_Sheet!F52</f>
        <v>-2132.5699999999997</v>
      </c>
      <c r="G33" s="5">
        <f>Balance_Sheet!F52-Balance_Sheet!G52</f>
        <v>10403.66</v>
      </c>
      <c r="H33" s="24">
        <f>Balance_Sheet!G52-Balance_Sheet!H52</f>
        <v>-12857.62101035331</v>
      </c>
      <c r="I33" s="24">
        <f>Balance_Sheet!H52-Balance_Sheet!I52</f>
        <v>-1422.7729470225095</v>
      </c>
      <c r="J33" s="24">
        <f>Balance_Sheet!I52-Balance_Sheet!J52</f>
        <v>-1393.904874904294</v>
      </c>
      <c r="K33" s="24">
        <f>Balance_Sheet!J52-Balance_Sheet!K52</f>
        <v>-1627.1407227591808</v>
      </c>
      <c r="L33" s="24">
        <f>Balance_Sheet!K52-Balance_Sheet!L52</f>
        <v>-1170.2986111838436</v>
      </c>
    </row>
    <row r="34" spans="2:12" ht="18.75" x14ac:dyDescent="0.25">
      <c r="B34" s="8" t="s">
        <v>59</v>
      </c>
      <c r="C34" s="4"/>
      <c r="D34" s="5">
        <f>Income_Statement!D11</f>
        <v>5873.73</v>
      </c>
      <c r="E34" s="5">
        <f>Income_Statement!E11</f>
        <v>6105.4</v>
      </c>
      <c r="F34" s="5">
        <f>Income_Statement!F11</f>
        <v>3792.38</v>
      </c>
      <c r="G34" s="5">
        <f>Income_Statement!G11</f>
        <v>3904.52</v>
      </c>
      <c r="H34" s="24">
        <f>Income_Statement!H11</f>
        <v>4141.1981472599464</v>
      </c>
      <c r="I34" s="24">
        <f>Income_Statement!I11</f>
        <v>3758.3305414601577</v>
      </c>
      <c r="J34" s="24">
        <f>Income_Statement!J11</f>
        <v>3507.8075390793783</v>
      </c>
      <c r="K34" s="24">
        <f>Income_Statement!K11</f>
        <v>3309.4886432825365</v>
      </c>
      <c r="L34" s="24">
        <f>Income_Statement!L11</f>
        <v>3161.9893654310522</v>
      </c>
    </row>
    <row r="35" spans="2:12" ht="18.75" x14ac:dyDescent="0.25">
      <c r="B35" s="9" t="s">
        <v>137</v>
      </c>
      <c r="C35" s="6"/>
      <c r="D35" s="7">
        <f>D29+D30+D31+D32+D33+D34</f>
        <v>3878.0399999999972</v>
      </c>
      <c r="E35" s="7">
        <f t="shared" ref="E35:L35" si="2">E29+E30+E31+E32+E33+E34</f>
        <v>4889.1000000000031</v>
      </c>
      <c r="F35" s="7">
        <f t="shared" si="2"/>
        <v>-7776.4700000000021</v>
      </c>
      <c r="G35" s="7">
        <f t="shared" si="2"/>
        <v>-11222.659999999996</v>
      </c>
      <c r="H35" s="27">
        <f t="shared" si="2"/>
        <v>-4523.7755986849525</v>
      </c>
      <c r="I35" s="27">
        <f t="shared" si="2"/>
        <v>-4866.7966438072963</v>
      </c>
      <c r="J35" s="27">
        <f t="shared" si="2"/>
        <v>-4942.3233788101224</v>
      </c>
      <c r="K35" s="27">
        <f t="shared" si="2"/>
        <v>-6554.5583606831187</v>
      </c>
      <c r="L35" s="27">
        <f t="shared" si="2"/>
        <v>-3932.5970202819904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6"/>
      <c r="I36" s="26"/>
      <c r="J36" s="26"/>
      <c r="K36" s="26"/>
      <c r="L36" s="26"/>
    </row>
    <row r="37" spans="2:12" ht="18.75" x14ac:dyDescent="0.25">
      <c r="B37" s="8" t="str">
        <f>Balance_Sheet!B5</f>
        <v>Equity Share Capital</v>
      </c>
      <c r="C37" s="4"/>
      <c r="D37" s="5">
        <f>Balance_Sheet!D5-Balance_Sheet!C5</f>
        <v>-44.680000000000291</v>
      </c>
      <c r="E37" s="5">
        <f>Balance_Sheet!E5-Balance_Sheet!D5</f>
        <v>0</v>
      </c>
      <c r="F37" s="5">
        <f>Balance_Sheet!F5-Balance_Sheet!E5</f>
        <v>0</v>
      </c>
      <c r="G37" s="5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6">
        <f>Balance_Sheet!H7-Balance_Sheet!G7</f>
        <v>0</v>
      </c>
      <c r="I38" s="26">
        <f>Balance_Sheet!I7-Balance_Sheet!H7</f>
        <v>0</v>
      </c>
      <c r="J38" s="26">
        <f>Balance_Sheet!J7-Balance_Sheet!I7</f>
        <v>0</v>
      </c>
      <c r="K38" s="26">
        <f>Balance_Sheet!K7-Balance_Sheet!J7</f>
        <v>0</v>
      </c>
      <c r="L38" s="26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417.86999999999989</v>
      </c>
      <c r="E39" s="5">
        <f>Balance_Sheet!E15-Balance_Sheet!D15</f>
        <v>521.11000000000013</v>
      </c>
      <c r="F39" s="5">
        <f>Balance_Sheet!F15-Balance_Sheet!E15</f>
        <v>694.7199999999998</v>
      </c>
      <c r="G39" s="5">
        <f>Balance_Sheet!G15-Balance_Sheet!F15</f>
        <v>613.68000000000029</v>
      </c>
      <c r="H39" s="24">
        <f>Balance_Sheet!H15-Balance_Sheet!G15</f>
        <v>39.769999999999982</v>
      </c>
      <c r="I39" s="24">
        <f>Balance_Sheet!I15-Balance_Sheet!H15</f>
        <v>369.77</v>
      </c>
      <c r="J39" s="24">
        <f>Balance_Sheet!J15-Balance_Sheet!I15</f>
        <v>362.25999999999976</v>
      </c>
      <c r="K39" s="24">
        <f>Balance_Sheet!K15-Balance_Sheet!J15</f>
        <v>422.86999999999989</v>
      </c>
      <c r="L39" s="24">
        <f>Balance_Sheet!L15-Balance_Sheet!K15</f>
        <v>304.15000000000055</v>
      </c>
    </row>
    <row r="40" spans="2:12" ht="18.75" x14ac:dyDescent="0.25">
      <c r="B40" s="8" t="str">
        <f>Balance_Sheet!B17</f>
        <v>Deferred Tax Liabilities [Net]</v>
      </c>
      <c r="C40" s="4"/>
      <c r="D40" s="4">
        <f>Balance_Sheet!D17-Balance_Sheet!C17</f>
        <v>0</v>
      </c>
      <c r="E40" s="4">
        <f>Balance_Sheet!E17-Balance_Sheet!D17</f>
        <v>307.04000000000002</v>
      </c>
      <c r="F40" s="4">
        <f>Balance_Sheet!F17-Balance_Sheet!E17</f>
        <v>415.03000000000003</v>
      </c>
      <c r="G40" s="4">
        <f>Balance_Sheet!G17-Balance_Sheet!F17</f>
        <v>88.949999999999932</v>
      </c>
      <c r="H40" s="26">
        <f>Balance_Sheet!H17-Balance_Sheet!G17</f>
        <v>-421.3372443913255</v>
      </c>
      <c r="I40" s="26">
        <f>Balance_Sheet!I17-Balance_Sheet!H17</f>
        <v>43.120736110884252</v>
      </c>
      <c r="J40" s="26">
        <f>Balance_Sheet!J17-Balance_Sheet!I17</f>
        <v>42.245816101725609</v>
      </c>
      <c r="K40" s="26">
        <f>Balance_Sheet!K17-Balance_Sheet!J17</f>
        <v>49.31461894057378</v>
      </c>
      <c r="L40" s="26">
        <f>Balance_Sheet!L17-Balance_Sheet!K17</f>
        <v>35.468862188728735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253.93</v>
      </c>
      <c r="E41" s="5">
        <f>Balance_Sheet!E19-Balance_Sheet!D19</f>
        <v>3702.1399999999994</v>
      </c>
      <c r="F41" s="5">
        <f>Balance_Sheet!F19-Balance_Sheet!E19</f>
        <v>-1245.4099999999999</v>
      </c>
      <c r="G41" s="5">
        <f>Balance_Sheet!G19-Balance_Sheet!F19</f>
        <v>-3179.22</v>
      </c>
      <c r="H41" s="24">
        <f>Balance_Sheet!H19-Balance_Sheet!G19</f>
        <v>9.9999999999999645E-2</v>
      </c>
      <c r="I41" s="24">
        <f>Balance_Sheet!I19-Balance_Sheet!H19</f>
        <v>0.89000000000000057</v>
      </c>
      <c r="J41" s="24">
        <f>Balance_Sheet!J19-Balance_Sheet!I19</f>
        <v>0.87999999999999901</v>
      </c>
      <c r="K41" s="24">
        <f>Balance_Sheet!K19-Balance_Sheet!J19</f>
        <v>1.0199999999999996</v>
      </c>
      <c r="L41" s="24">
        <f>Balance_Sheet!L19-Balance_Sheet!K19</f>
        <v>0.73000000000000043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44.329999999999984</v>
      </c>
      <c r="E42" s="4">
        <f>Balance_Sheet!E35-Balance_Sheet!D35</f>
        <v>-12.699999999999989</v>
      </c>
      <c r="F42" s="4">
        <f>Balance_Sheet!F35-Balance_Sheet!E35</f>
        <v>47</v>
      </c>
      <c r="G42" s="4">
        <f>Balance_Sheet!G35-Balance_Sheet!F35</f>
        <v>232.70999999999998</v>
      </c>
      <c r="H42" s="26">
        <f>Balance_Sheet!H35-Balance_Sheet!G35</f>
        <v>-128.67035217926775</v>
      </c>
      <c r="I42" s="26">
        <f>Balance_Sheet!I35-Balance_Sheet!H35</f>
        <v>60.320761296763635</v>
      </c>
      <c r="J42" s="26">
        <f>Balance_Sheet!J35-Balance_Sheet!I35</f>
        <v>59.096852667502162</v>
      </c>
      <c r="K42" s="26">
        <f>Balance_Sheet!K35-Balance_Sheet!J35</f>
        <v>68.98526383932392</v>
      </c>
      <c r="L42" s="26">
        <f>Balance_Sheet!L35-Balance_Sheet!K35</f>
        <v>49.616703296817491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6"/>
      <c r="I43" s="26"/>
      <c r="J43" s="26"/>
      <c r="K43" s="26"/>
      <c r="L43" s="26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8105.58</v>
      </c>
      <c r="E44" s="5">
        <f>Income_Statement!E51</f>
        <v>7395.27</v>
      </c>
      <c r="F44" s="5">
        <f>Income_Statement!F51</f>
        <v>7703.44</v>
      </c>
      <c r="G44" s="5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1833.86</v>
      </c>
      <c r="E45" s="4">
        <f>Income_Statement!E53</f>
        <v>2282.08</v>
      </c>
      <c r="F45" s="4">
        <f>Income_Statement!F53</f>
        <v>0</v>
      </c>
      <c r="G45" s="4">
        <f>Income_Statement!G53</f>
        <v>0</v>
      </c>
      <c r="H45" s="26">
        <f>Income_Statement!H53</f>
        <v>0</v>
      </c>
      <c r="I45" s="26">
        <f>Income_Statement!I53</f>
        <v>0</v>
      </c>
      <c r="J45" s="26">
        <f>Income_Statement!J53</f>
        <v>0</v>
      </c>
      <c r="K45" s="26">
        <f>Income_Statement!K53</f>
        <v>0</v>
      </c>
      <c r="L45" s="26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275.04000000000002</v>
      </c>
      <c r="E46" s="4">
        <f>Income_Statement!E35</f>
        <v>502.92</v>
      </c>
      <c r="F46" s="4">
        <f>Income_Statement!F35</f>
        <v>644.69000000000005</v>
      </c>
      <c r="G46" s="4">
        <f>Income_Statement!G35</f>
        <v>541.49</v>
      </c>
      <c r="H46" s="26">
        <f>Income_Statement!H35</f>
        <v>548.01293099850034</v>
      </c>
      <c r="I46" s="26">
        <f>Income_Statement!I35</f>
        <v>608.65358767029534</v>
      </c>
      <c r="J46" s="26">
        <f>Income_Statement!J35</f>
        <v>668.06429603133392</v>
      </c>
      <c r="K46" s="26">
        <f>Income_Statement!K35</f>
        <v>737.41577252364846</v>
      </c>
      <c r="L46" s="26">
        <f>Income_Statement!L35</f>
        <v>787.29569552366297</v>
      </c>
    </row>
    <row r="47" spans="2:12" ht="18.75" x14ac:dyDescent="0.25">
      <c r="B47" s="9" t="s">
        <v>141</v>
      </c>
      <c r="C47" s="6"/>
      <c r="D47" s="7">
        <f>D37+D38+D39+D40+D41+D42-D44-D45-D46</f>
        <v>-9543.0300000000007</v>
      </c>
      <c r="E47" s="7">
        <f t="shared" ref="E47:L47" si="3">E37+E38+E39+E40+E41+E42-E44-E45-E46</f>
        <v>-5662.6800000000012</v>
      </c>
      <c r="F47" s="7">
        <f t="shared" si="3"/>
        <v>-8436.7899999999991</v>
      </c>
      <c r="G47" s="7">
        <f t="shared" si="3"/>
        <v>-2785.37</v>
      </c>
      <c r="H47" s="27">
        <f t="shared" si="3"/>
        <v>-1058.1505275690936</v>
      </c>
      <c r="I47" s="27">
        <f t="shared" si="3"/>
        <v>-134.55209026264748</v>
      </c>
      <c r="J47" s="27">
        <f t="shared" si="3"/>
        <v>-203.58162726210639</v>
      </c>
      <c r="K47" s="27">
        <f t="shared" si="3"/>
        <v>-195.22588974375094</v>
      </c>
      <c r="L47" s="27">
        <f t="shared" si="3"/>
        <v>-397.33013003811618</v>
      </c>
    </row>
    <row r="48" spans="2:12" ht="18.75" x14ac:dyDescent="0.25">
      <c r="B48" s="9" t="s">
        <v>142</v>
      </c>
      <c r="C48" s="6"/>
      <c r="D48" s="7">
        <f>D27+D35+D47</f>
        <v>2368.3224729913236</v>
      </c>
      <c r="E48" s="7">
        <f t="shared" ref="E48:L48" si="4">E27+E35+E47</f>
        <v>-5019.6726407215756</v>
      </c>
      <c r="F48" s="7">
        <f t="shared" si="4"/>
        <v>-14938.577727420172</v>
      </c>
      <c r="G48" s="7">
        <f t="shared" si="4"/>
        <v>24780.255588327786</v>
      </c>
      <c r="H48" s="27">
        <f t="shared" si="4"/>
        <v>53760.168072571665</v>
      </c>
      <c r="I48" s="27">
        <f t="shared" si="4"/>
        <v>38159.576943659631</v>
      </c>
      <c r="J48" s="27">
        <f t="shared" si="4"/>
        <v>35809.785681669004</v>
      </c>
      <c r="K48" s="27">
        <f t="shared" si="4"/>
        <v>33950.212086491541</v>
      </c>
      <c r="L48" s="27">
        <f t="shared" si="4"/>
        <v>32675.217687493383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725ED941-EA22-4ACE-A7E6-0C57CDBE7A0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2C6AB-06BE-45C2-B634-D0F7E91E752D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5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3" t="s">
        <v>145</v>
      </c>
      <c r="C5" s="43"/>
      <c r="D5" s="43"/>
      <c r="E5" s="43"/>
      <c r="F5" s="43"/>
      <c r="G5" s="43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4910.6691195840831</v>
      </c>
      <c r="D6" s="13">
        <f>Income_Statement!D49</f>
        <v>11784.862472991332</v>
      </c>
      <c r="E6" s="13">
        <f>Income_Statement!E49</f>
        <v>9160.2373592784206</v>
      </c>
      <c r="F6" s="13">
        <f>Income_Statement!F49</f>
        <v>4363.3422725798227</v>
      </c>
      <c r="G6" s="13">
        <f>Income_Statement!G49</f>
        <v>19800.095588327782</v>
      </c>
      <c r="I6" s="34"/>
      <c r="J6" s="35"/>
      <c r="K6" s="35"/>
      <c r="L6" s="36"/>
    </row>
    <row r="7" spans="2:15" ht="18.75" x14ac:dyDescent="0.25">
      <c r="B7" s="12" t="str">
        <f>Income_Statement!B61</f>
        <v>Total Shares Outstanding(cr)</v>
      </c>
      <c r="C7" s="13">
        <f>Income_Statement!C61</f>
        <v>446.42446541673485</v>
      </c>
      <c r="D7" s="13">
        <f>Income_Statement!D61</f>
        <v>420.88794546397611</v>
      </c>
      <c r="E7" s="13">
        <f>Income_Statement!E61</f>
        <v>339.2680503436452</v>
      </c>
      <c r="F7" s="13">
        <f>Income_Statement!F61</f>
        <v>207.77820345618204</v>
      </c>
      <c r="G7" s="13">
        <f>Income_Statement!G61</f>
        <v>707.14627101170652</v>
      </c>
      <c r="I7" s="37"/>
      <c r="J7" s="38"/>
      <c r="K7" s="38"/>
      <c r="L7" s="39"/>
    </row>
    <row r="8" spans="2:15" ht="19.5" thickBot="1" x14ac:dyDescent="0.3">
      <c r="B8" s="14" t="s">
        <v>146</v>
      </c>
      <c r="C8" s="14">
        <f>ROUND(C6/C7, 2)</f>
        <v>11</v>
      </c>
      <c r="D8" s="14">
        <f t="shared" ref="D8:G8" si="0">ROUND(D6/D7, 2)</f>
        <v>28</v>
      </c>
      <c r="E8" s="14">
        <f t="shared" si="0"/>
        <v>27</v>
      </c>
      <c r="F8" s="14">
        <f t="shared" si="0"/>
        <v>21</v>
      </c>
      <c r="G8" s="14">
        <f t="shared" si="0"/>
        <v>28</v>
      </c>
      <c r="I8" s="40"/>
      <c r="J8" s="41"/>
      <c r="K8" s="41"/>
      <c r="L8" s="42"/>
    </row>
    <row r="9" spans="2:15" ht="15.75" thickTop="1" x14ac:dyDescent="0.25"/>
    <row r="10" spans="2:15" ht="19.5" thickBot="1" x14ac:dyDescent="0.3">
      <c r="B10" s="43" t="s">
        <v>147</v>
      </c>
      <c r="C10" s="43"/>
      <c r="D10" s="43"/>
      <c r="E10" s="43"/>
      <c r="F10" s="43"/>
      <c r="G10" s="43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10242.24</v>
      </c>
      <c r="D11" s="13">
        <f>Income_Statement!D51</f>
        <v>8105.58</v>
      </c>
      <c r="E11" s="13">
        <f>Income_Statement!E51</f>
        <v>7395.27</v>
      </c>
      <c r="F11" s="13">
        <f>Income_Statement!F51</f>
        <v>7703.44</v>
      </c>
      <c r="G11" s="13">
        <f>Income_Statement!G51</f>
        <v>0</v>
      </c>
      <c r="I11" s="34"/>
      <c r="J11" s="35"/>
      <c r="K11" s="35"/>
      <c r="L11" s="36"/>
    </row>
    <row r="12" spans="2:15" ht="18.75" x14ac:dyDescent="0.25">
      <c r="B12" s="12" t="str">
        <f>Income_Statement!B61</f>
        <v>Total Shares Outstanding(cr)</v>
      </c>
      <c r="C12" s="13">
        <f>Income_Statement!C61</f>
        <v>446.42446541673485</v>
      </c>
      <c r="D12" s="13">
        <f>Income_Statement!D61</f>
        <v>420.88794546397611</v>
      </c>
      <c r="E12" s="13">
        <f>Income_Statement!E61</f>
        <v>339.2680503436452</v>
      </c>
      <c r="F12" s="13">
        <f>Income_Statement!F61</f>
        <v>207.77820345618204</v>
      </c>
      <c r="G12" s="13">
        <f>Income_Statement!G61</f>
        <v>707.14627101170652</v>
      </c>
      <c r="I12" s="37"/>
      <c r="J12" s="38"/>
      <c r="K12" s="38"/>
      <c r="L12" s="39"/>
    </row>
    <row r="13" spans="2:15" ht="19.5" thickBot="1" x14ac:dyDescent="0.3">
      <c r="B13" s="14" t="s">
        <v>148</v>
      </c>
      <c r="C13" s="14">
        <f>ROUND(C11/C12, 2)</f>
        <v>22.94</v>
      </c>
      <c r="D13" s="14">
        <f t="shared" ref="D13:G13" si="1">ROUND(D11/D12, 2)</f>
        <v>19.260000000000002</v>
      </c>
      <c r="E13" s="14">
        <f t="shared" si="1"/>
        <v>21.8</v>
      </c>
      <c r="F13" s="14">
        <f t="shared" si="1"/>
        <v>37.08</v>
      </c>
      <c r="G13" s="14">
        <f t="shared" si="1"/>
        <v>0</v>
      </c>
      <c r="I13" s="40"/>
      <c r="J13" s="41"/>
      <c r="K13" s="41"/>
      <c r="L13" s="42"/>
    </row>
    <row r="14" spans="2:15" ht="15.75" thickTop="1" x14ac:dyDescent="0.25"/>
    <row r="15" spans="2:15" ht="19.5" thickBot="1" x14ac:dyDescent="0.3">
      <c r="B15" s="43" t="s">
        <v>149</v>
      </c>
      <c r="C15" s="43"/>
      <c r="D15" s="43"/>
      <c r="E15" s="43"/>
      <c r="F15" s="43"/>
      <c r="G15" s="43"/>
    </row>
    <row r="16" spans="2:15" ht="19.5" thickTop="1" x14ac:dyDescent="0.25">
      <c r="B16" s="12" t="str">
        <f>Balance_Sheet!B13</f>
        <v>Net Worth</v>
      </c>
      <c r="C16" s="13">
        <f>Balance_Sheet!C13</f>
        <v>19846.57</v>
      </c>
      <c r="D16" s="13">
        <f>Balance_Sheet!D13</f>
        <v>21647.312472991332</v>
      </c>
      <c r="E16" s="13">
        <f>Balance_Sheet!E13</f>
        <v>21130.199832269751</v>
      </c>
      <c r="F16" s="13">
        <f>Balance_Sheet!F13</f>
        <v>17790.102104849575</v>
      </c>
      <c r="G16" s="13">
        <f>Balance_Sheet!G13</f>
        <v>37590.197693177353</v>
      </c>
      <c r="I16" s="34"/>
      <c r="J16" s="35"/>
      <c r="K16" s="35"/>
      <c r="L16" s="36"/>
    </row>
    <row r="17" spans="2:12" ht="18.75" x14ac:dyDescent="0.25">
      <c r="B17" s="12" t="str">
        <f>Income_Statement!B61</f>
        <v>Total Shares Outstanding(cr)</v>
      </c>
      <c r="C17" s="13">
        <f>Income_Statement!C61</f>
        <v>446.42446541673485</v>
      </c>
      <c r="D17" s="13">
        <f>Income_Statement!D61</f>
        <v>420.88794546397611</v>
      </c>
      <c r="E17" s="13">
        <f>Income_Statement!E61</f>
        <v>339.2680503436452</v>
      </c>
      <c r="F17" s="13">
        <f>Income_Statement!F61</f>
        <v>207.77820345618204</v>
      </c>
      <c r="G17" s="13">
        <f>Income_Statement!G61</f>
        <v>707.14627101170652</v>
      </c>
      <c r="I17" s="37"/>
      <c r="J17" s="38"/>
      <c r="K17" s="38"/>
      <c r="L17" s="39"/>
    </row>
    <row r="18" spans="2:12" ht="19.5" thickBot="1" x14ac:dyDescent="0.3">
      <c r="B18" s="14" t="s">
        <v>150</v>
      </c>
      <c r="C18" s="14">
        <f>ROUND(C16/C17, 2)</f>
        <v>44.46</v>
      </c>
      <c r="D18" s="14">
        <f t="shared" ref="D18:G18" si="2">ROUND(D16/D17, 2)</f>
        <v>51.43</v>
      </c>
      <c r="E18" s="14">
        <f t="shared" si="2"/>
        <v>62.28</v>
      </c>
      <c r="F18" s="14">
        <f t="shared" si="2"/>
        <v>85.62</v>
      </c>
      <c r="G18" s="14">
        <f t="shared" si="2"/>
        <v>53.16</v>
      </c>
      <c r="I18" s="40"/>
      <c r="J18" s="41"/>
      <c r="K18" s="41"/>
      <c r="L18" s="42"/>
    </row>
    <row r="19" spans="2:12" ht="15.75" thickTop="1" x14ac:dyDescent="0.25"/>
    <row r="20" spans="2:12" ht="18.75" x14ac:dyDescent="0.25">
      <c r="B20" s="43" t="s">
        <v>151</v>
      </c>
      <c r="C20" s="43"/>
      <c r="D20" s="43"/>
      <c r="E20" s="43"/>
      <c r="F20" s="43"/>
      <c r="G20" s="43"/>
    </row>
    <row r="21" spans="2:12" ht="18.75" x14ac:dyDescent="0.25">
      <c r="B21" s="12" t="str">
        <f>Income_Statement!B51</f>
        <v>Equity Share Dividend</v>
      </c>
      <c r="C21" s="13">
        <f>Income_Statement!C51</f>
        <v>10242.24</v>
      </c>
      <c r="D21" s="13">
        <f>Income_Statement!D51</f>
        <v>8105.58</v>
      </c>
      <c r="E21" s="13">
        <f>Income_Statement!E51</f>
        <v>7395.27</v>
      </c>
      <c r="F21" s="13">
        <f>Income_Statement!F51</f>
        <v>7703.44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446.42446541673485</v>
      </c>
      <c r="D22" s="13">
        <f>Income_Statement!D61</f>
        <v>420.88794546397611</v>
      </c>
      <c r="E22" s="13">
        <f>Income_Statement!E61</f>
        <v>339.2680503436452</v>
      </c>
      <c r="F22" s="13">
        <f>Income_Statement!F61</f>
        <v>207.77820345618204</v>
      </c>
      <c r="G22" s="13">
        <f>Income_Statement!G61</f>
        <v>707.14627101170652</v>
      </c>
    </row>
    <row r="23" spans="2:12" ht="18.75" x14ac:dyDescent="0.25">
      <c r="B23" s="12" t="s">
        <v>148</v>
      </c>
      <c r="C23" s="13">
        <f>ROUND(C21/C22, 2)</f>
        <v>22.94</v>
      </c>
      <c r="D23" s="13">
        <f t="shared" ref="D23:G23" si="3">ROUND(D21/D22, 2)</f>
        <v>19.260000000000002</v>
      </c>
      <c r="E23" s="13">
        <f t="shared" si="3"/>
        <v>21.8</v>
      </c>
      <c r="F23" s="13">
        <f t="shared" si="3"/>
        <v>37.08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4910.6691195840831</v>
      </c>
      <c r="D24" s="13">
        <f>Income_Statement!D49</f>
        <v>11784.862472991332</v>
      </c>
      <c r="E24" s="13">
        <f>Income_Statement!E49</f>
        <v>9160.2373592784206</v>
      </c>
      <c r="F24" s="13">
        <f>Income_Statement!F49</f>
        <v>4363.3422725798227</v>
      </c>
      <c r="G24" s="13">
        <f>Income_Statement!G49</f>
        <v>19800.095588327782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446.42446541673485</v>
      </c>
      <c r="D25" s="13">
        <f>Income_Statement!D61</f>
        <v>420.88794546397611</v>
      </c>
      <c r="E25" s="13">
        <f>Income_Statement!E61</f>
        <v>339.2680503436452</v>
      </c>
      <c r="F25" s="13">
        <f>Income_Statement!F61</f>
        <v>207.77820345618204</v>
      </c>
      <c r="G25" s="13">
        <f>Income_Statement!G61</f>
        <v>707.14627101170652</v>
      </c>
      <c r="I25" s="34"/>
      <c r="J25" s="35"/>
      <c r="K25" s="35"/>
      <c r="L25" s="36"/>
    </row>
    <row r="26" spans="2:12" ht="18.75" x14ac:dyDescent="0.25">
      <c r="B26" s="12" t="s">
        <v>146</v>
      </c>
      <c r="C26" s="13">
        <f>C24/C25</f>
        <v>11</v>
      </c>
      <c r="D26" s="13">
        <f t="shared" ref="D26:G26" si="4">D24/D25</f>
        <v>28</v>
      </c>
      <c r="E26" s="13">
        <f t="shared" si="4"/>
        <v>27</v>
      </c>
      <c r="F26" s="13">
        <f t="shared" si="4"/>
        <v>21</v>
      </c>
      <c r="G26" s="13">
        <f t="shared" si="4"/>
        <v>28</v>
      </c>
      <c r="I26" s="37"/>
      <c r="J26" s="38"/>
      <c r="K26" s="38"/>
      <c r="L26" s="39"/>
    </row>
    <row r="27" spans="2:12" ht="19.5" thickBot="1" x14ac:dyDescent="0.3">
      <c r="B27" s="14" t="s">
        <v>152</v>
      </c>
      <c r="C27" s="14">
        <f>ROUND(C23/C26, 2)</f>
        <v>2.09</v>
      </c>
      <c r="D27" s="14">
        <f t="shared" ref="D27:G27" si="5">ROUND(D23/D26, 2)</f>
        <v>0.69</v>
      </c>
      <c r="E27" s="14">
        <f t="shared" si="5"/>
        <v>0.81</v>
      </c>
      <c r="F27" s="14">
        <f t="shared" si="5"/>
        <v>1.77</v>
      </c>
      <c r="G27" s="14">
        <f t="shared" si="5"/>
        <v>0</v>
      </c>
      <c r="I27" s="40"/>
      <c r="J27" s="41"/>
      <c r="K27" s="41"/>
      <c r="L27" s="42"/>
    </row>
    <row r="28" spans="2:12" ht="15.75" thickTop="1" x14ac:dyDescent="0.25"/>
    <row r="29" spans="2:12" ht="18.75" x14ac:dyDescent="0.25">
      <c r="B29" s="43" t="s">
        <v>153</v>
      </c>
      <c r="C29" s="43"/>
      <c r="D29" s="43"/>
      <c r="E29" s="43"/>
      <c r="F29" s="43"/>
      <c r="G29" s="43"/>
    </row>
    <row r="30" spans="2:12" ht="19.5" thickBot="1" x14ac:dyDescent="0.3">
      <c r="B30" s="12" t="str">
        <f>Income_Statement!B51</f>
        <v>Equity Share Dividend</v>
      </c>
      <c r="C30" s="13">
        <f>Income_Statement!C51</f>
        <v>10242.24</v>
      </c>
      <c r="D30" s="13">
        <f>Income_Statement!D51</f>
        <v>8105.58</v>
      </c>
      <c r="E30" s="13">
        <f>Income_Statement!E51</f>
        <v>7395.27</v>
      </c>
      <c r="F30" s="13">
        <f>Income_Statement!F51</f>
        <v>7703.44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446.42446541673485</v>
      </c>
      <c r="D31" s="13">
        <f>Income_Statement!D61</f>
        <v>420.88794546397611</v>
      </c>
      <c r="E31" s="13">
        <f>Income_Statement!E61</f>
        <v>339.2680503436452</v>
      </c>
      <c r="F31" s="13">
        <f>Income_Statement!F61</f>
        <v>207.77820345618204</v>
      </c>
      <c r="G31" s="13">
        <f>Income_Statement!G61</f>
        <v>707.14627101170652</v>
      </c>
      <c r="I31" s="34"/>
      <c r="J31" s="35"/>
      <c r="K31" s="35"/>
      <c r="L31" s="36"/>
    </row>
    <row r="32" spans="2:12" ht="18.75" x14ac:dyDescent="0.25">
      <c r="B32" s="12" t="s">
        <v>154</v>
      </c>
      <c r="C32" s="13">
        <f>ROUND(C30/C31, 2)</f>
        <v>22.94</v>
      </c>
      <c r="D32" s="13">
        <f t="shared" ref="D32:G32" si="6">ROUND(D30/D31, 2)</f>
        <v>19.260000000000002</v>
      </c>
      <c r="E32" s="13">
        <f t="shared" si="6"/>
        <v>21.8</v>
      </c>
      <c r="F32" s="13">
        <f t="shared" si="6"/>
        <v>37.08</v>
      </c>
      <c r="G32" s="13">
        <f t="shared" si="6"/>
        <v>0</v>
      </c>
      <c r="I32" s="37"/>
      <c r="J32" s="38"/>
      <c r="K32" s="38"/>
      <c r="L32" s="39"/>
    </row>
    <row r="33" spans="2:12" ht="19.5" thickBot="1" x14ac:dyDescent="0.3">
      <c r="B33" s="14" t="s">
        <v>155</v>
      </c>
      <c r="C33" s="15">
        <f>1-C32</f>
        <v>-21.94</v>
      </c>
      <c r="D33" s="15">
        <f t="shared" ref="D33:G33" si="7">1-D32</f>
        <v>-18.260000000000002</v>
      </c>
      <c r="E33" s="15">
        <f t="shared" si="7"/>
        <v>-20.8</v>
      </c>
      <c r="F33" s="15">
        <f t="shared" si="7"/>
        <v>-36.08</v>
      </c>
      <c r="G33" s="15">
        <f t="shared" si="7"/>
        <v>1</v>
      </c>
      <c r="I33" s="40"/>
      <c r="J33" s="41"/>
      <c r="K33" s="41"/>
      <c r="L33" s="42"/>
    </row>
    <row r="34" spans="2:12" ht="15.75" thickTop="1" x14ac:dyDescent="0.25"/>
    <row r="35" spans="2:12" ht="19.5" thickBot="1" x14ac:dyDescent="0.3">
      <c r="B35" s="43" t="s">
        <v>156</v>
      </c>
      <c r="C35" s="43"/>
      <c r="D35" s="43"/>
      <c r="E35" s="43"/>
      <c r="F35" s="43"/>
      <c r="G35" s="43"/>
    </row>
    <row r="36" spans="2:12" ht="19.5" thickTop="1" x14ac:dyDescent="0.25">
      <c r="B36" s="12" t="str">
        <f>Income_Statement!B5</f>
        <v>Gross Sales</v>
      </c>
      <c r="C36" s="13">
        <f>Income_Statement!C5</f>
        <v>127162.17</v>
      </c>
      <c r="D36" s="13">
        <f>Income_Statement!D5</f>
        <v>140603</v>
      </c>
      <c r="E36" s="13">
        <f>Income_Statement!E5</f>
        <v>134979.13</v>
      </c>
      <c r="F36" s="13">
        <f>Income_Statement!F5</f>
        <v>126786.13</v>
      </c>
      <c r="G36" s="13">
        <f>Income_Statement!G5</f>
        <v>109713.5</v>
      </c>
      <c r="I36" s="34"/>
      <c r="J36" s="35"/>
      <c r="K36" s="35"/>
      <c r="L36" s="36"/>
    </row>
    <row r="37" spans="2:12" ht="18.75" x14ac:dyDescent="0.25">
      <c r="B37" s="12" t="str">
        <f>Income_Statement!B17</f>
        <v>Cost Of Materials Consumed</v>
      </c>
      <c r="C37" s="13">
        <f>Income_Statement!C17</f>
        <v>9345.99</v>
      </c>
      <c r="D37" s="13">
        <f>Income_Statement!D17</f>
        <v>9774.51</v>
      </c>
      <c r="E37" s="13">
        <f>Income_Statement!E17</f>
        <v>9552.7800000000007</v>
      </c>
      <c r="F37" s="13">
        <f>Income_Statement!F17</f>
        <v>10123.540000000001</v>
      </c>
      <c r="G37" s="13">
        <f>Income_Statement!G17</f>
        <v>9442.18</v>
      </c>
      <c r="I37" s="37"/>
      <c r="J37" s="38"/>
      <c r="K37" s="38"/>
      <c r="L37" s="39"/>
    </row>
    <row r="38" spans="2:12" ht="19.5" thickBot="1" x14ac:dyDescent="0.3">
      <c r="B38" s="14" t="s">
        <v>157</v>
      </c>
      <c r="C38" s="16">
        <f>ROUND(C36- C37, 2)</f>
        <v>117816.18</v>
      </c>
      <c r="D38" s="16">
        <f t="shared" ref="D38:G38" si="8">ROUND(D36- D37, 2)</f>
        <v>130828.49</v>
      </c>
      <c r="E38" s="16">
        <f t="shared" si="8"/>
        <v>125426.35</v>
      </c>
      <c r="F38" s="16">
        <f t="shared" si="8"/>
        <v>116662.59</v>
      </c>
      <c r="G38" s="16">
        <f t="shared" si="8"/>
        <v>100271.32</v>
      </c>
      <c r="I38" s="40"/>
      <c r="J38" s="41"/>
      <c r="K38" s="41"/>
      <c r="L38" s="42"/>
    </row>
    <row r="39" spans="2:12" ht="15.75" thickTop="1" x14ac:dyDescent="0.25"/>
    <row r="40" spans="2:12" ht="19.5" thickBot="1" x14ac:dyDescent="0.3">
      <c r="B40" s="43" t="s">
        <v>158</v>
      </c>
      <c r="C40" s="43"/>
      <c r="D40" s="43"/>
      <c r="E40" s="43"/>
      <c r="F40" s="43"/>
      <c r="G40" s="43"/>
    </row>
    <row r="41" spans="2:12" ht="19.5" thickTop="1" x14ac:dyDescent="0.25">
      <c r="B41" s="12" t="str">
        <f>Income_Statement!B5</f>
        <v>Gross Sales</v>
      </c>
      <c r="C41" s="13">
        <f>Income_Statement!C5</f>
        <v>127162.17</v>
      </c>
      <c r="D41" s="13">
        <f>Income_Statement!D5</f>
        <v>140603</v>
      </c>
      <c r="E41" s="13">
        <f>Income_Statement!E5</f>
        <v>134979.13</v>
      </c>
      <c r="F41" s="13">
        <f>Income_Statement!F5</f>
        <v>126786.13</v>
      </c>
      <c r="G41" s="13">
        <f>Income_Statement!G5</f>
        <v>109713.5</v>
      </c>
      <c r="I41" s="34"/>
      <c r="J41" s="35"/>
      <c r="K41" s="35"/>
      <c r="L41" s="36"/>
    </row>
    <row r="42" spans="2:12" ht="18.75" x14ac:dyDescent="0.25">
      <c r="B42" s="12" t="str">
        <f>Income_Statement!B25</f>
        <v>Total Expenditure</v>
      </c>
      <c r="C42" s="13">
        <f>Income_Statement!C25</f>
        <v>74243.5</v>
      </c>
      <c r="D42" s="13">
        <f>Income_Statement!D25</f>
        <v>73597.8</v>
      </c>
      <c r="E42" s="13">
        <f>Income_Statement!E25</f>
        <v>74994.47</v>
      </c>
      <c r="F42" s="13">
        <f>Income_Statement!F25</f>
        <v>72479.360000000001</v>
      </c>
      <c r="G42" s="13">
        <f>Income_Statement!G25</f>
        <v>82610.94</v>
      </c>
      <c r="I42" s="37"/>
      <c r="J42" s="38"/>
      <c r="K42" s="38"/>
      <c r="L42" s="39"/>
    </row>
    <row r="43" spans="2:12" ht="19.5" thickBot="1" x14ac:dyDescent="0.3">
      <c r="B43" s="14" t="s">
        <v>159</v>
      </c>
      <c r="C43" s="16">
        <f>ROUND(C41- C42, 2)</f>
        <v>52918.67</v>
      </c>
      <c r="D43" s="16">
        <f t="shared" ref="D43:G43" si="9">ROUND(D41- D42, 2)</f>
        <v>67005.2</v>
      </c>
      <c r="E43" s="16">
        <f t="shared" si="9"/>
        <v>59984.66</v>
      </c>
      <c r="F43" s="16">
        <f t="shared" si="9"/>
        <v>54306.77</v>
      </c>
      <c r="G43" s="16">
        <f t="shared" si="9"/>
        <v>27102.560000000001</v>
      </c>
      <c r="I43" s="40"/>
      <c r="J43" s="41"/>
      <c r="K43" s="41"/>
      <c r="L43" s="42"/>
    </row>
    <row r="44" spans="2:12" ht="15.75" thickTop="1" x14ac:dyDescent="0.25"/>
    <row r="45" spans="2:12" ht="19.5" thickBot="1" x14ac:dyDescent="0.3">
      <c r="B45" s="43" t="s">
        <v>160</v>
      </c>
      <c r="C45" s="43"/>
      <c r="D45" s="43"/>
      <c r="E45" s="43"/>
      <c r="F45" s="43"/>
      <c r="G45" s="43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4910.6691195840831</v>
      </c>
      <c r="D46" s="13">
        <f>Income_Statement!D49</f>
        <v>11784.862472991332</v>
      </c>
      <c r="E46" s="13">
        <f>Income_Statement!E49</f>
        <v>9160.2373592784206</v>
      </c>
      <c r="F46" s="13">
        <f>Income_Statement!F49</f>
        <v>4363.3422725798227</v>
      </c>
      <c r="G46" s="13">
        <f>Income_Statement!G49</f>
        <v>19800.095588327782</v>
      </c>
      <c r="I46" s="34"/>
      <c r="J46" s="35"/>
      <c r="K46" s="35"/>
      <c r="L46" s="36"/>
    </row>
    <row r="47" spans="2:12" ht="18.75" x14ac:dyDescent="0.25">
      <c r="B47" s="12" t="str">
        <f>Balance_Sheet!B74</f>
        <v>Total Assets</v>
      </c>
      <c r="C47" s="13">
        <f>Balance_Sheet!C74</f>
        <v>127491.72999999998</v>
      </c>
      <c r="D47" s="13">
        <f>Balance_Sheet!D74</f>
        <v>127912.22247299133</v>
      </c>
      <c r="E47" s="13">
        <f>Balance_Sheet!E74</f>
        <v>139300.75983226974</v>
      </c>
      <c r="F47" s="13">
        <f>Balance_Sheet!F74</f>
        <v>143052.43210484958</v>
      </c>
      <c r="G47" s="13">
        <f>Balance_Sheet!G74</f>
        <v>174690.48769317736</v>
      </c>
      <c r="I47" s="37"/>
      <c r="J47" s="38"/>
      <c r="K47" s="38"/>
      <c r="L47" s="39"/>
    </row>
    <row r="48" spans="2:12" ht="19.5" thickBot="1" x14ac:dyDescent="0.3">
      <c r="B48" s="14" t="s">
        <v>161</v>
      </c>
      <c r="C48" s="15">
        <f>ROUND(C46/ C47, 2)</f>
        <v>0.04</v>
      </c>
      <c r="D48" s="15">
        <f t="shared" ref="D48:G48" si="10">ROUND(D46/ D47, 2)</f>
        <v>0.09</v>
      </c>
      <c r="E48" s="15">
        <f t="shared" si="10"/>
        <v>7.0000000000000007E-2</v>
      </c>
      <c r="F48" s="15">
        <f t="shared" si="10"/>
        <v>0.03</v>
      </c>
      <c r="G48" s="15">
        <f t="shared" si="10"/>
        <v>0.11</v>
      </c>
      <c r="I48" s="40"/>
      <c r="J48" s="41"/>
      <c r="K48" s="41"/>
      <c r="L48" s="42"/>
    </row>
    <row r="49" spans="2:12" ht="15.75" thickTop="1" x14ac:dyDescent="0.25"/>
    <row r="50" spans="2:12" ht="18.75" x14ac:dyDescent="0.25">
      <c r="B50" s="43" t="s">
        <v>162</v>
      </c>
      <c r="C50" s="43"/>
      <c r="D50" s="43"/>
      <c r="E50" s="43"/>
      <c r="F50" s="43"/>
      <c r="G50" s="43"/>
    </row>
    <row r="51" spans="2:12" ht="19.5" thickBot="1" x14ac:dyDescent="0.3">
      <c r="B51" s="12" t="str">
        <f>Income_Statement!B33</f>
        <v>PBIT</v>
      </c>
      <c r="C51" s="13">
        <f>Income_Statement!C33</f>
        <v>9049.1191195840838</v>
      </c>
      <c r="D51" s="13">
        <f>Income_Statement!D33</f>
        <v>21722.352472991333</v>
      </c>
      <c r="E51" s="13">
        <f>Income_Statement!E33</f>
        <v>17034.137359278418</v>
      </c>
      <c r="F51" s="13">
        <f>Income_Statement!F33</f>
        <v>10315.102272579823</v>
      </c>
      <c r="G51" s="13">
        <f>Income_Statement!G33</f>
        <v>26579.445588327784</v>
      </c>
    </row>
    <row r="52" spans="2:12" ht="19.5" thickTop="1" x14ac:dyDescent="0.25">
      <c r="B52" s="12" t="str">
        <f>Balance_Sheet!B21</f>
        <v>Total Debt</v>
      </c>
      <c r="C52" s="13">
        <f>Balance_Sheet!C21</f>
        <v>1530.94</v>
      </c>
      <c r="D52" s="13">
        <f>Balance_Sheet!D21</f>
        <v>2202.7399999999998</v>
      </c>
      <c r="E52" s="13">
        <f>Balance_Sheet!E21</f>
        <v>6733.03</v>
      </c>
      <c r="F52" s="13">
        <f>Balance_Sheet!F21</f>
        <v>6597.37</v>
      </c>
      <c r="G52" s="13">
        <f>Balance_Sheet!G21</f>
        <v>4120.78</v>
      </c>
      <c r="I52" s="34"/>
      <c r="J52" s="35"/>
      <c r="K52" s="35"/>
      <c r="L52" s="36"/>
    </row>
    <row r="53" spans="2:12" ht="18.75" x14ac:dyDescent="0.25">
      <c r="B53" s="12" t="str">
        <f>Balance_Sheet!B13</f>
        <v>Net Worth</v>
      </c>
      <c r="C53" s="13">
        <f>Balance_Sheet!C13</f>
        <v>19846.57</v>
      </c>
      <c r="D53" s="13">
        <f>Balance_Sheet!D13</f>
        <v>21647.312472991332</v>
      </c>
      <c r="E53" s="13">
        <f>Balance_Sheet!E13</f>
        <v>21130.199832269751</v>
      </c>
      <c r="F53" s="13">
        <f>Balance_Sheet!F13</f>
        <v>17790.102104849575</v>
      </c>
      <c r="G53" s="13">
        <f>Balance_Sheet!G13</f>
        <v>37590.197693177353</v>
      </c>
      <c r="I53" s="37"/>
      <c r="J53" s="38"/>
      <c r="K53" s="38"/>
      <c r="L53" s="39"/>
    </row>
    <row r="54" spans="2:12" ht="19.5" thickBot="1" x14ac:dyDescent="0.3">
      <c r="B54" s="14" t="s">
        <v>163</v>
      </c>
      <c r="C54" s="15">
        <f>ROUND(C51/ (C52+ C52), 2)</f>
        <v>2.96</v>
      </c>
      <c r="D54" s="15">
        <f t="shared" ref="D54:G54" si="11">ROUND(D51/ (D52+ D52), 2)</f>
        <v>4.93</v>
      </c>
      <c r="E54" s="15">
        <f t="shared" si="11"/>
        <v>1.26</v>
      </c>
      <c r="F54" s="15">
        <f t="shared" si="11"/>
        <v>0.78</v>
      </c>
      <c r="G54" s="15">
        <f t="shared" si="11"/>
        <v>3.23</v>
      </c>
      <c r="I54" s="40"/>
      <c r="J54" s="41"/>
      <c r="K54" s="41"/>
      <c r="L54" s="42"/>
    </row>
    <row r="55" spans="2:12" ht="15.75" thickTop="1" x14ac:dyDescent="0.25"/>
    <row r="56" spans="2:12" ht="19.5" thickBot="1" x14ac:dyDescent="0.3">
      <c r="B56" s="43" t="s">
        <v>164</v>
      </c>
      <c r="C56" s="43"/>
      <c r="D56" s="43"/>
      <c r="E56" s="43"/>
      <c r="F56" s="43"/>
      <c r="G56" s="43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4910.6691195840831</v>
      </c>
      <c r="D57" s="13">
        <f>Income_Statement!D49</f>
        <v>11784.862472991332</v>
      </c>
      <c r="E57" s="13">
        <f>Income_Statement!E49</f>
        <v>9160.2373592784206</v>
      </c>
      <c r="F57" s="13">
        <f>Income_Statement!F49</f>
        <v>4363.3422725798227</v>
      </c>
      <c r="G57" s="13">
        <f>Income_Statement!G49</f>
        <v>19800.095588327782</v>
      </c>
      <c r="I57" s="34"/>
      <c r="J57" s="35"/>
      <c r="K57" s="35"/>
      <c r="L57" s="36"/>
    </row>
    <row r="58" spans="2:12" ht="18.75" x14ac:dyDescent="0.25">
      <c r="B58" s="12" t="str">
        <f>Balance_Sheet!B13</f>
        <v>Net Worth</v>
      </c>
      <c r="C58" s="13">
        <f>Balance_Sheet!C13</f>
        <v>19846.57</v>
      </c>
      <c r="D58" s="13">
        <f>Balance_Sheet!D13</f>
        <v>21647.312472991332</v>
      </c>
      <c r="E58" s="13">
        <f>Balance_Sheet!E13</f>
        <v>21130.199832269751</v>
      </c>
      <c r="F58" s="13">
        <f>Balance_Sheet!F13</f>
        <v>17790.102104849575</v>
      </c>
      <c r="G58" s="13">
        <f>Balance_Sheet!G13</f>
        <v>37590.197693177353</v>
      </c>
      <c r="I58" s="37"/>
      <c r="J58" s="38"/>
      <c r="K58" s="38"/>
      <c r="L58" s="39"/>
    </row>
    <row r="59" spans="2:12" ht="19.5" thickBot="1" x14ac:dyDescent="0.3">
      <c r="B59" s="14" t="s">
        <v>165</v>
      </c>
      <c r="C59" s="15">
        <f>ROUND(C57/ (C58+ C58), 2)</f>
        <v>0.12</v>
      </c>
      <c r="D59" s="15">
        <f t="shared" ref="D59:G59" si="12">ROUND(D57/ (D58+ D58), 2)</f>
        <v>0.27</v>
      </c>
      <c r="E59" s="15">
        <f t="shared" si="12"/>
        <v>0.22</v>
      </c>
      <c r="F59" s="15">
        <f t="shared" si="12"/>
        <v>0.12</v>
      </c>
      <c r="G59" s="15">
        <f t="shared" si="12"/>
        <v>0.26</v>
      </c>
      <c r="I59" s="40"/>
      <c r="J59" s="41"/>
      <c r="K59" s="41"/>
      <c r="L59" s="42"/>
    </row>
    <row r="60" spans="2:12" ht="15.75" thickTop="1" x14ac:dyDescent="0.25"/>
    <row r="61" spans="2:12" ht="19.5" thickBot="1" x14ac:dyDescent="0.3">
      <c r="B61" s="43" t="s">
        <v>166</v>
      </c>
      <c r="C61" s="43"/>
      <c r="D61" s="43"/>
      <c r="E61" s="43"/>
      <c r="F61" s="43"/>
      <c r="G61" s="43"/>
    </row>
    <row r="62" spans="2:12" ht="19.5" thickTop="1" x14ac:dyDescent="0.25">
      <c r="B62" s="12" t="str">
        <f>Balance_Sheet!B21</f>
        <v>Total Debt</v>
      </c>
      <c r="C62" s="13">
        <f>Balance_Sheet!C21</f>
        <v>1530.94</v>
      </c>
      <c r="D62" s="13">
        <f>Balance_Sheet!D21</f>
        <v>2202.7399999999998</v>
      </c>
      <c r="E62" s="13">
        <f>Balance_Sheet!E21</f>
        <v>6733.03</v>
      </c>
      <c r="F62" s="13">
        <f>Balance_Sheet!F21</f>
        <v>6597.37</v>
      </c>
      <c r="G62" s="13">
        <f>Balance_Sheet!G21</f>
        <v>4120.78</v>
      </c>
      <c r="I62" s="34"/>
      <c r="J62" s="35"/>
      <c r="K62" s="35"/>
      <c r="L62" s="36"/>
    </row>
    <row r="63" spans="2:12" ht="18.75" x14ac:dyDescent="0.25">
      <c r="B63" s="12" t="str">
        <f>Balance_Sheet!B13</f>
        <v>Net Worth</v>
      </c>
      <c r="C63" s="13">
        <f>Balance_Sheet!C13</f>
        <v>19846.57</v>
      </c>
      <c r="D63" s="13">
        <f>Balance_Sheet!D13</f>
        <v>21647.312472991332</v>
      </c>
      <c r="E63" s="13">
        <f>Balance_Sheet!E13</f>
        <v>21130.199832269751</v>
      </c>
      <c r="F63" s="13">
        <f>Balance_Sheet!F13</f>
        <v>17790.102104849575</v>
      </c>
      <c r="G63" s="13">
        <f>Balance_Sheet!G13</f>
        <v>37590.197693177353</v>
      </c>
      <c r="I63" s="37"/>
      <c r="J63" s="38"/>
      <c r="K63" s="38"/>
      <c r="L63" s="39"/>
    </row>
    <row r="64" spans="2:12" ht="19.5" thickBot="1" x14ac:dyDescent="0.3">
      <c r="B64" s="14" t="s">
        <v>167</v>
      </c>
      <c r="C64" s="14">
        <f>ROUND(C62/ C63, 2)</f>
        <v>0.08</v>
      </c>
      <c r="D64" s="14">
        <f t="shared" ref="D64:G64" si="13">ROUND(D62/ D63, 2)</f>
        <v>0.1</v>
      </c>
      <c r="E64" s="14">
        <f t="shared" si="13"/>
        <v>0.32</v>
      </c>
      <c r="F64" s="14">
        <f t="shared" si="13"/>
        <v>0.37</v>
      </c>
      <c r="G64" s="14">
        <f t="shared" si="13"/>
        <v>0.11</v>
      </c>
      <c r="I64" s="40"/>
      <c r="J64" s="41"/>
      <c r="K64" s="41"/>
      <c r="L64" s="42"/>
    </row>
    <row r="65" spans="2:12" ht="15.75" thickTop="1" x14ac:dyDescent="0.25"/>
    <row r="66" spans="2:12" ht="19.5" thickBot="1" x14ac:dyDescent="0.3">
      <c r="B66" s="43" t="s">
        <v>168</v>
      </c>
      <c r="C66" s="43"/>
      <c r="D66" s="43"/>
      <c r="E66" s="43"/>
      <c r="F66" s="43"/>
      <c r="G66" s="43"/>
    </row>
    <row r="67" spans="2:12" ht="19.5" thickTop="1" x14ac:dyDescent="0.25">
      <c r="B67" s="12" t="str">
        <f>Balance_Sheet!B72</f>
        <v>Total Current Assets</v>
      </c>
      <c r="C67" s="13">
        <f>Balance_Sheet!C72</f>
        <v>88119.26999999999</v>
      </c>
      <c r="D67" s="13">
        <f>Balance_Sheet!D72</f>
        <v>89994.432472991321</v>
      </c>
      <c r="E67" s="13">
        <f>Balance_Sheet!E72</f>
        <v>103617.50983226976</v>
      </c>
      <c r="F67" s="13">
        <f>Balance_Sheet!F72</f>
        <v>99509.252104849569</v>
      </c>
      <c r="G67" s="13">
        <f>Balance_Sheet!G72</f>
        <v>120448.79769317736</v>
      </c>
      <c r="I67" s="34"/>
      <c r="J67" s="35"/>
      <c r="K67" s="35"/>
      <c r="L67" s="36"/>
    </row>
    <row r="68" spans="2:12" ht="18.75" x14ac:dyDescent="0.25">
      <c r="B68" s="12" t="str">
        <f>Balance_Sheet!B33</f>
        <v>Total Current Liabilities</v>
      </c>
      <c r="C68" s="13">
        <f>Balance_Sheet!C33</f>
        <v>105751.77</v>
      </c>
      <c r="D68" s="13">
        <f>Balance_Sheet!D33</f>
        <v>103655.38999999998</v>
      </c>
      <c r="E68" s="13">
        <f>Balance_Sheet!E33</f>
        <v>111043.45</v>
      </c>
      <c r="F68" s="13">
        <f>Balance_Sheet!F33</f>
        <v>118223.88</v>
      </c>
      <c r="G68" s="13">
        <f>Balance_Sheet!G33</f>
        <v>132305.72</v>
      </c>
      <c r="I68" s="37"/>
      <c r="J68" s="38"/>
      <c r="K68" s="38"/>
      <c r="L68" s="39"/>
    </row>
    <row r="69" spans="2:12" ht="19.5" thickBot="1" x14ac:dyDescent="0.3">
      <c r="B69" s="14" t="s">
        <v>169</v>
      </c>
      <c r="C69" s="14">
        <f>ROUND(C67/ C68, 2)</f>
        <v>0.83</v>
      </c>
      <c r="D69" s="14">
        <f t="shared" ref="D69:G69" si="14">ROUND(D67/ D68, 2)</f>
        <v>0.87</v>
      </c>
      <c r="E69" s="14">
        <f t="shared" si="14"/>
        <v>0.93</v>
      </c>
      <c r="F69" s="14">
        <f t="shared" si="14"/>
        <v>0.84</v>
      </c>
      <c r="G69" s="14">
        <f t="shared" si="14"/>
        <v>0.91</v>
      </c>
      <c r="I69" s="40"/>
      <c r="J69" s="41"/>
      <c r="K69" s="41"/>
      <c r="L69" s="42"/>
    </row>
    <row r="70" spans="2:12" ht="15.75" thickTop="1" x14ac:dyDescent="0.25"/>
    <row r="71" spans="2:12" ht="18.75" x14ac:dyDescent="0.25">
      <c r="B71" s="43" t="s">
        <v>170</v>
      </c>
      <c r="C71" s="43"/>
      <c r="D71" s="43"/>
      <c r="E71" s="43"/>
      <c r="F71" s="43"/>
      <c r="G71" s="43"/>
    </row>
    <row r="72" spans="2:12" ht="19.5" thickBot="1" x14ac:dyDescent="0.3">
      <c r="B72" s="12" t="str">
        <f>Balance_Sheet!B72</f>
        <v>Total Current Assets</v>
      </c>
      <c r="C72" s="13">
        <f>Balance_Sheet!C72</f>
        <v>88119.26999999999</v>
      </c>
      <c r="D72" s="13">
        <f>Balance_Sheet!D72</f>
        <v>89994.432472991321</v>
      </c>
      <c r="E72" s="13">
        <f>Balance_Sheet!E72</f>
        <v>103617.50983226976</v>
      </c>
      <c r="F72" s="13">
        <f>Balance_Sheet!F72</f>
        <v>99509.252104849569</v>
      </c>
      <c r="G72" s="13">
        <f>Balance_Sheet!G72</f>
        <v>120448.79769317736</v>
      </c>
    </row>
    <row r="73" spans="2:12" ht="19.5" thickTop="1" x14ac:dyDescent="0.25">
      <c r="B73" s="12" t="str">
        <f>Balance_Sheet!B66</f>
        <v>Inventories</v>
      </c>
      <c r="C73" s="13">
        <f>Balance_Sheet!C66</f>
        <v>6443.85</v>
      </c>
      <c r="D73" s="13">
        <f>Balance_Sheet!D66</f>
        <v>5583.93</v>
      </c>
      <c r="E73" s="13">
        <f>Balance_Sheet!E66</f>
        <v>6617.98</v>
      </c>
      <c r="F73" s="13">
        <f>Balance_Sheet!F66</f>
        <v>8947.4699999999993</v>
      </c>
      <c r="G73" s="13">
        <f>Balance_Sheet!G66</f>
        <v>7075.68</v>
      </c>
      <c r="I73" s="34"/>
      <c r="J73" s="35"/>
      <c r="K73" s="35"/>
      <c r="L73" s="36"/>
    </row>
    <row r="74" spans="2:12" ht="18.75" x14ac:dyDescent="0.25">
      <c r="B74" s="12" t="str">
        <f>Balance_Sheet!B33</f>
        <v>Total Current Liabilities</v>
      </c>
      <c r="C74" s="13">
        <f>Balance_Sheet!C33</f>
        <v>105751.77</v>
      </c>
      <c r="D74" s="13">
        <f>Balance_Sheet!D33</f>
        <v>103655.38999999998</v>
      </c>
      <c r="E74" s="13">
        <f>Balance_Sheet!E33</f>
        <v>111043.45</v>
      </c>
      <c r="F74" s="13">
        <f>Balance_Sheet!F33</f>
        <v>118223.88</v>
      </c>
      <c r="G74" s="13">
        <f>Balance_Sheet!G33</f>
        <v>132305.72</v>
      </c>
      <c r="I74" s="37"/>
      <c r="J74" s="38"/>
      <c r="K74" s="38"/>
      <c r="L74" s="39"/>
    </row>
    <row r="75" spans="2:12" ht="19.5" thickBot="1" x14ac:dyDescent="0.3">
      <c r="B75" s="14" t="s">
        <v>171</v>
      </c>
      <c r="C75" s="14">
        <f>ROUND((C72-C73)/ C74, 2)</f>
        <v>0.77</v>
      </c>
      <c r="D75" s="14">
        <f t="shared" ref="D75:G75" si="15">ROUND((D72-D73)/ D74, 2)</f>
        <v>0.81</v>
      </c>
      <c r="E75" s="14">
        <f t="shared" si="15"/>
        <v>0.87</v>
      </c>
      <c r="F75" s="14">
        <f t="shared" si="15"/>
        <v>0.77</v>
      </c>
      <c r="G75" s="14">
        <f t="shared" si="15"/>
        <v>0.86</v>
      </c>
      <c r="I75" s="40"/>
      <c r="J75" s="41"/>
      <c r="K75" s="41"/>
      <c r="L75" s="42"/>
    </row>
    <row r="76" spans="2:12" ht="15.75" thickTop="1" x14ac:dyDescent="0.25"/>
    <row r="77" spans="2:12" ht="19.5" thickBot="1" x14ac:dyDescent="0.3">
      <c r="B77" s="43" t="s">
        <v>172</v>
      </c>
      <c r="C77" s="43"/>
      <c r="D77" s="43"/>
      <c r="E77" s="43"/>
      <c r="F77" s="43"/>
      <c r="G77" s="43"/>
    </row>
    <row r="78" spans="2:12" ht="19.5" thickTop="1" x14ac:dyDescent="0.25">
      <c r="B78" s="12" t="str">
        <f>Income_Statement!B33</f>
        <v>PBIT</v>
      </c>
      <c r="C78" s="13">
        <f>Income_Statement!C33</f>
        <v>9049.1191195840838</v>
      </c>
      <c r="D78" s="13">
        <f>Income_Statement!D33</f>
        <v>21722.352472991333</v>
      </c>
      <c r="E78" s="13">
        <f>Income_Statement!E33</f>
        <v>17034.137359278418</v>
      </c>
      <c r="F78" s="13">
        <f>Income_Statement!F33</f>
        <v>10315.102272579823</v>
      </c>
      <c r="G78" s="13">
        <f>Income_Statement!G33</f>
        <v>26579.445588327784</v>
      </c>
      <c r="I78" s="34"/>
      <c r="J78" s="35"/>
      <c r="K78" s="35"/>
      <c r="L78" s="36"/>
    </row>
    <row r="79" spans="2:12" ht="18.75" x14ac:dyDescent="0.25">
      <c r="B79" s="12" t="str">
        <f>Income_Statement!B35</f>
        <v>Finance Costs</v>
      </c>
      <c r="C79" s="13">
        <f>Income_Statement!C35</f>
        <v>431.79</v>
      </c>
      <c r="D79" s="13">
        <f>Income_Statement!D35</f>
        <v>275.04000000000002</v>
      </c>
      <c r="E79" s="13">
        <f>Income_Statement!E35</f>
        <v>502.92</v>
      </c>
      <c r="F79" s="13">
        <f>Income_Statement!F35</f>
        <v>644.69000000000005</v>
      </c>
      <c r="G79" s="13">
        <f>Income_Statement!G35</f>
        <v>541.49</v>
      </c>
      <c r="I79" s="37"/>
      <c r="J79" s="38"/>
      <c r="K79" s="38"/>
      <c r="L79" s="39"/>
    </row>
    <row r="80" spans="2:12" ht="19.5" thickBot="1" x14ac:dyDescent="0.3">
      <c r="B80" s="14" t="s">
        <v>173</v>
      </c>
      <c r="C80" s="14">
        <f>ROUND(C78/C79, 2)</f>
        <v>20.96</v>
      </c>
      <c r="D80" s="14">
        <f t="shared" ref="D80:G80" si="16">ROUND(D78/D79, 2)</f>
        <v>78.98</v>
      </c>
      <c r="E80" s="14">
        <f t="shared" si="16"/>
        <v>33.869999999999997</v>
      </c>
      <c r="F80" s="14">
        <f t="shared" si="16"/>
        <v>16</v>
      </c>
      <c r="G80" s="14">
        <f t="shared" si="16"/>
        <v>49.09</v>
      </c>
      <c r="I80" s="40"/>
      <c r="J80" s="41"/>
      <c r="K80" s="41"/>
      <c r="L80" s="42"/>
    </row>
    <row r="81" spans="2:12" ht="15.75" thickTop="1" x14ac:dyDescent="0.25"/>
    <row r="82" spans="2:12" ht="19.5" thickBot="1" x14ac:dyDescent="0.3">
      <c r="B82" s="43" t="s">
        <v>174</v>
      </c>
      <c r="C82" s="43"/>
      <c r="D82" s="43"/>
      <c r="E82" s="43"/>
      <c r="F82" s="43"/>
      <c r="G82" s="43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9345.99</v>
      </c>
      <c r="D83" s="13">
        <f>Income_Statement!D17</f>
        <v>9774.51</v>
      </c>
      <c r="E83" s="13">
        <f>Income_Statement!E17</f>
        <v>9552.7800000000007</v>
      </c>
      <c r="F83" s="13">
        <f>Income_Statement!F17</f>
        <v>10123.540000000001</v>
      </c>
      <c r="G83" s="13">
        <f>Income_Statement!G17</f>
        <v>9442.18</v>
      </c>
      <c r="I83" s="34"/>
      <c r="J83" s="35"/>
      <c r="K83" s="35"/>
      <c r="L83" s="36"/>
    </row>
    <row r="84" spans="2:12" ht="18.75" x14ac:dyDescent="0.25">
      <c r="B84" s="12" t="str">
        <f>Income_Statement!B9</f>
        <v>Net Sales</v>
      </c>
      <c r="C84" s="13">
        <f>Income_Statement!C9</f>
        <v>81700</v>
      </c>
      <c r="D84" s="13">
        <f>Income_Statement!D9</f>
        <v>92896.08</v>
      </c>
      <c r="E84" s="13">
        <f>Income_Statement!E9</f>
        <v>89373.34</v>
      </c>
      <c r="F84" s="13">
        <f>Income_Statement!F9</f>
        <v>82710.320000000007</v>
      </c>
      <c r="G84" s="13">
        <f>Income_Statement!G9</f>
        <v>109713.5</v>
      </c>
      <c r="I84" s="37"/>
      <c r="J84" s="38"/>
      <c r="K84" s="38"/>
      <c r="L84" s="39"/>
    </row>
    <row r="85" spans="2:12" ht="19.5" thickBot="1" x14ac:dyDescent="0.3">
      <c r="B85" s="14" t="s">
        <v>175</v>
      </c>
      <c r="C85" s="14">
        <f>ROUND(C83/C84, 2)</f>
        <v>0.11</v>
      </c>
      <c r="D85" s="14">
        <f t="shared" ref="D85:G85" si="17">ROUND(D83/D84, 2)</f>
        <v>0.11</v>
      </c>
      <c r="E85" s="14">
        <f t="shared" si="17"/>
        <v>0.11</v>
      </c>
      <c r="F85" s="14">
        <f t="shared" si="17"/>
        <v>0.12</v>
      </c>
      <c r="G85" s="14">
        <f t="shared" si="17"/>
        <v>0.09</v>
      </c>
      <c r="I85" s="40"/>
      <c r="J85" s="41"/>
      <c r="K85" s="41"/>
      <c r="L85" s="42"/>
    </row>
    <row r="86" spans="2:12" ht="15.75" thickTop="1" x14ac:dyDescent="0.25"/>
    <row r="87" spans="2:12" ht="19.5" thickBot="1" x14ac:dyDescent="0.3">
      <c r="B87" s="43" t="s">
        <v>176</v>
      </c>
      <c r="C87" s="43"/>
      <c r="D87" s="43"/>
      <c r="E87" s="43"/>
      <c r="F87" s="43"/>
      <c r="G87" s="43"/>
    </row>
    <row r="88" spans="2:12" ht="19.5" thickTop="1" x14ac:dyDescent="0.25">
      <c r="B88" s="12" t="str">
        <f>Balance_Sheet!B70</f>
        <v>Cash And Cash Equivalents</v>
      </c>
      <c r="C88" s="13">
        <f>Balance_Sheet!C70</f>
        <v>31475.07</v>
      </c>
      <c r="D88" s="13">
        <f>Balance_Sheet!D70</f>
        <v>33843.392472991327</v>
      </c>
      <c r="E88" s="13">
        <f>Balance_Sheet!E70</f>
        <v>28823.719832269751</v>
      </c>
      <c r="F88" s="13">
        <f>Balance_Sheet!F70</f>
        <v>13885.142104849579</v>
      </c>
      <c r="G88" s="13">
        <f>Balance_Sheet!G70</f>
        <v>38665.397693177365</v>
      </c>
      <c r="I88" s="34"/>
      <c r="J88" s="35"/>
      <c r="K88" s="35"/>
      <c r="L88" s="36"/>
    </row>
    <row r="89" spans="2:12" ht="18.75" x14ac:dyDescent="0.25">
      <c r="B89" s="12" t="str">
        <f>Income_Statement!B17</f>
        <v>Cost Of Materials Consumed</v>
      </c>
      <c r="C89" s="13">
        <f>Income_Statement!C17</f>
        <v>9345.99</v>
      </c>
      <c r="D89" s="13">
        <f>Income_Statement!D17</f>
        <v>9774.51</v>
      </c>
      <c r="E89" s="13">
        <f>Income_Statement!E17</f>
        <v>9552.7800000000007</v>
      </c>
      <c r="F89" s="13">
        <f>Income_Statement!F17</f>
        <v>10123.540000000001</v>
      </c>
      <c r="G89" s="13">
        <f>Income_Statement!G17</f>
        <v>9442.18</v>
      </c>
      <c r="I89" s="37"/>
      <c r="J89" s="38"/>
      <c r="K89" s="38"/>
      <c r="L89" s="39"/>
    </row>
    <row r="90" spans="2:12" ht="19.5" thickBot="1" x14ac:dyDescent="0.3">
      <c r="B90" s="14" t="s">
        <v>177</v>
      </c>
      <c r="C90" s="14">
        <f>ROUND(C88/C89*365, 2)</f>
        <v>1229.23</v>
      </c>
      <c r="D90" s="14">
        <f t="shared" ref="D90:G90" si="18">ROUND(D88/D89*365, 2)</f>
        <v>1263.78</v>
      </c>
      <c r="E90" s="14">
        <f t="shared" si="18"/>
        <v>1101.32</v>
      </c>
      <c r="F90" s="14">
        <f t="shared" si="18"/>
        <v>500.62</v>
      </c>
      <c r="G90" s="14">
        <f t="shared" si="18"/>
        <v>1494.66</v>
      </c>
      <c r="I90" s="40"/>
      <c r="J90" s="41"/>
      <c r="K90" s="41"/>
      <c r="L90" s="42"/>
    </row>
    <row r="91" spans="2:12" ht="15.75" thickTop="1" x14ac:dyDescent="0.25"/>
    <row r="92" spans="2:12" ht="19.5" thickBot="1" x14ac:dyDescent="0.3">
      <c r="B92" s="43" t="s">
        <v>178</v>
      </c>
      <c r="C92" s="43"/>
      <c r="D92" s="43"/>
      <c r="E92" s="43"/>
      <c r="F92" s="43"/>
      <c r="G92" s="43"/>
    </row>
    <row r="93" spans="2:12" ht="19.5" thickTop="1" x14ac:dyDescent="0.25">
      <c r="B93" s="12" t="str">
        <f>Balance_Sheet!B70</f>
        <v>Cash And Cash Equivalents</v>
      </c>
      <c r="C93" s="13">
        <f>Balance_Sheet!C70</f>
        <v>31475.07</v>
      </c>
      <c r="D93" s="13">
        <f>Balance_Sheet!D70</f>
        <v>33843.392472991327</v>
      </c>
      <c r="E93" s="13">
        <f>Balance_Sheet!E70</f>
        <v>28823.719832269751</v>
      </c>
      <c r="F93" s="13">
        <f>Balance_Sheet!F70</f>
        <v>13885.142104849579</v>
      </c>
      <c r="G93" s="13">
        <f>Balance_Sheet!G70</f>
        <v>38665.397693177365</v>
      </c>
      <c r="I93" s="34"/>
      <c r="J93" s="35"/>
      <c r="K93" s="35"/>
      <c r="L93" s="3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7"/>
      <c r="J94" s="38"/>
      <c r="K94" s="38"/>
      <c r="L94" s="39"/>
    </row>
    <row r="95" spans="2:12" ht="19.5" thickBot="1" x14ac:dyDescent="0.3">
      <c r="B95" s="14" t="s">
        <v>180</v>
      </c>
      <c r="C95" s="14">
        <f>ROUND(C93/C94*365, 2)</f>
        <v>31475.07</v>
      </c>
      <c r="D95" s="14">
        <f t="shared" ref="D95:G95" si="19">ROUND(D93/D94*365, 2)</f>
        <v>33843.39</v>
      </c>
      <c r="E95" s="14">
        <f t="shared" si="19"/>
        <v>28823.72</v>
      </c>
      <c r="F95" s="14">
        <f t="shared" si="19"/>
        <v>13885.14</v>
      </c>
      <c r="G95" s="14">
        <f t="shared" si="19"/>
        <v>38665.4</v>
      </c>
      <c r="I95" s="40"/>
      <c r="J95" s="41"/>
      <c r="K95" s="41"/>
      <c r="L95" s="42"/>
    </row>
    <row r="96" spans="2:12" ht="15.75" thickTop="1" x14ac:dyDescent="0.25"/>
    <row r="97" spans="2:12" ht="19.5" thickBot="1" x14ac:dyDescent="0.3">
      <c r="B97" s="43" t="s">
        <v>181</v>
      </c>
      <c r="C97" s="43"/>
      <c r="D97" s="43"/>
      <c r="E97" s="43"/>
      <c r="F97" s="43"/>
      <c r="G97" s="43"/>
    </row>
    <row r="98" spans="2:12" ht="19.5" thickTop="1" x14ac:dyDescent="0.25">
      <c r="B98" s="12" t="str">
        <f>Income_Statement!B5</f>
        <v>Gross Sales</v>
      </c>
      <c r="C98" s="13">
        <f>Income_Statement!C5</f>
        <v>127162.17</v>
      </c>
      <c r="D98" s="13">
        <f>Income_Statement!D5</f>
        <v>140603</v>
      </c>
      <c r="E98" s="13">
        <f>Income_Statement!E5</f>
        <v>134979.13</v>
      </c>
      <c r="F98" s="13">
        <f>Income_Statement!F5</f>
        <v>126786.13</v>
      </c>
      <c r="G98" s="13">
        <f>Income_Statement!G5</f>
        <v>109713.5</v>
      </c>
      <c r="I98" s="34"/>
      <c r="J98" s="35"/>
      <c r="K98" s="35"/>
      <c r="L98" s="36"/>
    </row>
    <row r="99" spans="2:12" ht="18.75" x14ac:dyDescent="0.25">
      <c r="B99" s="12" t="str">
        <f>Balance_Sheet!B74</f>
        <v>Total Assets</v>
      </c>
      <c r="C99" s="13">
        <f>Balance_Sheet!C74</f>
        <v>127491.72999999998</v>
      </c>
      <c r="D99" s="13">
        <f>Balance_Sheet!D74</f>
        <v>127912.22247299133</v>
      </c>
      <c r="E99" s="13">
        <f>Balance_Sheet!E74</f>
        <v>139300.75983226974</v>
      </c>
      <c r="F99" s="13">
        <f>Balance_Sheet!F74</f>
        <v>143052.43210484958</v>
      </c>
      <c r="G99" s="13">
        <f>Balance_Sheet!G74</f>
        <v>174690.48769317736</v>
      </c>
      <c r="I99" s="37"/>
      <c r="J99" s="38"/>
      <c r="K99" s="38"/>
      <c r="L99" s="39"/>
    </row>
    <row r="100" spans="2:12" ht="19.5" thickBot="1" x14ac:dyDescent="0.3">
      <c r="B100" s="14" t="s">
        <v>182</v>
      </c>
      <c r="C100" s="14">
        <f>ROUND(C98/C99, 2)</f>
        <v>1</v>
      </c>
      <c r="D100" s="14">
        <f t="shared" ref="D100:G100" si="20">ROUND(D98/D99, 2)</f>
        <v>1.1000000000000001</v>
      </c>
      <c r="E100" s="14">
        <f t="shared" si="20"/>
        <v>0.97</v>
      </c>
      <c r="F100" s="14">
        <f t="shared" si="20"/>
        <v>0.89</v>
      </c>
      <c r="G100" s="14">
        <f t="shared" si="20"/>
        <v>0.63</v>
      </c>
      <c r="I100" s="40"/>
      <c r="J100" s="41"/>
      <c r="K100" s="41"/>
      <c r="L100" s="42"/>
    </row>
    <row r="101" spans="2:12" ht="15.75" thickTop="1" x14ac:dyDescent="0.25"/>
    <row r="102" spans="2:12" ht="19.5" thickBot="1" x14ac:dyDescent="0.3">
      <c r="B102" s="43" t="s">
        <v>183</v>
      </c>
      <c r="C102" s="43"/>
      <c r="D102" s="43"/>
      <c r="E102" s="43"/>
      <c r="F102" s="43"/>
      <c r="G102" s="43"/>
    </row>
    <row r="103" spans="2:12" ht="19.5" thickTop="1" x14ac:dyDescent="0.25">
      <c r="B103" s="12" t="str">
        <f>Income_Statement!B5</f>
        <v>Gross Sales</v>
      </c>
      <c r="C103" s="13">
        <f>Income_Statement!C5</f>
        <v>127162.17</v>
      </c>
      <c r="D103" s="13">
        <f>Income_Statement!D5</f>
        <v>140603</v>
      </c>
      <c r="E103" s="13">
        <f>Income_Statement!E5</f>
        <v>134979.13</v>
      </c>
      <c r="F103" s="13">
        <f>Income_Statement!F5</f>
        <v>126786.13</v>
      </c>
      <c r="G103" s="13">
        <f>Income_Statement!G5</f>
        <v>109713.5</v>
      </c>
      <c r="I103" s="34"/>
      <c r="J103" s="35"/>
      <c r="K103" s="35"/>
      <c r="L103" s="36"/>
    </row>
    <row r="104" spans="2:12" ht="18.75" x14ac:dyDescent="0.25">
      <c r="B104" s="12" t="str">
        <f>Balance_Sheet!B66</f>
        <v>Inventories</v>
      </c>
      <c r="C104" s="13">
        <f>Balance_Sheet!C66</f>
        <v>6443.85</v>
      </c>
      <c r="D104" s="13">
        <f>Balance_Sheet!D66</f>
        <v>5583.93</v>
      </c>
      <c r="E104" s="13">
        <f>Balance_Sheet!E66</f>
        <v>6617.98</v>
      </c>
      <c r="F104" s="13">
        <f>Balance_Sheet!F66</f>
        <v>8947.4699999999993</v>
      </c>
      <c r="G104" s="13">
        <f>Balance_Sheet!G66</f>
        <v>7075.68</v>
      </c>
      <c r="I104" s="37"/>
      <c r="J104" s="38"/>
      <c r="K104" s="38"/>
      <c r="L104" s="39"/>
    </row>
    <row r="105" spans="2:12" ht="19.5" thickBot="1" x14ac:dyDescent="0.3">
      <c r="B105" s="14" t="s">
        <v>184</v>
      </c>
      <c r="C105" s="14">
        <f>ROUND(C103/C104, 2)</f>
        <v>19.73</v>
      </c>
      <c r="D105" s="14">
        <f t="shared" ref="D105:G105" si="21">ROUND(D103/D104, 2)</f>
        <v>25.18</v>
      </c>
      <c r="E105" s="14">
        <f t="shared" si="21"/>
        <v>20.399999999999999</v>
      </c>
      <c r="F105" s="14">
        <f t="shared" si="21"/>
        <v>14.17</v>
      </c>
      <c r="G105" s="14">
        <f t="shared" si="21"/>
        <v>15.51</v>
      </c>
      <c r="I105" s="40"/>
      <c r="J105" s="41"/>
      <c r="K105" s="41"/>
      <c r="L105" s="42"/>
    </row>
    <row r="106" spans="2:12" ht="15.75" thickTop="1" x14ac:dyDescent="0.25"/>
    <row r="107" spans="2:12" ht="19.5" thickBot="1" x14ac:dyDescent="0.3">
      <c r="B107" s="43" t="s">
        <v>185</v>
      </c>
      <c r="C107" s="43"/>
      <c r="D107" s="43"/>
      <c r="E107" s="43"/>
      <c r="F107" s="43"/>
      <c r="G107" s="43"/>
    </row>
    <row r="108" spans="2:12" ht="19.5" thickTop="1" x14ac:dyDescent="0.25">
      <c r="B108" s="12" t="str">
        <f>Income_Statement!B5</f>
        <v>Gross Sales</v>
      </c>
      <c r="C108" s="13">
        <f>Income_Statement!C5</f>
        <v>127162.17</v>
      </c>
      <c r="D108" s="13">
        <f>Income_Statement!D5</f>
        <v>140603</v>
      </c>
      <c r="E108" s="13">
        <f>Income_Statement!E5</f>
        <v>134979.13</v>
      </c>
      <c r="F108" s="13">
        <f>Income_Statement!F5</f>
        <v>126786.13</v>
      </c>
      <c r="G108" s="13">
        <f>Income_Statement!G5</f>
        <v>109713.5</v>
      </c>
      <c r="I108" s="34"/>
      <c r="J108" s="35"/>
      <c r="K108" s="35"/>
      <c r="L108" s="36"/>
    </row>
    <row r="109" spans="2:12" ht="18.75" x14ac:dyDescent="0.25">
      <c r="B109" s="12" t="str">
        <f>Balance_Sheet!B68</f>
        <v>Trade Receivables</v>
      </c>
      <c r="C109" s="13">
        <f>Balance_Sheet!C68</f>
        <v>8689.16</v>
      </c>
      <c r="D109" s="13">
        <f>Balance_Sheet!D68</f>
        <v>5498.55</v>
      </c>
      <c r="E109" s="13">
        <f>Balance_Sheet!E68</f>
        <v>14408.22</v>
      </c>
      <c r="F109" s="13">
        <f>Balance_Sheet!F68</f>
        <v>19623.12</v>
      </c>
      <c r="G109" s="13">
        <f>Balance_Sheet!G68</f>
        <v>11367.68</v>
      </c>
      <c r="I109" s="37"/>
      <c r="J109" s="38"/>
      <c r="K109" s="38"/>
      <c r="L109" s="39"/>
    </row>
    <row r="110" spans="2:12" ht="19.5" thickBot="1" x14ac:dyDescent="0.3">
      <c r="B110" s="14" t="s">
        <v>186</v>
      </c>
      <c r="C110" s="14">
        <f>ROUND(C108/C109, 2)</f>
        <v>14.63</v>
      </c>
      <c r="D110" s="14">
        <f t="shared" ref="D110:G110" si="22">ROUND(D108/D109, 2)</f>
        <v>25.57</v>
      </c>
      <c r="E110" s="14">
        <f t="shared" si="22"/>
        <v>9.3699999999999992</v>
      </c>
      <c r="F110" s="14">
        <f t="shared" si="22"/>
        <v>6.46</v>
      </c>
      <c r="G110" s="14">
        <f t="shared" si="22"/>
        <v>9.65</v>
      </c>
      <c r="I110" s="40"/>
      <c r="J110" s="41"/>
      <c r="K110" s="41"/>
      <c r="L110" s="42"/>
    </row>
    <row r="111" spans="2:12" ht="15.75" thickTop="1" x14ac:dyDescent="0.25"/>
    <row r="112" spans="2:12" ht="19.5" thickBot="1" x14ac:dyDescent="0.3">
      <c r="B112" s="43" t="s">
        <v>187</v>
      </c>
      <c r="C112" s="43"/>
      <c r="D112" s="43"/>
      <c r="E112" s="43"/>
      <c r="F112" s="43"/>
      <c r="G112" s="43"/>
    </row>
    <row r="113" spans="2:12" ht="19.5" thickTop="1" x14ac:dyDescent="0.25">
      <c r="B113" s="12" t="str">
        <f>Income_Statement!B5</f>
        <v>Gross Sales</v>
      </c>
      <c r="C113" s="13">
        <f>Income_Statement!C5</f>
        <v>127162.17</v>
      </c>
      <c r="D113" s="13">
        <f>Income_Statement!D5</f>
        <v>140603</v>
      </c>
      <c r="E113" s="13">
        <f>Income_Statement!E5</f>
        <v>134979.13</v>
      </c>
      <c r="F113" s="13">
        <f>Income_Statement!F5</f>
        <v>126786.13</v>
      </c>
      <c r="G113" s="13">
        <f>Income_Statement!G5</f>
        <v>109713.5</v>
      </c>
      <c r="I113" s="34"/>
      <c r="J113" s="35"/>
      <c r="K113" s="35"/>
      <c r="L113" s="36"/>
    </row>
    <row r="114" spans="2:12" ht="18.75" x14ac:dyDescent="0.25">
      <c r="B114" s="12" t="str">
        <f>Balance_Sheet!B40</f>
        <v>Tangible Assets</v>
      </c>
      <c r="C114" s="13">
        <f>Balance_Sheet!C40</f>
        <v>24063.3</v>
      </c>
      <c r="D114" s="13">
        <f>Balance_Sheet!D40</f>
        <v>28539.06</v>
      </c>
      <c r="E114" s="13">
        <f>Balance_Sheet!E40</f>
        <v>32302.35</v>
      </c>
      <c r="F114" s="13">
        <f>Balance_Sheet!F40</f>
        <v>37753.65</v>
      </c>
      <c r="G114" s="13">
        <f>Balance_Sheet!G40</f>
        <v>59574.1</v>
      </c>
      <c r="I114" s="37"/>
      <c r="J114" s="38"/>
      <c r="K114" s="38"/>
      <c r="L114" s="39"/>
    </row>
    <row r="115" spans="2:12" ht="19.5" thickBot="1" x14ac:dyDescent="0.3">
      <c r="B115" s="14" t="s">
        <v>188</v>
      </c>
      <c r="C115" s="14">
        <f>ROUND(C113/C114, 2)</f>
        <v>5.28</v>
      </c>
      <c r="D115" s="14">
        <f t="shared" ref="D115:G115" si="23">ROUND(D113/D114, 2)</f>
        <v>4.93</v>
      </c>
      <c r="E115" s="14">
        <f t="shared" si="23"/>
        <v>4.18</v>
      </c>
      <c r="F115" s="14">
        <f t="shared" si="23"/>
        <v>3.36</v>
      </c>
      <c r="G115" s="14">
        <f t="shared" si="23"/>
        <v>1.84</v>
      </c>
      <c r="I115" s="40"/>
      <c r="J115" s="41"/>
      <c r="K115" s="41"/>
      <c r="L115" s="42"/>
    </row>
    <row r="116" spans="2:12" ht="15.75" thickTop="1" x14ac:dyDescent="0.25"/>
    <row r="117" spans="2:12" ht="19.5" thickBot="1" x14ac:dyDescent="0.3">
      <c r="B117" s="43" t="s">
        <v>189</v>
      </c>
      <c r="C117" s="43"/>
      <c r="D117" s="43"/>
      <c r="E117" s="43"/>
      <c r="F117" s="43"/>
      <c r="G117" s="43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9345.99</v>
      </c>
      <c r="D118" s="13">
        <f>Income_Statement!D17</f>
        <v>9774.51</v>
      </c>
      <c r="E118" s="13">
        <f>Income_Statement!E17</f>
        <v>9552.7800000000007</v>
      </c>
      <c r="F118" s="13">
        <f>Income_Statement!F17</f>
        <v>10123.540000000001</v>
      </c>
      <c r="G118" s="13">
        <f>Income_Statement!G17</f>
        <v>9442.18</v>
      </c>
      <c r="I118" s="34"/>
      <c r="J118" s="35"/>
      <c r="K118" s="35"/>
      <c r="L118" s="36"/>
    </row>
    <row r="119" spans="2:12" ht="18.75" x14ac:dyDescent="0.25">
      <c r="B119" s="12" t="str">
        <f>Balance_Sheet!B33</f>
        <v>Total Current Liabilities</v>
      </c>
      <c r="C119" s="13">
        <f>Balance_Sheet!C33</f>
        <v>105751.77</v>
      </c>
      <c r="D119" s="13">
        <f>Balance_Sheet!D33</f>
        <v>103655.38999999998</v>
      </c>
      <c r="E119" s="13">
        <f>Balance_Sheet!E33</f>
        <v>111043.45</v>
      </c>
      <c r="F119" s="13">
        <f>Balance_Sheet!F33</f>
        <v>118223.88</v>
      </c>
      <c r="G119" s="13">
        <f>Balance_Sheet!G33</f>
        <v>132305.72</v>
      </c>
      <c r="I119" s="37"/>
      <c r="J119" s="38"/>
      <c r="K119" s="38"/>
      <c r="L119" s="39"/>
    </row>
    <row r="120" spans="2:12" ht="19.5" thickBot="1" x14ac:dyDescent="0.3">
      <c r="B120" s="14" t="s">
        <v>190</v>
      </c>
      <c r="C120" s="14">
        <f>ROUND(C118/C119, 2)</f>
        <v>0.09</v>
      </c>
      <c r="D120" s="14">
        <f t="shared" ref="D120:G120" si="24">ROUND(D118/D119, 2)</f>
        <v>0.09</v>
      </c>
      <c r="E120" s="14">
        <f t="shared" si="24"/>
        <v>0.09</v>
      </c>
      <c r="F120" s="14">
        <f t="shared" si="24"/>
        <v>0.09</v>
      </c>
      <c r="G120" s="14">
        <f t="shared" si="24"/>
        <v>7.0000000000000007E-2</v>
      </c>
      <c r="I120" s="40"/>
      <c r="J120" s="41"/>
      <c r="K120" s="41"/>
      <c r="L120" s="42"/>
    </row>
    <row r="121" spans="2:12" ht="15.75" thickTop="1" x14ac:dyDescent="0.25"/>
    <row r="122" spans="2:12" ht="19.5" thickBot="1" x14ac:dyDescent="0.3">
      <c r="B122" s="43" t="s">
        <v>191</v>
      </c>
      <c r="C122" s="43"/>
      <c r="D122" s="43"/>
      <c r="E122" s="43"/>
      <c r="F122" s="43"/>
      <c r="G122" s="43"/>
    </row>
    <row r="123" spans="2:12" ht="19.5" thickTop="1" x14ac:dyDescent="0.25">
      <c r="B123" s="12" t="str">
        <f>Income_Statement!B5</f>
        <v>Gross Sales</v>
      </c>
      <c r="C123" s="13">
        <f>Income_Statement!C5</f>
        <v>127162.17</v>
      </c>
      <c r="D123" s="13">
        <f>Income_Statement!D5</f>
        <v>140603</v>
      </c>
      <c r="E123" s="13">
        <f>Income_Statement!E5</f>
        <v>134979.13</v>
      </c>
      <c r="F123" s="13">
        <f>Income_Statement!F5</f>
        <v>126786.13</v>
      </c>
      <c r="G123" s="13">
        <f>Income_Statement!G5</f>
        <v>109713.5</v>
      </c>
      <c r="I123" s="34"/>
      <c r="J123" s="35"/>
      <c r="K123" s="35"/>
      <c r="L123" s="36"/>
    </row>
    <row r="124" spans="2:12" ht="18.75" x14ac:dyDescent="0.25">
      <c r="B124" s="12" t="str">
        <f>Balance_Sheet!B66</f>
        <v>Inventories</v>
      </c>
      <c r="C124" s="13">
        <f>Balance_Sheet!C66</f>
        <v>6443.85</v>
      </c>
      <c r="D124" s="13">
        <f>Balance_Sheet!D66</f>
        <v>5583.93</v>
      </c>
      <c r="E124" s="13">
        <f>Balance_Sheet!E66</f>
        <v>6617.98</v>
      </c>
      <c r="F124" s="13">
        <f>Balance_Sheet!F66</f>
        <v>8947.4699999999993</v>
      </c>
      <c r="G124" s="13">
        <f>Balance_Sheet!G66</f>
        <v>7075.68</v>
      </c>
      <c r="I124" s="37"/>
      <c r="J124" s="38"/>
      <c r="K124" s="38"/>
      <c r="L124" s="39"/>
    </row>
    <row r="125" spans="2:12" ht="19.5" thickBot="1" x14ac:dyDescent="0.3">
      <c r="B125" s="14" t="s">
        <v>192</v>
      </c>
      <c r="C125" s="14">
        <f>ROUND(365/C123*C124, 2)</f>
        <v>18.5</v>
      </c>
      <c r="D125" s="14">
        <f t="shared" ref="D125:G125" si="25">ROUND(365/D123*D124, 2)</f>
        <v>14.5</v>
      </c>
      <c r="E125" s="14">
        <f t="shared" si="25"/>
        <v>17.899999999999999</v>
      </c>
      <c r="F125" s="14">
        <f t="shared" si="25"/>
        <v>25.76</v>
      </c>
      <c r="G125" s="14">
        <f t="shared" si="25"/>
        <v>23.54</v>
      </c>
      <c r="I125" s="40"/>
      <c r="J125" s="41"/>
      <c r="K125" s="41"/>
      <c r="L125" s="42"/>
    </row>
    <row r="126" spans="2:12" ht="15.75" thickTop="1" x14ac:dyDescent="0.25"/>
    <row r="127" spans="2:12" ht="19.5" thickBot="1" x14ac:dyDescent="0.3">
      <c r="B127" s="43" t="s">
        <v>193</v>
      </c>
      <c r="C127" s="43"/>
      <c r="D127" s="43"/>
      <c r="E127" s="43"/>
      <c r="F127" s="43"/>
      <c r="G127" s="43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9345.99</v>
      </c>
      <c r="D128" s="13">
        <f>Income_Statement!D17</f>
        <v>9774.51</v>
      </c>
      <c r="E128" s="13">
        <f>Income_Statement!E17</f>
        <v>9552.7800000000007</v>
      </c>
      <c r="F128" s="13">
        <f>Income_Statement!F17</f>
        <v>10123.540000000001</v>
      </c>
      <c r="G128" s="13">
        <f>Income_Statement!G17</f>
        <v>9442.18</v>
      </c>
      <c r="I128" s="34"/>
      <c r="J128" s="35"/>
      <c r="K128" s="35"/>
      <c r="L128" s="36"/>
    </row>
    <row r="129" spans="2:12" ht="18.75" x14ac:dyDescent="0.25">
      <c r="B129" s="12" t="str">
        <f>Balance_Sheet!B33</f>
        <v>Total Current Liabilities</v>
      </c>
      <c r="C129" s="13">
        <f>Balance_Sheet!C33</f>
        <v>105751.77</v>
      </c>
      <c r="D129" s="13">
        <f>Balance_Sheet!D33</f>
        <v>103655.38999999998</v>
      </c>
      <c r="E129" s="13">
        <f>Balance_Sheet!E33</f>
        <v>111043.45</v>
      </c>
      <c r="F129" s="13">
        <f>Balance_Sheet!F33</f>
        <v>118223.88</v>
      </c>
      <c r="G129" s="13">
        <f>Balance_Sheet!G33</f>
        <v>132305.72</v>
      </c>
      <c r="I129" s="37"/>
      <c r="J129" s="38"/>
      <c r="K129" s="38"/>
      <c r="L129" s="39"/>
    </row>
    <row r="130" spans="2:12" ht="19.5" thickBot="1" x14ac:dyDescent="0.3">
      <c r="B130" s="14" t="s">
        <v>194</v>
      </c>
      <c r="C130" s="14">
        <f>ROUND(365/C128*C129, 2)</f>
        <v>4130.05</v>
      </c>
      <c r="D130" s="14">
        <f t="shared" ref="D130:G130" si="26">ROUND(365/D128*D129, 2)</f>
        <v>3870.7</v>
      </c>
      <c r="E130" s="14">
        <f t="shared" si="26"/>
        <v>4242.83</v>
      </c>
      <c r="F130" s="14">
        <f t="shared" si="26"/>
        <v>4262.51</v>
      </c>
      <c r="G130" s="14">
        <f t="shared" si="26"/>
        <v>5114.45</v>
      </c>
      <c r="I130" s="40"/>
      <c r="J130" s="41"/>
      <c r="K130" s="41"/>
      <c r="L130" s="42"/>
    </row>
    <row r="131" spans="2:12" ht="15.75" thickTop="1" x14ac:dyDescent="0.25"/>
    <row r="132" spans="2:12" ht="19.5" thickBot="1" x14ac:dyDescent="0.3">
      <c r="B132" s="43" t="s">
        <v>195</v>
      </c>
      <c r="C132" s="43"/>
      <c r="D132" s="43"/>
      <c r="E132" s="43"/>
      <c r="F132" s="43"/>
      <c r="G132" s="43"/>
    </row>
    <row r="133" spans="2:12" ht="19.5" thickTop="1" x14ac:dyDescent="0.25">
      <c r="B133" s="12" t="str">
        <f>Income_Statement!B5</f>
        <v>Gross Sales</v>
      </c>
      <c r="C133" s="13">
        <f>Income_Statement!C5</f>
        <v>127162.17</v>
      </c>
      <c r="D133" s="13">
        <f>Income_Statement!D5</f>
        <v>140603</v>
      </c>
      <c r="E133" s="13">
        <f>Income_Statement!E5</f>
        <v>134979.13</v>
      </c>
      <c r="F133" s="13">
        <f>Income_Statement!F5</f>
        <v>126786.13</v>
      </c>
      <c r="G133" s="13">
        <f>Income_Statement!G5</f>
        <v>109713.5</v>
      </c>
      <c r="I133" s="34"/>
      <c r="J133" s="35"/>
      <c r="K133" s="35"/>
      <c r="L133" s="36"/>
    </row>
    <row r="134" spans="2:12" ht="18.75" x14ac:dyDescent="0.25">
      <c r="B134" s="12" t="str">
        <f>Balance_Sheet!B68</f>
        <v>Trade Receivables</v>
      </c>
      <c r="C134" s="13">
        <f>Balance_Sheet!C68</f>
        <v>8689.16</v>
      </c>
      <c r="D134" s="13">
        <f>Balance_Sheet!D68</f>
        <v>5498.55</v>
      </c>
      <c r="E134" s="13">
        <f>Balance_Sheet!E68</f>
        <v>14408.22</v>
      </c>
      <c r="F134" s="13">
        <f>Balance_Sheet!F68</f>
        <v>19623.12</v>
      </c>
      <c r="G134" s="13">
        <f>Balance_Sheet!G68</f>
        <v>11367.68</v>
      </c>
      <c r="I134" s="37"/>
      <c r="J134" s="38"/>
      <c r="K134" s="38"/>
      <c r="L134" s="39"/>
    </row>
    <row r="135" spans="2:12" ht="19.5" thickBot="1" x14ac:dyDescent="0.3">
      <c r="B135" s="14" t="s">
        <v>196</v>
      </c>
      <c r="C135" s="14">
        <f>ROUND(365/C133*C134, 2)</f>
        <v>24.94</v>
      </c>
      <c r="D135" s="14">
        <f t="shared" ref="D135:G135" si="27">ROUND(365/D133*D134, 2)</f>
        <v>14.27</v>
      </c>
      <c r="E135" s="14">
        <f t="shared" si="27"/>
        <v>38.96</v>
      </c>
      <c r="F135" s="14">
        <f t="shared" si="27"/>
        <v>56.49</v>
      </c>
      <c r="G135" s="14">
        <f t="shared" si="27"/>
        <v>37.82</v>
      </c>
      <c r="I135" s="40"/>
      <c r="J135" s="41"/>
      <c r="K135" s="41"/>
      <c r="L135" s="42"/>
    </row>
    <row r="136" spans="2:12" ht="15.75" thickTop="1" x14ac:dyDescent="0.25"/>
    <row r="137" spans="2:12" ht="18.75" x14ac:dyDescent="0.25">
      <c r="B137" s="43" t="s">
        <v>197</v>
      </c>
      <c r="C137" s="43"/>
      <c r="D137" s="43"/>
      <c r="E137" s="43"/>
      <c r="F137" s="43"/>
      <c r="G137" s="43"/>
    </row>
    <row r="138" spans="2:12" ht="18.75" x14ac:dyDescent="0.25">
      <c r="B138" s="12" t="str">
        <f>Income_Statement!B5</f>
        <v>Gross Sales</v>
      </c>
      <c r="C138" s="13">
        <f>Income_Statement!C5</f>
        <v>127162.17</v>
      </c>
      <c r="D138" s="13">
        <f>Income_Statement!D5</f>
        <v>140603</v>
      </c>
      <c r="E138" s="13">
        <f>Income_Statement!E5</f>
        <v>134979.13</v>
      </c>
      <c r="F138" s="13">
        <f>Income_Statement!F5</f>
        <v>126786.13</v>
      </c>
      <c r="G138" s="13">
        <f>Income_Statement!G5</f>
        <v>109713.5</v>
      </c>
    </row>
    <row r="139" spans="2:12" ht="18.75" x14ac:dyDescent="0.25">
      <c r="B139" s="12" t="str">
        <f>Balance_Sheet!B66</f>
        <v>Inventories</v>
      </c>
      <c r="C139" s="13">
        <f>Balance_Sheet!C66</f>
        <v>6443.85</v>
      </c>
      <c r="D139" s="13">
        <f>Balance_Sheet!D66</f>
        <v>5583.93</v>
      </c>
      <c r="E139" s="13">
        <f>Balance_Sheet!E66</f>
        <v>6617.98</v>
      </c>
      <c r="F139" s="13">
        <f>Balance_Sheet!F66</f>
        <v>8947.4699999999993</v>
      </c>
      <c r="G139" s="13">
        <f>Balance_Sheet!G66</f>
        <v>7075.68</v>
      </c>
    </row>
    <row r="140" spans="2:12" ht="18.75" x14ac:dyDescent="0.25">
      <c r="B140" s="12" t="s">
        <v>192</v>
      </c>
      <c r="C140" s="13">
        <f>ROUND(365/C138*C139, 2)</f>
        <v>18.5</v>
      </c>
      <c r="D140" s="13">
        <f t="shared" ref="D140:G140" si="28">ROUND(365/D138*D139, 2)</f>
        <v>14.5</v>
      </c>
      <c r="E140" s="13">
        <f t="shared" si="28"/>
        <v>17.899999999999999</v>
      </c>
      <c r="F140" s="13">
        <f t="shared" si="28"/>
        <v>25.76</v>
      </c>
      <c r="G140" s="13">
        <f t="shared" si="28"/>
        <v>23.54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9345.99</v>
      </c>
      <c r="D141" s="13">
        <f>Income_Statement!D17</f>
        <v>9774.51</v>
      </c>
      <c r="E141" s="13">
        <f>Income_Statement!E17</f>
        <v>9552.7800000000007</v>
      </c>
      <c r="F141" s="13">
        <f>Income_Statement!F17</f>
        <v>10123.540000000001</v>
      </c>
      <c r="G141" s="13">
        <f>Income_Statement!G17</f>
        <v>9442.18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105751.77</v>
      </c>
      <c r="D142" s="13">
        <f>Balance_Sheet!D33</f>
        <v>103655.38999999998</v>
      </c>
      <c r="E142" s="13">
        <f>Balance_Sheet!E33</f>
        <v>111043.45</v>
      </c>
      <c r="F142" s="13">
        <f>Balance_Sheet!F33</f>
        <v>118223.88</v>
      </c>
      <c r="G142" s="13">
        <f>Balance_Sheet!G33</f>
        <v>132305.72</v>
      </c>
      <c r="I142" s="34"/>
      <c r="J142" s="35"/>
      <c r="K142" s="35"/>
      <c r="L142" s="36"/>
    </row>
    <row r="143" spans="2:12" ht="18.75" x14ac:dyDescent="0.25">
      <c r="B143" s="12" t="s">
        <v>194</v>
      </c>
      <c r="C143" s="13">
        <f>ROUND(365/C141*C142, 2)</f>
        <v>4130.05</v>
      </c>
      <c r="D143" s="13">
        <f t="shared" ref="D143:G143" si="29">ROUND(365/D141*D142, 2)</f>
        <v>3870.7</v>
      </c>
      <c r="E143" s="13">
        <f t="shared" si="29"/>
        <v>4242.83</v>
      </c>
      <c r="F143" s="13">
        <f t="shared" si="29"/>
        <v>4262.51</v>
      </c>
      <c r="G143" s="13">
        <f t="shared" si="29"/>
        <v>5114.45</v>
      </c>
      <c r="I143" s="37"/>
      <c r="J143" s="38"/>
      <c r="K143" s="38"/>
      <c r="L143" s="39"/>
    </row>
    <row r="144" spans="2:12" ht="19.5" thickBot="1" x14ac:dyDescent="0.3">
      <c r="B144" s="14" t="s">
        <v>198</v>
      </c>
      <c r="C144" s="16">
        <f>ROUND(C143+C140, 2)</f>
        <v>4148.55</v>
      </c>
      <c r="D144" s="16">
        <f t="shared" ref="D144:G144" si="30">ROUND(D143+D140, 2)</f>
        <v>3885.2</v>
      </c>
      <c r="E144" s="16">
        <f t="shared" si="30"/>
        <v>4260.7299999999996</v>
      </c>
      <c r="F144" s="16">
        <f t="shared" si="30"/>
        <v>4288.2700000000004</v>
      </c>
      <c r="G144" s="16">
        <f t="shared" si="30"/>
        <v>5137.99</v>
      </c>
      <c r="I144" s="40"/>
      <c r="J144" s="41"/>
      <c r="K144" s="41"/>
      <c r="L144" s="42"/>
    </row>
    <row r="145" spans="2:12" ht="15.75" thickTop="1" x14ac:dyDescent="0.25"/>
    <row r="146" spans="2:12" ht="18.75" x14ac:dyDescent="0.25">
      <c r="B146" s="43" t="s">
        <v>199</v>
      </c>
      <c r="C146" s="43"/>
      <c r="D146" s="43"/>
      <c r="E146" s="43"/>
      <c r="F146" s="43"/>
      <c r="G146" s="43"/>
    </row>
    <row r="147" spans="2:12" ht="18.75" x14ac:dyDescent="0.25">
      <c r="B147" s="12" t="str">
        <f>Income_Statement!B5</f>
        <v>Gross Sales</v>
      </c>
      <c r="C147" s="13">
        <f>Income_Statement!C5</f>
        <v>127162.17</v>
      </c>
      <c r="D147" s="13">
        <f>Income_Statement!D5</f>
        <v>140603</v>
      </c>
      <c r="E147" s="13">
        <f>Income_Statement!E5</f>
        <v>134979.13</v>
      </c>
      <c r="F147" s="13">
        <f>Income_Statement!F5</f>
        <v>126786.13</v>
      </c>
      <c r="G147" s="13">
        <f>Income_Statement!G5</f>
        <v>109713.5</v>
      </c>
    </row>
    <row r="148" spans="2:12" ht="18.75" x14ac:dyDescent="0.25">
      <c r="B148" s="12" t="str">
        <f>Balance_Sheet!B66</f>
        <v>Inventories</v>
      </c>
      <c r="C148" s="13">
        <f>Balance_Sheet!C66</f>
        <v>6443.85</v>
      </c>
      <c r="D148" s="13">
        <f>Balance_Sheet!D66</f>
        <v>5583.93</v>
      </c>
      <c r="E148" s="13">
        <f>Balance_Sheet!E66</f>
        <v>6617.98</v>
      </c>
      <c r="F148" s="13">
        <f>Balance_Sheet!F66</f>
        <v>8947.4699999999993</v>
      </c>
      <c r="G148" s="13">
        <f>Balance_Sheet!G66</f>
        <v>7075.68</v>
      </c>
    </row>
    <row r="149" spans="2:12" ht="18.75" x14ac:dyDescent="0.25">
      <c r="B149" s="12" t="s">
        <v>192</v>
      </c>
      <c r="C149" s="13">
        <f>ROUND(365/C147*C148, 2)</f>
        <v>18.5</v>
      </c>
      <c r="D149" s="13">
        <f t="shared" ref="D149:G149" si="31">ROUND(365/D147*D148, 2)</f>
        <v>14.5</v>
      </c>
      <c r="E149" s="13">
        <f t="shared" si="31"/>
        <v>17.899999999999999</v>
      </c>
      <c r="F149" s="13">
        <f t="shared" si="31"/>
        <v>25.76</v>
      </c>
      <c r="G149" s="13">
        <f t="shared" si="31"/>
        <v>23.54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9345.99</v>
      </c>
      <c r="D150" s="13">
        <f>Income_Statement!D17</f>
        <v>9774.51</v>
      </c>
      <c r="E150" s="13">
        <f>Income_Statement!E17</f>
        <v>9552.7800000000007</v>
      </c>
      <c r="F150" s="13">
        <f>Income_Statement!F17</f>
        <v>10123.540000000001</v>
      </c>
      <c r="G150" s="13">
        <f>Income_Statement!G17</f>
        <v>9442.18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105751.77</v>
      </c>
      <c r="D151" s="13">
        <f>Balance_Sheet!D33</f>
        <v>103655.38999999998</v>
      </c>
      <c r="E151" s="13">
        <f>Balance_Sheet!E33</f>
        <v>111043.45</v>
      </c>
      <c r="F151" s="13">
        <f>Balance_Sheet!F33</f>
        <v>118223.88</v>
      </c>
      <c r="G151" s="13">
        <f>Balance_Sheet!G33</f>
        <v>132305.72</v>
      </c>
    </row>
    <row r="152" spans="2:12" ht="18.75" x14ac:dyDescent="0.25">
      <c r="B152" s="12" t="s">
        <v>194</v>
      </c>
      <c r="C152" s="13">
        <f>ROUND(365/C150*C151, 2)</f>
        <v>4130.05</v>
      </c>
      <c r="D152" s="13">
        <f t="shared" ref="D152:G152" si="32">ROUND(365/D150*D151, 2)</f>
        <v>3870.7</v>
      </c>
      <c r="E152" s="13">
        <f t="shared" si="32"/>
        <v>4242.83</v>
      </c>
      <c r="F152" s="13">
        <f t="shared" si="32"/>
        <v>4262.51</v>
      </c>
      <c r="G152" s="13">
        <f t="shared" si="32"/>
        <v>5114.45</v>
      </c>
    </row>
    <row r="153" spans="2:12" ht="18.75" x14ac:dyDescent="0.25">
      <c r="B153" s="12" t="s">
        <v>200</v>
      </c>
      <c r="C153" s="13">
        <f>ROUND(C152+C149, 2)</f>
        <v>4148.55</v>
      </c>
      <c r="D153" s="13">
        <f t="shared" ref="D153:G153" si="33">ROUND(D152+D149, 2)</f>
        <v>3885.2</v>
      </c>
      <c r="E153" s="13">
        <f t="shared" si="33"/>
        <v>4260.7299999999996</v>
      </c>
      <c r="F153" s="13">
        <f t="shared" si="33"/>
        <v>4288.2700000000004</v>
      </c>
      <c r="G153" s="13">
        <f t="shared" si="33"/>
        <v>5137.99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9345.99</v>
      </c>
      <c r="D154" s="13">
        <f>Income_Statement!D17</f>
        <v>9774.51</v>
      </c>
      <c r="E154" s="13">
        <f>Income_Statement!E17</f>
        <v>9552.7800000000007</v>
      </c>
      <c r="F154" s="13">
        <f>Income_Statement!F17</f>
        <v>10123.540000000001</v>
      </c>
      <c r="G154" s="13">
        <f>Income_Statement!G17</f>
        <v>9442.18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105751.77</v>
      </c>
      <c r="D155" s="13">
        <f>Balance_Sheet!D33</f>
        <v>103655.38999999998</v>
      </c>
      <c r="E155" s="13">
        <f>Balance_Sheet!E33</f>
        <v>111043.45</v>
      </c>
      <c r="F155" s="13">
        <f>Balance_Sheet!F33</f>
        <v>118223.88</v>
      </c>
      <c r="G155" s="13">
        <f>Balance_Sheet!G33</f>
        <v>132305.72</v>
      </c>
      <c r="I155" s="34"/>
      <c r="J155" s="35"/>
      <c r="K155" s="35"/>
      <c r="L155" s="36"/>
    </row>
    <row r="156" spans="2:12" ht="18.75" x14ac:dyDescent="0.25">
      <c r="B156" s="12" t="s">
        <v>194</v>
      </c>
      <c r="C156" s="13">
        <f>ROUND(365/C154*C155, 2)</f>
        <v>4130.05</v>
      </c>
      <c r="D156" s="13">
        <f t="shared" ref="D156:G156" si="34">ROUND(365/D154*D155, 2)</f>
        <v>3870.7</v>
      </c>
      <c r="E156" s="13">
        <f t="shared" si="34"/>
        <v>4242.83</v>
      </c>
      <c r="F156" s="13">
        <f t="shared" si="34"/>
        <v>4262.51</v>
      </c>
      <c r="G156" s="13">
        <f t="shared" si="34"/>
        <v>5114.45</v>
      </c>
      <c r="I156" s="37"/>
      <c r="J156" s="38"/>
      <c r="K156" s="38"/>
      <c r="L156" s="39"/>
    </row>
    <row r="157" spans="2:12" ht="19.5" thickBot="1" x14ac:dyDescent="0.3">
      <c r="B157" s="14" t="s">
        <v>201</v>
      </c>
      <c r="C157" s="16">
        <f>ROUND(C156-C153, 2)</f>
        <v>-18.5</v>
      </c>
      <c r="D157" s="16">
        <f t="shared" ref="D157:G157" si="35">ROUND(D156-D153, 2)</f>
        <v>-14.5</v>
      </c>
      <c r="E157" s="16">
        <f t="shared" si="35"/>
        <v>-17.899999999999999</v>
      </c>
      <c r="F157" s="16">
        <f t="shared" si="35"/>
        <v>-25.76</v>
      </c>
      <c r="G157" s="16">
        <f t="shared" si="35"/>
        <v>-23.54</v>
      </c>
      <c r="I157" s="40"/>
      <c r="J157" s="41"/>
      <c r="K157" s="41"/>
      <c r="L157" s="42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92D9BC0E-2316-4230-B1E0-175078EE5723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A36186B1-208D-4ABD-9726-3832A2AD7FC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79D387F5-A991-4B38-935D-90F68E436DE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0AE51D64-7B20-4078-8E07-762A759D17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BDF387C6-EA8B-4521-A3FE-7B7A6ADD8A4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E040B12A-3E11-480E-9C91-DD9217D5B28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209914D8-D65F-4286-A598-5990EA3FE18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BACFE437-F010-4ABD-BFCC-9DC88FD4D7F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CAF9A301-B595-4646-9A1A-F0FF090EA83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DB4DCC97-6E87-4B3D-A92B-8D7CF4060BE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CAB4B8B8-46D3-42D1-8438-3AF3068DED3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1E065ED2-6CC1-4E24-A1D1-3C1D16A8F58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D1DC1BDA-BF3B-4705-B5C9-74CA8EBE07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1254B4E4-C8A2-4F16-881F-0B21D874B6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05ADDB51-EF59-430C-B9D8-50379CDEB7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F4FC76ED-8507-4A46-A64C-1D2C5B12F35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AA2D8E32-77CC-47E5-AB5D-DF521AD5C99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64A38C69-30D2-4490-B32C-33F2E6330B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5550F3BB-3470-4EC2-845F-0DD1FD6A70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E44B0916-3335-4A6E-A962-137C88324F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08996EE5-FC85-4338-BD58-AFE312D940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14E238C0-C2B9-4ABD-BF12-5D7AC97D84D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55F65BF7-1B1D-410B-95AD-FC029F12E49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FC1B6A19-7545-4D0F-BC1C-AA30E3742B5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A73B3E65-3E7C-43F8-9F58-4EFD2BBB6E8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CDC416AD-BDD0-4E99-A0F7-A487CB8303B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1D361210-4C19-4EA0-8536-03FA2EB16E0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0AEE21D8-BDD5-4502-A616-9B6FCA41E7E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3C320-D311-4525-9E7D-9371DA0822B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1.5703125" bestFit="1" customWidth="1"/>
    <col min="4" max="4" width="13.140625" bestFit="1" customWidth="1"/>
    <col min="5" max="6" width="11.5703125" bestFit="1" customWidth="1"/>
    <col min="7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145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4910.6691195840831</v>
      </c>
      <c r="D6" s="13">
        <f>Income_Statement!D49</f>
        <v>11784.862472991332</v>
      </c>
      <c r="E6" s="13">
        <f>Income_Statement!E49</f>
        <v>9160.2373592784206</v>
      </c>
      <c r="F6" s="13">
        <f>Income_Statement!F49</f>
        <v>4363.3422725798227</v>
      </c>
      <c r="G6" s="13">
        <f>Income_Statement!G49</f>
        <v>19800.095588327782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446.42446541673485</v>
      </c>
      <c r="D7" s="13">
        <f>Income_Statement!D61</f>
        <v>420.88794546397611</v>
      </c>
      <c r="E7" s="13">
        <f>Income_Statement!E61</f>
        <v>339.2680503436452</v>
      </c>
      <c r="F7" s="13">
        <f>Income_Statement!F61</f>
        <v>207.77820345618204</v>
      </c>
      <c r="G7" s="13">
        <f>Income_Statement!G61</f>
        <v>707.14627101170652</v>
      </c>
    </row>
    <row r="8" spans="2:15" ht="18.75" x14ac:dyDescent="0.25">
      <c r="B8" s="14" t="s">
        <v>146</v>
      </c>
      <c r="C8" s="14">
        <f>ROUND(C6/C7, 2)</f>
        <v>11</v>
      </c>
      <c r="D8" s="14">
        <f t="shared" ref="D8:G8" si="0">ROUND(D6/D7, 2)</f>
        <v>28</v>
      </c>
      <c r="E8" s="14">
        <f t="shared" si="0"/>
        <v>27</v>
      </c>
      <c r="F8" s="14">
        <f t="shared" si="0"/>
        <v>21</v>
      </c>
      <c r="G8" s="14">
        <f t="shared" si="0"/>
        <v>28</v>
      </c>
    </row>
  </sheetData>
  <mergeCells count="1">
    <mergeCell ref="B5:G5"/>
  </mergeCells>
  <hyperlinks>
    <hyperlink ref="F1" location="Index_Data!A1" tooltip="Hi click here To return Index page" display="Index_Data!A1" xr:uid="{EEF11330-1A06-4471-90A6-1E34728AA094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C73E9-AF72-451E-8B6B-4767371EB29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6" width="11.5703125" bestFit="1" customWidth="1"/>
    <col min="7" max="7" width="1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147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10242.24</v>
      </c>
      <c r="D6" s="13">
        <f>Income_Statement!D51</f>
        <v>8105.58</v>
      </c>
      <c r="E6" s="13">
        <f>Income_Statement!E51</f>
        <v>7395.27</v>
      </c>
      <c r="F6" s="13">
        <f>Income_Statement!F51</f>
        <v>7703.44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446.42446541673485</v>
      </c>
      <c r="D7" s="13">
        <f>Income_Statement!D61</f>
        <v>420.88794546397611</v>
      </c>
      <c r="E7" s="13">
        <f>Income_Statement!E61</f>
        <v>339.2680503436452</v>
      </c>
      <c r="F7" s="13">
        <f>Income_Statement!F61</f>
        <v>207.77820345618204</v>
      </c>
      <c r="G7" s="13">
        <f>Income_Statement!G61</f>
        <v>707.14627101170652</v>
      </c>
    </row>
    <row r="8" spans="2:15" ht="18.75" x14ac:dyDescent="0.25">
      <c r="B8" s="14" t="s">
        <v>148</v>
      </c>
      <c r="C8" s="14">
        <f>ROUND(C6/C7, 2)</f>
        <v>22.94</v>
      </c>
      <c r="D8" s="14">
        <f t="shared" ref="D8:G8" si="0">ROUND(D6/D7, 2)</f>
        <v>19.260000000000002</v>
      </c>
      <c r="E8" s="14">
        <f t="shared" si="0"/>
        <v>21.8</v>
      </c>
      <c r="F8" s="14">
        <f t="shared" si="0"/>
        <v>37.08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CEBC4A83-A482-44EF-B07A-82C5905108A7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2022-07-03T11:05:34Z</dcterms:created>
  <dcterms:modified xsi:type="dcterms:W3CDTF">2022-07-04T08:02:35Z</dcterms:modified>
</cp:coreProperties>
</file>