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145FBB21-1A0A-4761-8C07-2AE0DFC88F24}" xr6:coauthVersionLast="47" xr6:coauthVersionMax="47" xr10:uidLastSave="{00000000-0000-0000-0000-000000000000}"/>
  <bookViews>
    <workbookView xWindow="-120" yWindow="-120" windowWidth="20730" windowHeight="11160" firstSheet="2" activeTab="2" xr2:uid="{3EAD5EFA-9387-4E53-B1F5-EA453D652BDE}"/>
  </bookViews>
  <sheets>
    <sheet name="BSInput" sheetId="1" r:id="rId1"/>
    <sheet name="ISMInput" sheetId="2" r:id="rId2"/>
    <sheet name="Index_Data" sheetId="48" r:id="rId3"/>
    <sheet name="Income_Statement" sheetId="3" r:id="rId4"/>
    <sheet name="Balance_Sheet" sheetId="4" r:id="rId5"/>
    <sheet name="CashFlow_Statement" sheetId="5" r:id="rId6"/>
    <sheet name="Ratios" sheetId="6" r:id="rId7"/>
    <sheet name="Earning__Per_Share" sheetId="7" r:id="rId8"/>
    <sheet name="Equity_Dividend_Per_Share" sheetId="8" r:id="rId9"/>
    <sheet name="Book_Value__Per_Share" sheetId="9" r:id="rId10"/>
    <sheet name="Dividend_Pay_Out_Ratio" sheetId="10" r:id="rId11"/>
    <sheet name="Dividend_Retention_Ratio" sheetId="11" r:id="rId12"/>
    <sheet name="Gross_Profit" sheetId="12" r:id="rId13"/>
    <sheet name="Net_Profit" sheetId="13" r:id="rId14"/>
    <sheet name="Return_On_Assets" sheetId="14" r:id="rId15"/>
    <sheet name="Return_On_Capital_Employeed" sheetId="15" r:id="rId16"/>
    <sheet name="Return_On_Equity" sheetId="16" r:id="rId17"/>
    <sheet name="Debt_Equity_Ratio" sheetId="17" r:id="rId18"/>
    <sheet name="Current_Ratio" sheetId="18" r:id="rId19"/>
    <sheet name="Quick_Ratio" sheetId="19" r:id="rId20"/>
    <sheet name="Interest_Coverage_Ratio" sheetId="20" r:id="rId21"/>
    <sheet name="Material_Consumed" sheetId="21" r:id="rId22"/>
    <sheet name="Defensive_Interval_Ratio" sheetId="22" r:id="rId23"/>
    <sheet name="Purchases_Per_Day" sheetId="23" r:id="rId24"/>
    <sheet name="Asset_TurnOver_Ratio" sheetId="24" r:id="rId25"/>
    <sheet name="Inventory_TurnOver_Ratio" sheetId="25" r:id="rId26"/>
    <sheet name="Debtors_TurnOver_Ratio" sheetId="26" r:id="rId27"/>
    <sheet name="Fixed_Assets_TurnOver_Ratio" sheetId="27" r:id="rId28"/>
    <sheet name="Payable_TurnOver_Ratio" sheetId="28" r:id="rId29"/>
    <sheet name="Inventory_Days" sheetId="29" r:id="rId30"/>
    <sheet name="Payable_Days" sheetId="30" r:id="rId31"/>
    <sheet name="Receivable_Days" sheetId="31" r:id="rId32"/>
    <sheet name="Operating_Cycle" sheetId="32" r:id="rId33"/>
    <sheet name="Cash_Conversion_Cycle_Days" sheetId="33" r:id="rId34"/>
    <sheet name="NetWorthVsTotalLiabilties" sheetId="34" r:id="rId35"/>
    <sheet name="PBDITvsPBIT" sheetId="35" r:id="rId36"/>
    <sheet name="CAvsCL" sheetId="36" r:id="rId37"/>
    <sheet name="Long_And_Short_Term_Provisions" sheetId="37" r:id="rId38"/>
    <sheet name="MaterialConsumed_DirectExpenses" sheetId="38" r:id="rId39"/>
    <sheet name="Gross_Sales_In_Total_Income" sheetId="39" r:id="rId40"/>
    <sheet name="Total_Debt_In_Liabilities" sheetId="40" r:id="rId41"/>
    <sheet name="Total_CL_In_Liabilities" sheetId="41" r:id="rId42"/>
    <sheet name="Total_NCA_In_Assets" sheetId="42" r:id="rId43"/>
    <sheet name="Total_CA_In_Assets" sheetId="43" r:id="rId44"/>
    <sheet name="TotalExpenditureVsTotalIncome" sheetId="44" r:id="rId45"/>
    <sheet name="Net_Profit_CF_To_Balance_Sheet" sheetId="45" r:id="rId46"/>
    <sheet name="BS_Backup" sheetId="46" r:id="rId47"/>
    <sheet name="ISM_Backup" sheetId="47" r:id="rId48"/>
  </sheets>
  <definedNames>
    <definedName name="AmountCFtoBalanceSheet">Income_Statement!$B$55:$G$55</definedName>
    <definedName name="AssetTurnOverRatio">Asset_TurnOver_Ratio!$B$8:$G$8</definedName>
    <definedName name="BookValuePerShare">Book_Value__Per_Share!$B$8:$G$8</definedName>
    <definedName name="CapitalWorkInProgress">Balance_Sheet!$B$52:$G$52</definedName>
    <definedName name="CashAndCashEquivalents">Balance_Sheet!$B$70:$G$70</definedName>
    <definedName name="CashCFtoBalanceSheet">CashFlow_Statement!$B$48:$G$48</definedName>
    <definedName name="CostOfMaterialsConsumed">Income_Statement!$B$17:$G$17</definedName>
    <definedName name="CurrentInvestments">Balance_Sheet!$B$50:$G$50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Balance_Sheet!$B$56:$G$56</definedName>
    <definedName name="DeferredTaxLiabilitiesNet">Balance_Sheet!$B$17:$G$17</definedName>
    <definedName name="Depreciation">Balance_Sheet!$B$44:$G$44</definedName>
    <definedName name="DepreciationAndAmortisationExpenses">Income_Statement!$B$31:$G$31</definedName>
    <definedName name="EarningPerShare">Earning__Per_Share!$B$8:$G$8</definedName>
    <definedName name="EmployeeBenefitExpenses">Income_Statement!$B$21:$G$21</definedName>
    <definedName name="EquityDividendPerShare">Equity_Dividend_Per_Share!$B$8:$G$8</definedName>
    <definedName name="EquityShareCapital">Balance_Sheet!$B$5:$G$5</definedName>
    <definedName name="EquityShareDividend">Income_Statement!$B$51:$G$51</definedName>
    <definedName name="ExceptionalItems">Income_Statement!$B$43:$G$43</definedName>
    <definedName name="ExciseDuty">Income_Statement!$B$7:$G$7</definedName>
    <definedName name="FinanceCosts">Income_Statement!$B$35:$G$35</definedName>
    <definedName name="GrossProfit">Gross_Profit!$B$8:$G$8</definedName>
    <definedName name="GrossSales">Income_Statement!$B$5:$G$5</definedName>
    <definedName name="IntangibleAssets">Balance_Sheet!$B$42:$G$42</definedName>
    <definedName name="InterestCoverageRatio">Interest_Coverage_Ratio!$B$8:$G$8</definedName>
    <definedName name="Inventories">Balance_Sheet!$B$66:$G$66</definedName>
    <definedName name="InventoryTurnOverRatio">Inventory_TurnOver_Ratio!$B$8:$G$8</definedName>
    <definedName name="LongTermBorrowings">Balance_Sheet!$B$15:$G$15</definedName>
    <definedName name="LongTermLoansAndAdvances">Balance_Sheet!$B$58:$G$58</definedName>
    <definedName name="LongTermProvisions">Balance_Sheet!$B$23:$G$23</definedName>
    <definedName name="MaterialConsumed">Material_Consumed!$B$8:$G$8</definedName>
    <definedName name="MinorityInterest">Balance_Sheet!$B$35:$G$35</definedName>
    <definedName name="NetAssets">Balance_Sheet!$B$46:$G$46</definedName>
    <definedName name="NetProfit">Net_Profit!$B$8:$G$8</definedName>
    <definedName name="NetSales">Income_Statement!$B$9:$G$9</definedName>
    <definedName name="NetWorth">Balance_Sheet!$B$13:$G$13</definedName>
    <definedName name="NonCurrentInvestments">Balance_Sheet!$B$48:$G$48</definedName>
    <definedName name="OperatingAndDirectExpenses">Income_Statement!$B$19:$G$19</definedName>
    <definedName name="OperatingProfit">Income_Statement!$B$27:$G$27</definedName>
    <definedName name="OtherCurrentAssets">Balance_Sheet!$B$64:$G$64</definedName>
    <definedName name="OtherCurrentLiabilities">Balance_Sheet!$B$31:$G$31</definedName>
    <definedName name="OtherExpenses">Income_Statement!$B$23:$G$23</definedName>
    <definedName name="OtherIncome">Income_Statement!$B$11:$G$11</definedName>
    <definedName name="OtherLongTermLiabilities">Balance_Sheet!$B$27:$G$27</definedName>
    <definedName name="OtherNonCurrentAssets">Balance_Sheet!$B$60:$G$60</definedName>
    <definedName name="PBDIT">Income_Statement!$B$29:$G$29</definedName>
    <definedName name="PBIT">Income_Statement!$B$33:$G$33</definedName>
    <definedName name="PBT">Income_Statement!$B$41:$G$41</definedName>
    <definedName name="PBTPostExtraOrdinaryItems">Income_Statement!$B$45:$G$45</definedName>
    <definedName name="PreferenceShareCapital">Balance_Sheet!$B$7:$G$7</definedName>
    <definedName name="ProfitBeforeshareofAssociates">Income_Statement!$B$37:$G$37</definedName>
    <definedName name="QuickRatio">Quick_Ratio!$B$9:$G$9</definedName>
    <definedName name="ReportedNetProfitPAT">Income_Statement!$B$49:$G$49</definedName>
    <definedName name="ReservesandSurplus">Balance_Sheet!$B$11:$G$11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Income_Statement!$B$39:$G$39</definedName>
    <definedName name="SharesOutstanding">Income_Statement!$B$61:$G$61</definedName>
    <definedName name="ShortTermBorrowings">Balance_Sheet!$B$19:$G$19</definedName>
    <definedName name="ShortTermLoansAndAdvances">Balance_Sheet!$B$62:$G$62</definedName>
    <definedName name="ShortTermProvisions">Balance_Sheet!$B$25:$G$25</definedName>
    <definedName name="StockAdjustments">Income_Statement!$B$13:$G$13</definedName>
    <definedName name="TangibleAssets">Balance_Sheet!$B$40:$G$40</definedName>
    <definedName name="TaxOnDividend">Income_Statement!$B$53:$G$53</definedName>
    <definedName name="TotalAssets">Balance_Sheet!$B$74:$G$74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Balance_Sheet!$B$72:$G$72</definedName>
    <definedName name="TotalCurrentLiabilities">Balance_Sheet!$B$33:$G$33</definedName>
    <definedName name="TotalDebt">Balance_Sheet!$B$21:$G$21</definedName>
    <definedName name="TotalExpenditure">Income_Statement!$B$25:$G$25</definedName>
    <definedName name="TotalIncome">Income_Statement!$B$15:$G$15</definedName>
    <definedName name="TotalLiabilities">Balance_Sheet!$B$37:$G$37</definedName>
    <definedName name="TotalNonCashNonOperatingTransactions">CashFlow_Statement!$B$10:$G$10</definedName>
    <definedName name="TotalNonCurrentAssets">Balance_Sheet!$B$54:$G$54</definedName>
    <definedName name="TotalShareCapital">Balance_Sheet!$B$9:$G$9</definedName>
    <definedName name="TotalTaxExpenses">Income_Statement!$B$47:$G$47</definedName>
    <definedName name="TradePayables">Balance_Sheet!$B$29:$G$29</definedName>
    <definedName name="TradeReceivables">Balance_Sheet!$B$68:$G$68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4" l="1"/>
  <c r="J11" i="4"/>
  <c r="K11" i="4"/>
  <c r="L11" i="4"/>
  <c r="L13" i="4" s="1"/>
  <c r="L14" i="4" s="1"/>
  <c r="H11" i="4"/>
  <c r="I65" i="3"/>
  <c r="J65" i="3" s="1"/>
  <c r="K65" i="3" s="1"/>
  <c r="L65" i="3" s="1"/>
  <c r="H65" i="3"/>
  <c r="D65" i="3"/>
  <c r="E65" i="3"/>
  <c r="F65" i="3"/>
  <c r="G65" i="3"/>
  <c r="C65" i="3"/>
  <c r="H48" i="3"/>
  <c r="I48" i="3"/>
  <c r="J48" i="3"/>
  <c r="K48" i="3"/>
  <c r="L48" i="3"/>
  <c r="I47" i="3"/>
  <c r="J47" i="3"/>
  <c r="K47" i="3"/>
  <c r="L47" i="3"/>
  <c r="H47" i="3"/>
  <c r="I64" i="3"/>
  <c r="J64" i="3" s="1"/>
  <c r="K64" i="3" s="1"/>
  <c r="L64" i="3" s="1"/>
  <c r="H64" i="3"/>
  <c r="D64" i="3"/>
  <c r="E64" i="3"/>
  <c r="F64" i="3"/>
  <c r="G64" i="3"/>
  <c r="C64" i="3"/>
  <c r="H36" i="3"/>
  <c r="I36" i="3"/>
  <c r="J36" i="3"/>
  <c r="K36" i="3"/>
  <c r="L36" i="3"/>
  <c r="I35" i="3"/>
  <c r="J35" i="3"/>
  <c r="K35" i="3"/>
  <c r="L35" i="3"/>
  <c r="L8" i="5" s="1"/>
  <c r="H35" i="3"/>
  <c r="I63" i="3"/>
  <c r="J63" i="3"/>
  <c r="K63" i="3" s="1"/>
  <c r="L63" i="3" s="1"/>
  <c r="H63" i="3"/>
  <c r="D63" i="3"/>
  <c r="E63" i="3"/>
  <c r="F63" i="3"/>
  <c r="G63" i="3"/>
  <c r="C63" i="3"/>
  <c r="H32" i="3"/>
  <c r="I32" i="3"/>
  <c r="J32" i="3"/>
  <c r="K32" i="3"/>
  <c r="L32" i="3"/>
  <c r="I31" i="3"/>
  <c r="J31" i="3"/>
  <c r="K31" i="3"/>
  <c r="L31" i="3"/>
  <c r="H31" i="3"/>
  <c r="H44" i="4" s="1"/>
  <c r="I62" i="3"/>
  <c r="J62" i="3" s="1"/>
  <c r="K62" i="3" s="1"/>
  <c r="L62" i="3" s="1"/>
  <c r="H62" i="3"/>
  <c r="D62" i="3"/>
  <c r="E62" i="3"/>
  <c r="F62" i="3"/>
  <c r="G62" i="3"/>
  <c r="C62" i="3"/>
  <c r="J47" i="5"/>
  <c r="H46" i="5"/>
  <c r="H47" i="5" s="1"/>
  <c r="I46" i="5"/>
  <c r="I47" i="5" s="1"/>
  <c r="J46" i="5"/>
  <c r="K46" i="5"/>
  <c r="K47" i="5" s="1"/>
  <c r="H45" i="5"/>
  <c r="I45" i="5"/>
  <c r="J45" i="5"/>
  <c r="K45" i="5"/>
  <c r="L45" i="5"/>
  <c r="H44" i="5"/>
  <c r="I44" i="5"/>
  <c r="J44" i="5"/>
  <c r="K44" i="5"/>
  <c r="L44" i="5"/>
  <c r="H42" i="5"/>
  <c r="I42" i="5"/>
  <c r="J42" i="5"/>
  <c r="K42" i="5"/>
  <c r="L42" i="5"/>
  <c r="H41" i="5"/>
  <c r="I41" i="5"/>
  <c r="J41" i="5"/>
  <c r="K41" i="5"/>
  <c r="L41" i="5"/>
  <c r="H40" i="5"/>
  <c r="I40" i="5"/>
  <c r="J40" i="5"/>
  <c r="K40" i="5"/>
  <c r="L40" i="5"/>
  <c r="H39" i="5"/>
  <c r="I39" i="5"/>
  <c r="J39" i="5"/>
  <c r="K39" i="5"/>
  <c r="L39" i="5"/>
  <c r="H38" i="5"/>
  <c r="I38" i="5"/>
  <c r="J38" i="5"/>
  <c r="K38" i="5"/>
  <c r="L38" i="5"/>
  <c r="H37" i="5"/>
  <c r="I37" i="5"/>
  <c r="J37" i="5"/>
  <c r="K37" i="5"/>
  <c r="L37" i="5"/>
  <c r="H35" i="5"/>
  <c r="I35" i="5"/>
  <c r="J35" i="5"/>
  <c r="K35" i="5"/>
  <c r="L35" i="5"/>
  <c r="H34" i="5"/>
  <c r="I34" i="5"/>
  <c r="J34" i="5"/>
  <c r="K34" i="5"/>
  <c r="L34" i="5"/>
  <c r="H33" i="5"/>
  <c r="I33" i="5"/>
  <c r="J33" i="5"/>
  <c r="K33" i="5"/>
  <c r="L33" i="5"/>
  <c r="H32" i="5"/>
  <c r="I32" i="5"/>
  <c r="J32" i="5"/>
  <c r="K32" i="5"/>
  <c r="L32" i="5"/>
  <c r="H31" i="5"/>
  <c r="I31" i="5"/>
  <c r="J31" i="5"/>
  <c r="K31" i="5"/>
  <c r="L31" i="5"/>
  <c r="H30" i="5"/>
  <c r="I30" i="5"/>
  <c r="J30" i="5"/>
  <c r="K30" i="5"/>
  <c r="L30" i="5"/>
  <c r="H29" i="5"/>
  <c r="I29" i="5"/>
  <c r="J29" i="5"/>
  <c r="K29" i="5"/>
  <c r="L29" i="5"/>
  <c r="H26" i="5"/>
  <c r="I26" i="5"/>
  <c r="J26" i="5"/>
  <c r="K26" i="5"/>
  <c r="L26" i="5"/>
  <c r="H24" i="5"/>
  <c r="I24" i="5"/>
  <c r="J24" i="5"/>
  <c r="K24" i="5"/>
  <c r="L24" i="5"/>
  <c r="H23" i="5"/>
  <c r="I23" i="5"/>
  <c r="J23" i="5"/>
  <c r="K23" i="5"/>
  <c r="L23" i="5"/>
  <c r="H22" i="5"/>
  <c r="I22" i="5"/>
  <c r="J22" i="5"/>
  <c r="K22" i="5"/>
  <c r="L22" i="5"/>
  <c r="H21" i="5"/>
  <c r="I21" i="5"/>
  <c r="J21" i="5"/>
  <c r="K21" i="5"/>
  <c r="L21" i="5"/>
  <c r="H20" i="5"/>
  <c r="I20" i="5"/>
  <c r="J20" i="5"/>
  <c r="K20" i="5"/>
  <c r="L20" i="5"/>
  <c r="H18" i="5"/>
  <c r="I18" i="5"/>
  <c r="J18" i="5"/>
  <c r="K18" i="5"/>
  <c r="L18" i="5"/>
  <c r="H17" i="5"/>
  <c r="I17" i="5"/>
  <c r="J17" i="5"/>
  <c r="K17" i="5"/>
  <c r="L17" i="5"/>
  <c r="H16" i="5"/>
  <c r="I16" i="5"/>
  <c r="J16" i="5"/>
  <c r="K16" i="5"/>
  <c r="L16" i="5"/>
  <c r="H15" i="5"/>
  <c r="I15" i="5"/>
  <c r="J15" i="5"/>
  <c r="K15" i="5"/>
  <c r="L15" i="5"/>
  <c r="H14" i="5"/>
  <c r="I14" i="5"/>
  <c r="J14" i="5"/>
  <c r="K14" i="5"/>
  <c r="L14" i="5"/>
  <c r="H13" i="5"/>
  <c r="I13" i="5"/>
  <c r="J13" i="5"/>
  <c r="K13" i="5"/>
  <c r="L13" i="5"/>
  <c r="H12" i="5"/>
  <c r="I12" i="5"/>
  <c r="J12" i="5"/>
  <c r="K12" i="5"/>
  <c r="L12" i="5"/>
  <c r="H9" i="5"/>
  <c r="I9" i="5"/>
  <c r="J9" i="5"/>
  <c r="K9" i="5"/>
  <c r="L9" i="5"/>
  <c r="H8" i="5"/>
  <c r="I8" i="5"/>
  <c r="J8" i="5"/>
  <c r="K8" i="5"/>
  <c r="H7" i="5"/>
  <c r="I7" i="5"/>
  <c r="I10" i="5" s="1"/>
  <c r="J7" i="5"/>
  <c r="J10" i="5" s="1"/>
  <c r="K7" i="5"/>
  <c r="L7" i="5"/>
  <c r="H66" i="4"/>
  <c r="I67" i="4"/>
  <c r="I66" i="4" s="1"/>
  <c r="H67" i="4"/>
  <c r="L64" i="4"/>
  <c r="H64" i="4"/>
  <c r="I65" i="4"/>
  <c r="J65" i="4" s="1"/>
  <c r="K65" i="4" s="1"/>
  <c r="L65" i="4" s="1"/>
  <c r="H65" i="4"/>
  <c r="H62" i="4"/>
  <c r="I63" i="4"/>
  <c r="I62" i="4" s="1"/>
  <c r="H63" i="4"/>
  <c r="H58" i="4"/>
  <c r="I59" i="4"/>
  <c r="I58" i="4" s="1"/>
  <c r="J59" i="4"/>
  <c r="J58" i="4" s="1"/>
  <c r="K59" i="4"/>
  <c r="L59" i="4" s="1"/>
  <c r="L58" i="4" s="1"/>
  <c r="H59" i="4"/>
  <c r="K56" i="4"/>
  <c r="L56" i="4"/>
  <c r="H56" i="4"/>
  <c r="I57" i="4"/>
  <c r="J57" i="4" s="1"/>
  <c r="K57" i="4" s="1"/>
  <c r="L57" i="4" s="1"/>
  <c r="H57" i="4"/>
  <c r="K52" i="4"/>
  <c r="L52" i="4"/>
  <c r="H52" i="4"/>
  <c r="I53" i="4"/>
  <c r="J53" i="4" s="1"/>
  <c r="K53" i="4" s="1"/>
  <c r="L53" i="4" s="1"/>
  <c r="H53" i="4"/>
  <c r="H50" i="4"/>
  <c r="I51" i="4"/>
  <c r="J51" i="4" s="1"/>
  <c r="K51" i="4" s="1"/>
  <c r="L51" i="4" s="1"/>
  <c r="L50" i="4" s="1"/>
  <c r="H51" i="4"/>
  <c r="L48" i="4"/>
  <c r="H48" i="4"/>
  <c r="I49" i="4"/>
  <c r="J49" i="4" s="1"/>
  <c r="K49" i="4" s="1"/>
  <c r="L49" i="4" s="1"/>
  <c r="H49" i="4"/>
  <c r="L42" i="4"/>
  <c r="H42" i="4"/>
  <c r="I43" i="4"/>
  <c r="J43" i="4" s="1"/>
  <c r="K43" i="4" s="1"/>
  <c r="L43" i="4" s="1"/>
  <c r="H43" i="4"/>
  <c r="H40" i="4"/>
  <c r="I41" i="4"/>
  <c r="I40" i="4" s="1"/>
  <c r="H41" i="4"/>
  <c r="L35" i="4"/>
  <c r="H35" i="4"/>
  <c r="I36" i="4"/>
  <c r="J36" i="4" s="1"/>
  <c r="K36" i="4" s="1"/>
  <c r="L36" i="4" s="1"/>
  <c r="H36" i="4"/>
  <c r="H33" i="4"/>
  <c r="H34" i="4" s="1"/>
  <c r="L33" i="4"/>
  <c r="L34" i="4" s="1"/>
  <c r="L31" i="4"/>
  <c r="H31" i="4"/>
  <c r="I32" i="4"/>
  <c r="I31" i="4" s="1"/>
  <c r="J32" i="4"/>
  <c r="K32" i="4" s="1"/>
  <c r="L32" i="4" s="1"/>
  <c r="H32" i="4"/>
  <c r="L29" i="4"/>
  <c r="H29" i="4"/>
  <c r="I30" i="4"/>
  <c r="J30" i="4" s="1"/>
  <c r="K30" i="4" s="1"/>
  <c r="L30" i="4" s="1"/>
  <c r="H30" i="4"/>
  <c r="L27" i="4"/>
  <c r="H27" i="4"/>
  <c r="I28" i="4"/>
  <c r="J28" i="4" s="1"/>
  <c r="K28" i="4" s="1"/>
  <c r="L28" i="4" s="1"/>
  <c r="H28" i="4"/>
  <c r="L25" i="4"/>
  <c r="H25" i="4"/>
  <c r="I26" i="4"/>
  <c r="J26" i="4" s="1"/>
  <c r="K26" i="4" s="1"/>
  <c r="L26" i="4" s="1"/>
  <c r="H26" i="4"/>
  <c r="L23" i="4"/>
  <c r="H23" i="4"/>
  <c r="I24" i="4"/>
  <c r="J24" i="4" s="1"/>
  <c r="K24" i="4" s="1"/>
  <c r="L24" i="4" s="1"/>
  <c r="H24" i="4"/>
  <c r="L21" i="4"/>
  <c r="H21" i="4"/>
  <c r="H37" i="4" s="1"/>
  <c r="H38" i="4" s="1"/>
  <c r="I22" i="4"/>
  <c r="J22" i="4" s="1"/>
  <c r="K22" i="4" s="1"/>
  <c r="L22" i="4" s="1"/>
  <c r="H22" i="4"/>
  <c r="L19" i="4"/>
  <c r="H19" i="4"/>
  <c r="I20" i="4"/>
  <c r="J20" i="4" s="1"/>
  <c r="K20" i="4" s="1"/>
  <c r="L20" i="4" s="1"/>
  <c r="H20" i="4"/>
  <c r="L17" i="4"/>
  <c r="H17" i="4"/>
  <c r="I18" i="4"/>
  <c r="J18" i="4" s="1"/>
  <c r="K18" i="4" s="1"/>
  <c r="L18" i="4" s="1"/>
  <c r="H18" i="4"/>
  <c r="H15" i="4"/>
  <c r="I16" i="4"/>
  <c r="I15" i="4" s="1"/>
  <c r="H16" i="4"/>
  <c r="H13" i="4"/>
  <c r="H14" i="4" s="1"/>
  <c r="I13" i="4"/>
  <c r="J13" i="4"/>
  <c r="K13" i="4"/>
  <c r="K14" i="4" s="1"/>
  <c r="I14" i="4"/>
  <c r="J14" i="4"/>
  <c r="H9" i="4"/>
  <c r="I9" i="4"/>
  <c r="J9" i="4"/>
  <c r="K9" i="4"/>
  <c r="K10" i="4" s="1"/>
  <c r="L9" i="4"/>
  <c r="H10" i="4"/>
  <c r="I10" i="4"/>
  <c r="J10" i="4"/>
  <c r="L10" i="4"/>
  <c r="I7" i="4"/>
  <c r="J7" i="4" s="1"/>
  <c r="K7" i="4" s="1"/>
  <c r="L7" i="4" s="1"/>
  <c r="H7" i="4"/>
  <c r="I8" i="4"/>
  <c r="J8" i="4"/>
  <c r="K8" i="4" s="1"/>
  <c r="L8" i="4" s="1"/>
  <c r="H8" i="4"/>
  <c r="I5" i="4"/>
  <c r="J5" i="4" s="1"/>
  <c r="K5" i="4" s="1"/>
  <c r="L5" i="4" s="1"/>
  <c r="H5" i="4"/>
  <c r="I6" i="4"/>
  <c r="J6" i="4" s="1"/>
  <c r="K6" i="4" s="1"/>
  <c r="L6" i="4" s="1"/>
  <c r="H6" i="4"/>
  <c r="H75" i="4"/>
  <c r="I75" i="4"/>
  <c r="J75" i="4"/>
  <c r="K75" i="4"/>
  <c r="L75" i="4"/>
  <c r="I74" i="4"/>
  <c r="J74" i="4"/>
  <c r="K74" i="4"/>
  <c r="L74" i="4"/>
  <c r="H74" i="4"/>
  <c r="I80" i="4"/>
  <c r="J80" i="4" s="1"/>
  <c r="H80" i="4"/>
  <c r="D80" i="4"/>
  <c r="E80" i="4"/>
  <c r="F80" i="4"/>
  <c r="G80" i="4"/>
  <c r="C80" i="4"/>
  <c r="I68" i="4"/>
  <c r="L68" i="4"/>
  <c r="H68" i="4"/>
  <c r="I69" i="4"/>
  <c r="J69" i="4" s="1"/>
  <c r="K69" i="4" s="1"/>
  <c r="L69" i="4" s="1"/>
  <c r="H69" i="4"/>
  <c r="L53" i="3"/>
  <c r="H53" i="3"/>
  <c r="I54" i="3"/>
  <c r="J54" i="3" s="1"/>
  <c r="K54" i="3" s="1"/>
  <c r="L54" i="3" s="1"/>
  <c r="H54" i="3"/>
  <c r="L51" i="3"/>
  <c r="H51" i="3"/>
  <c r="I52" i="3"/>
  <c r="J52" i="3" s="1"/>
  <c r="K52" i="3" s="1"/>
  <c r="L52" i="3" s="1"/>
  <c r="H52" i="3"/>
  <c r="L43" i="3"/>
  <c r="H43" i="3"/>
  <c r="I44" i="3"/>
  <c r="J44" i="3" s="1"/>
  <c r="K44" i="3" s="1"/>
  <c r="L44" i="3" s="1"/>
  <c r="H44" i="3"/>
  <c r="K39" i="3"/>
  <c r="L39" i="3"/>
  <c r="H39" i="3"/>
  <c r="I40" i="3"/>
  <c r="J40" i="3" s="1"/>
  <c r="K40" i="3" s="1"/>
  <c r="L40" i="3" s="1"/>
  <c r="H40" i="3"/>
  <c r="H33" i="3"/>
  <c r="H37" i="3" s="1"/>
  <c r="I33" i="3"/>
  <c r="I37" i="3" s="1"/>
  <c r="J33" i="3"/>
  <c r="J37" i="3" s="1"/>
  <c r="K33" i="3"/>
  <c r="K34" i="3" s="1"/>
  <c r="L33" i="3"/>
  <c r="I34" i="3"/>
  <c r="J34" i="3"/>
  <c r="L34" i="3"/>
  <c r="H29" i="3"/>
  <c r="I29" i="3"/>
  <c r="J29" i="3"/>
  <c r="K29" i="3"/>
  <c r="K30" i="3" s="1"/>
  <c r="L29" i="3"/>
  <c r="H30" i="3"/>
  <c r="I30" i="3"/>
  <c r="J30" i="3"/>
  <c r="L30" i="3"/>
  <c r="H27" i="3"/>
  <c r="I27" i="3"/>
  <c r="J27" i="3"/>
  <c r="K27" i="3"/>
  <c r="K28" i="3" s="1"/>
  <c r="L27" i="3"/>
  <c r="H28" i="3"/>
  <c r="I28" i="3"/>
  <c r="J28" i="3"/>
  <c r="L28" i="3"/>
  <c r="H25" i="3"/>
  <c r="I25" i="3"/>
  <c r="J25" i="3"/>
  <c r="K25" i="3"/>
  <c r="K26" i="3" s="1"/>
  <c r="L25" i="3"/>
  <c r="H26" i="3"/>
  <c r="I26" i="3"/>
  <c r="J26" i="3"/>
  <c r="L26" i="3"/>
  <c r="L23" i="3"/>
  <c r="H23" i="3"/>
  <c r="I24" i="3"/>
  <c r="J24" i="3" s="1"/>
  <c r="K24" i="3" s="1"/>
  <c r="L24" i="3" s="1"/>
  <c r="H24" i="3"/>
  <c r="K21" i="3"/>
  <c r="L21" i="3"/>
  <c r="H21" i="3"/>
  <c r="I22" i="3"/>
  <c r="J22" i="3" s="1"/>
  <c r="K22" i="3" s="1"/>
  <c r="L22" i="3" s="1"/>
  <c r="H22" i="3"/>
  <c r="H19" i="3"/>
  <c r="I20" i="3"/>
  <c r="I19" i="3" s="1"/>
  <c r="H20" i="3"/>
  <c r="L17" i="3"/>
  <c r="H17" i="3"/>
  <c r="I18" i="3"/>
  <c r="J18" i="3" s="1"/>
  <c r="K18" i="3" s="1"/>
  <c r="L18" i="3" s="1"/>
  <c r="H18" i="3"/>
  <c r="H15" i="3"/>
  <c r="I15" i="3"/>
  <c r="J15" i="3"/>
  <c r="K15" i="3"/>
  <c r="K16" i="3" s="1"/>
  <c r="L15" i="3"/>
  <c r="H16" i="3"/>
  <c r="I16" i="3"/>
  <c r="J16" i="3"/>
  <c r="L16" i="3"/>
  <c r="H13" i="3"/>
  <c r="I14" i="3"/>
  <c r="I13" i="3" s="1"/>
  <c r="J14" i="3"/>
  <c r="J13" i="3" s="1"/>
  <c r="H14" i="3"/>
  <c r="L11" i="3"/>
  <c r="H11" i="3"/>
  <c r="I12" i="3"/>
  <c r="J12" i="3" s="1"/>
  <c r="K12" i="3" s="1"/>
  <c r="L12" i="3" s="1"/>
  <c r="H12" i="3"/>
  <c r="H9" i="3"/>
  <c r="I9" i="3"/>
  <c r="J9" i="3"/>
  <c r="K9" i="3"/>
  <c r="K10" i="3" s="1"/>
  <c r="L9" i="3"/>
  <c r="H10" i="3"/>
  <c r="I10" i="3"/>
  <c r="J10" i="3"/>
  <c r="L10" i="3"/>
  <c r="H7" i="3"/>
  <c r="I8" i="3"/>
  <c r="I7" i="3" s="1"/>
  <c r="H8" i="3"/>
  <c r="H6" i="3"/>
  <c r="I5" i="3"/>
  <c r="J5" i="3" s="1"/>
  <c r="J6" i="3" s="1"/>
  <c r="H5" i="3"/>
  <c r="D56" i="3"/>
  <c r="E56" i="3"/>
  <c r="F56" i="3"/>
  <c r="G56" i="3"/>
  <c r="C56" i="3"/>
  <c r="D54" i="3"/>
  <c r="E54" i="3"/>
  <c r="F54" i="3"/>
  <c r="G54" i="3"/>
  <c r="C54" i="3"/>
  <c r="D52" i="3"/>
  <c r="E52" i="3"/>
  <c r="F52" i="3"/>
  <c r="G52" i="3"/>
  <c r="C52" i="3"/>
  <c r="D48" i="3"/>
  <c r="E48" i="3"/>
  <c r="F48" i="3"/>
  <c r="G48" i="3"/>
  <c r="C48" i="3"/>
  <c r="D44" i="3"/>
  <c r="E44" i="3"/>
  <c r="F44" i="3"/>
  <c r="G44" i="3"/>
  <c r="C44" i="3"/>
  <c r="D40" i="3"/>
  <c r="E40" i="3"/>
  <c r="F40" i="3"/>
  <c r="G40" i="3"/>
  <c r="C40" i="3"/>
  <c r="D36" i="3"/>
  <c r="E36" i="3"/>
  <c r="F36" i="3"/>
  <c r="G36" i="3"/>
  <c r="C36" i="3"/>
  <c r="D32" i="3"/>
  <c r="E32" i="3"/>
  <c r="F32" i="3"/>
  <c r="G32" i="3"/>
  <c r="C32" i="3"/>
  <c r="D24" i="3"/>
  <c r="E24" i="3"/>
  <c r="F24" i="3"/>
  <c r="G24" i="3"/>
  <c r="C24" i="3"/>
  <c r="D22" i="3"/>
  <c r="E22" i="3"/>
  <c r="F22" i="3"/>
  <c r="G22" i="3"/>
  <c r="C22" i="3"/>
  <c r="D20" i="3"/>
  <c r="E20" i="3"/>
  <c r="F20" i="3"/>
  <c r="G20" i="3"/>
  <c r="C20" i="3"/>
  <c r="D18" i="3"/>
  <c r="E18" i="3"/>
  <c r="F18" i="3"/>
  <c r="G18" i="3"/>
  <c r="C18" i="3"/>
  <c r="D14" i="3"/>
  <c r="E14" i="3"/>
  <c r="F14" i="3"/>
  <c r="G14" i="3"/>
  <c r="C14" i="3"/>
  <c r="D12" i="3"/>
  <c r="E12" i="3"/>
  <c r="F12" i="3"/>
  <c r="G12" i="3"/>
  <c r="C12" i="3"/>
  <c r="D8" i="3"/>
  <c r="E8" i="3"/>
  <c r="F8" i="3"/>
  <c r="G8" i="3"/>
  <c r="C8" i="3"/>
  <c r="D6" i="3"/>
  <c r="E6" i="3"/>
  <c r="F6" i="3"/>
  <c r="G6" i="3"/>
  <c r="C6" i="3"/>
  <c r="G15" i="47"/>
  <c r="F15" i="47"/>
  <c r="E15" i="47"/>
  <c r="D15" i="47"/>
  <c r="C15" i="47"/>
  <c r="F10" i="47"/>
  <c r="F16" i="47" s="1"/>
  <c r="F17" i="47" s="1"/>
  <c r="F19" i="47" s="1"/>
  <c r="F21" i="47" s="1"/>
  <c r="F23" i="47" s="1"/>
  <c r="F25" i="47" s="1"/>
  <c r="F27" i="47" s="1"/>
  <c r="G7" i="47"/>
  <c r="G10" i="47" s="1"/>
  <c r="G16" i="47" s="1"/>
  <c r="G17" i="47" s="1"/>
  <c r="G19" i="47" s="1"/>
  <c r="G21" i="47" s="1"/>
  <c r="G23" i="47" s="1"/>
  <c r="G25" i="47" s="1"/>
  <c r="G27" i="47" s="1"/>
  <c r="F7" i="47"/>
  <c r="E7" i="47"/>
  <c r="E10" i="47" s="1"/>
  <c r="E16" i="47" s="1"/>
  <c r="E17" i="47" s="1"/>
  <c r="E19" i="47" s="1"/>
  <c r="E21" i="47" s="1"/>
  <c r="E23" i="47" s="1"/>
  <c r="E25" i="47" s="1"/>
  <c r="E27" i="47" s="1"/>
  <c r="D7" i="47"/>
  <c r="D10" i="47" s="1"/>
  <c r="D16" i="47" s="1"/>
  <c r="D17" i="47" s="1"/>
  <c r="D19" i="47" s="1"/>
  <c r="D21" i="47" s="1"/>
  <c r="D23" i="47" s="1"/>
  <c r="D25" i="47" s="1"/>
  <c r="D27" i="47" s="1"/>
  <c r="C7" i="47"/>
  <c r="C10" i="47" s="1"/>
  <c r="C16" i="47" s="1"/>
  <c r="C17" i="47" s="1"/>
  <c r="C19" i="47" s="1"/>
  <c r="C21" i="47" s="1"/>
  <c r="C23" i="47" s="1"/>
  <c r="C25" i="47" s="1"/>
  <c r="C27" i="47" s="1"/>
  <c r="C75" i="4"/>
  <c r="C39" i="46"/>
  <c r="C26" i="46"/>
  <c r="C30" i="46" s="1"/>
  <c r="C40" i="46" s="1"/>
  <c r="D25" i="46"/>
  <c r="D26" i="46" s="1"/>
  <c r="D30" i="46" s="1"/>
  <c r="G19" i="46"/>
  <c r="F19" i="46"/>
  <c r="E19" i="46"/>
  <c r="D19" i="46"/>
  <c r="C19" i="46"/>
  <c r="G13" i="46"/>
  <c r="F13" i="46"/>
  <c r="E13" i="46"/>
  <c r="D13" i="46"/>
  <c r="C13" i="46"/>
  <c r="C9" i="46"/>
  <c r="C21" i="46" s="1"/>
  <c r="G7" i="46"/>
  <c r="F7" i="46"/>
  <c r="E7" i="46"/>
  <c r="D7" i="46"/>
  <c r="C7" i="46"/>
  <c r="B6" i="45"/>
  <c r="B5" i="45"/>
  <c r="D4" i="45"/>
  <c r="E4" i="45"/>
  <c r="F4" i="45"/>
  <c r="G4" i="45"/>
  <c r="C4" i="45"/>
  <c r="B6" i="44"/>
  <c r="B5" i="44"/>
  <c r="D4" i="44"/>
  <c r="E4" i="44"/>
  <c r="F4" i="44"/>
  <c r="G4" i="44"/>
  <c r="C4" i="44"/>
  <c r="B6" i="43"/>
  <c r="B5" i="43"/>
  <c r="D4" i="43"/>
  <c r="E4" i="43"/>
  <c r="F4" i="43"/>
  <c r="G4" i="43"/>
  <c r="C4" i="43"/>
  <c r="B6" i="42"/>
  <c r="B5" i="42"/>
  <c r="D4" i="42"/>
  <c r="E4" i="42"/>
  <c r="F4" i="42"/>
  <c r="G4" i="42"/>
  <c r="C4" i="42"/>
  <c r="B6" i="41"/>
  <c r="B5" i="41"/>
  <c r="D4" i="41"/>
  <c r="E4" i="41"/>
  <c r="F4" i="41"/>
  <c r="G4" i="41"/>
  <c r="C4" i="41"/>
  <c r="B6" i="40"/>
  <c r="B5" i="40"/>
  <c r="D4" i="40"/>
  <c r="E4" i="40"/>
  <c r="F4" i="40"/>
  <c r="G4" i="40"/>
  <c r="C4" i="40"/>
  <c r="C5" i="39"/>
  <c r="D5" i="39"/>
  <c r="E5" i="39"/>
  <c r="F5" i="39"/>
  <c r="G5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B6" i="36"/>
  <c r="B5" i="36"/>
  <c r="D4" i="36"/>
  <c r="E4" i="36"/>
  <c r="F4" i="36"/>
  <c r="G4" i="36"/>
  <c r="C4" i="36"/>
  <c r="B6" i="35"/>
  <c r="B5" i="35"/>
  <c r="D4" i="35"/>
  <c r="E4" i="35"/>
  <c r="F4" i="35"/>
  <c r="G4" i="35"/>
  <c r="C4" i="35"/>
  <c r="B6" i="34"/>
  <c r="B5" i="34"/>
  <c r="D4" i="34"/>
  <c r="E4" i="34"/>
  <c r="F4" i="34"/>
  <c r="G4" i="34"/>
  <c r="C4" i="34"/>
  <c r="C13" i="33"/>
  <c r="D13" i="33"/>
  <c r="E13" i="33"/>
  <c r="F13" i="33"/>
  <c r="G13" i="33"/>
  <c r="B14" i="33"/>
  <c r="B13" i="33"/>
  <c r="C9" i="33"/>
  <c r="D9" i="33"/>
  <c r="E9" i="33"/>
  <c r="F9" i="33"/>
  <c r="G9" i="33"/>
  <c r="B10" i="33"/>
  <c r="B9" i="33"/>
  <c r="C6" i="33"/>
  <c r="D6" i="33"/>
  <c r="E6" i="33"/>
  <c r="F6" i="33"/>
  <c r="G6" i="33"/>
  <c r="C7" i="33"/>
  <c r="D7" i="33"/>
  <c r="E7" i="33"/>
  <c r="F7" i="33"/>
  <c r="G7" i="33"/>
  <c r="B7" i="33"/>
  <c r="B6" i="33"/>
  <c r="C9" i="32"/>
  <c r="D9" i="32"/>
  <c r="E9" i="32"/>
  <c r="F9" i="32"/>
  <c r="G9" i="32"/>
  <c r="B10" i="32"/>
  <c r="B9" i="32"/>
  <c r="C6" i="32"/>
  <c r="D6" i="32"/>
  <c r="E6" i="32"/>
  <c r="F6" i="32"/>
  <c r="G6" i="32"/>
  <c r="C7" i="32"/>
  <c r="D7" i="32"/>
  <c r="E7" i="32"/>
  <c r="F7" i="32"/>
  <c r="G7" i="32"/>
  <c r="B7" i="32"/>
  <c r="B6" i="32"/>
  <c r="C6" i="31"/>
  <c r="D6" i="31"/>
  <c r="E6" i="31"/>
  <c r="F6" i="31"/>
  <c r="G6" i="31"/>
  <c r="C7" i="31"/>
  <c r="D7" i="31"/>
  <c r="E7" i="31"/>
  <c r="F7" i="31"/>
  <c r="G7" i="31"/>
  <c r="B7" i="31"/>
  <c r="B6" i="31"/>
  <c r="C6" i="30"/>
  <c r="D6" i="30"/>
  <c r="E6" i="30"/>
  <c r="F6" i="30"/>
  <c r="G6" i="30"/>
  <c r="B7" i="30"/>
  <c r="B6" i="30"/>
  <c r="C6" i="29"/>
  <c r="D6" i="29"/>
  <c r="E6" i="29"/>
  <c r="F6" i="29"/>
  <c r="G6" i="29"/>
  <c r="G8" i="29" s="1"/>
  <c r="C7" i="29"/>
  <c r="D7" i="29"/>
  <c r="E7" i="29"/>
  <c r="F7" i="29"/>
  <c r="G7" i="29"/>
  <c r="B7" i="29"/>
  <c r="B6" i="29"/>
  <c r="C6" i="28"/>
  <c r="D6" i="28"/>
  <c r="E6" i="28"/>
  <c r="F6" i="28"/>
  <c r="G6" i="28"/>
  <c r="B7" i="28"/>
  <c r="B6" i="28"/>
  <c r="C6" i="27"/>
  <c r="D6" i="27"/>
  <c r="E6" i="27"/>
  <c r="F6" i="27"/>
  <c r="G6" i="27"/>
  <c r="C7" i="27"/>
  <c r="D7" i="27"/>
  <c r="E7" i="27"/>
  <c r="F7" i="27"/>
  <c r="G7" i="27"/>
  <c r="B7" i="27"/>
  <c r="B6" i="27"/>
  <c r="C6" i="26"/>
  <c r="D6" i="26"/>
  <c r="E6" i="26"/>
  <c r="F6" i="26"/>
  <c r="G6" i="26"/>
  <c r="C7" i="26"/>
  <c r="D7" i="26"/>
  <c r="E7" i="26"/>
  <c r="F7" i="26"/>
  <c r="G7" i="26"/>
  <c r="B7" i="26"/>
  <c r="B6" i="26"/>
  <c r="C6" i="25"/>
  <c r="D6" i="25"/>
  <c r="E6" i="25"/>
  <c r="F6" i="25"/>
  <c r="G6" i="25"/>
  <c r="C7" i="25"/>
  <c r="D7" i="25"/>
  <c r="E7" i="25"/>
  <c r="F7" i="25"/>
  <c r="G7" i="25"/>
  <c r="B7" i="25"/>
  <c r="B6" i="25"/>
  <c r="C6" i="24"/>
  <c r="D6" i="24"/>
  <c r="E6" i="24"/>
  <c r="F6" i="24"/>
  <c r="G6" i="24"/>
  <c r="B7" i="24"/>
  <c r="B6" i="24"/>
  <c r="C6" i="23"/>
  <c r="C8" i="23" s="1"/>
  <c r="B6" i="23"/>
  <c r="C6" i="22"/>
  <c r="C7" i="22"/>
  <c r="D7" i="22"/>
  <c r="E7" i="22"/>
  <c r="F7" i="22"/>
  <c r="G7" i="22"/>
  <c r="B7" i="22"/>
  <c r="B6" i="22"/>
  <c r="C6" i="21"/>
  <c r="D6" i="21"/>
  <c r="E6" i="21"/>
  <c r="F6" i="21"/>
  <c r="G6" i="21"/>
  <c r="B7" i="21"/>
  <c r="B6" i="21"/>
  <c r="C7" i="20"/>
  <c r="D7" i="20"/>
  <c r="E7" i="20"/>
  <c r="F7" i="20"/>
  <c r="G7" i="20"/>
  <c r="B7" i="20"/>
  <c r="B6" i="20"/>
  <c r="C7" i="19"/>
  <c r="D7" i="19"/>
  <c r="E7" i="19"/>
  <c r="F7" i="19"/>
  <c r="G7" i="19"/>
  <c r="B8" i="19"/>
  <c r="B7" i="19"/>
  <c r="B6" i="19"/>
  <c r="B7" i="18"/>
  <c r="B6" i="18"/>
  <c r="B7" i="17"/>
  <c r="B6" i="17"/>
  <c r="B7" i="16"/>
  <c r="B6" i="16"/>
  <c r="B8" i="15"/>
  <c r="B7" i="15"/>
  <c r="B6" i="15"/>
  <c r="B7" i="14"/>
  <c r="B6" i="14"/>
  <c r="C6" i="13"/>
  <c r="D6" i="13"/>
  <c r="E6" i="13"/>
  <c r="F6" i="13"/>
  <c r="G6" i="13"/>
  <c r="B7" i="13"/>
  <c r="B6" i="13"/>
  <c r="C6" i="12"/>
  <c r="D6" i="12"/>
  <c r="E6" i="12"/>
  <c r="F6" i="12"/>
  <c r="G6" i="12"/>
  <c r="C7" i="12"/>
  <c r="D7" i="12"/>
  <c r="E7" i="12"/>
  <c r="F7" i="12"/>
  <c r="G7" i="12"/>
  <c r="B7" i="12"/>
  <c r="B6" i="12"/>
  <c r="C6" i="11"/>
  <c r="D6" i="11"/>
  <c r="E6" i="11"/>
  <c r="F6" i="11"/>
  <c r="G6" i="11"/>
  <c r="B7" i="11"/>
  <c r="B6" i="11"/>
  <c r="B10" i="10"/>
  <c r="B9" i="10"/>
  <c r="C6" i="10"/>
  <c r="D6" i="10"/>
  <c r="E6" i="10"/>
  <c r="F6" i="10"/>
  <c r="G6" i="10"/>
  <c r="B7" i="10"/>
  <c r="B6" i="10"/>
  <c r="B7" i="9"/>
  <c r="B6" i="9"/>
  <c r="C6" i="8"/>
  <c r="D6" i="8"/>
  <c r="E6" i="8"/>
  <c r="F6" i="8"/>
  <c r="G6" i="8"/>
  <c r="B7" i="8"/>
  <c r="B6" i="8"/>
  <c r="B7" i="7"/>
  <c r="B6" i="7"/>
  <c r="C154" i="6"/>
  <c r="D154" i="6"/>
  <c r="E154" i="6"/>
  <c r="F154" i="6"/>
  <c r="G154" i="6"/>
  <c r="B155" i="6"/>
  <c r="B154" i="6"/>
  <c r="C150" i="6"/>
  <c r="D150" i="6"/>
  <c r="E150" i="6"/>
  <c r="F150" i="6"/>
  <c r="G150" i="6"/>
  <c r="B151" i="6"/>
  <c r="B150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C141" i="6"/>
  <c r="D141" i="6"/>
  <c r="E141" i="6"/>
  <c r="F141" i="6"/>
  <c r="G141" i="6"/>
  <c r="B142" i="6"/>
  <c r="B141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C128" i="6"/>
  <c r="D128" i="6"/>
  <c r="E128" i="6"/>
  <c r="F128" i="6"/>
  <c r="G128" i="6"/>
  <c r="B129" i="6"/>
  <c r="B128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C118" i="6"/>
  <c r="D118" i="6"/>
  <c r="E118" i="6"/>
  <c r="F118" i="6"/>
  <c r="G118" i="6"/>
  <c r="B119" i="6"/>
  <c r="B118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C98" i="6"/>
  <c r="D98" i="6"/>
  <c r="E98" i="6"/>
  <c r="F98" i="6"/>
  <c r="G98" i="6"/>
  <c r="B99" i="6"/>
  <c r="B98" i="6"/>
  <c r="C93" i="6"/>
  <c r="C95" i="6" s="1"/>
  <c r="B93" i="6"/>
  <c r="C88" i="6"/>
  <c r="C89" i="6"/>
  <c r="D89" i="6"/>
  <c r="E89" i="6"/>
  <c r="F89" i="6"/>
  <c r="G89" i="6"/>
  <c r="B89" i="6"/>
  <c r="B88" i="6"/>
  <c r="C83" i="6"/>
  <c r="D83" i="6"/>
  <c r="E83" i="6"/>
  <c r="F83" i="6"/>
  <c r="G83" i="6"/>
  <c r="B84" i="6"/>
  <c r="B83" i="6"/>
  <c r="C79" i="6"/>
  <c r="D79" i="6"/>
  <c r="E79" i="6"/>
  <c r="F79" i="6"/>
  <c r="G79" i="6"/>
  <c r="B79" i="6"/>
  <c r="B78" i="6"/>
  <c r="C73" i="6"/>
  <c r="D73" i="6"/>
  <c r="E73" i="6"/>
  <c r="F73" i="6"/>
  <c r="G73" i="6"/>
  <c r="B74" i="6"/>
  <c r="B73" i="6"/>
  <c r="B72" i="6"/>
  <c r="B68" i="6"/>
  <c r="B67" i="6"/>
  <c r="B63" i="6"/>
  <c r="B62" i="6"/>
  <c r="B58" i="6"/>
  <c r="B57" i="6"/>
  <c r="B53" i="6"/>
  <c r="B52" i="6"/>
  <c r="B51" i="6"/>
  <c r="B47" i="6"/>
  <c r="B46" i="6"/>
  <c r="C41" i="6"/>
  <c r="D41" i="6"/>
  <c r="E41" i="6"/>
  <c r="F41" i="6"/>
  <c r="G41" i="6"/>
  <c r="B42" i="6"/>
  <c r="B41" i="6"/>
  <c r="C36" i="6"/>
  <c r="D36" i="6"/>
  <c r="E36" i="6"/>
  <c r="F36" i="6"/>
  <c r="G36" i="6"/>
  <c r="C37" i="6"/>
  <c r="D37" i="6"/>
  <c r="E37" i="6"/>
  <c r="F37" i="6"/>
  <c r="G37" i="6"/>
  <c r="B37" i="6"/>
  <c r="B36" i="6"/>
  <c r="C30" i="6"/>
  <c r="D30" i="6"/>
  <c r="E30" i="6"/>
  <c r="F30" i="6"/>
  <c r="G30" i="6"/>
  <c r="B31" i="6"/>
  <c r="B30" i="6"/>
  <c r="B25" i="6"/>
  <c r="B24" i="6"/>
  <c r="C21" i="6"/>
  <c r="D21" i="6"/>
  <c r="E21" i="6"/>
  <c r="F21" i="6"/>
  <c r="G21" i="6"/>
  <c r="B22" i="6"/>
  <c r="B21" i="6"/>
  <c r="B17" i="6"/>
  <c r="B16" i="6"/>
  <c r="C11" i="6"/>
  <c r="D11" i="6"/>
  <c r="E11" i="6"/>
  <c r="F11" i="6"/>
  <c r="G11" i="6"/>
  <c r="B12" i="6"/>
  <c r="B11" i="6"/>
  <c r="B7" i="6"/>
  <c r="B6" i="6"/>
  <c r="D44" i="4"/>
  <c r="E44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G7" i="5"/>
  <c r="G10" i="5" s="1"/>
  <c r="D7" i="5"/>
  <c r="D33" i="4"/>
  <c r="E33" i="4"/>
  <c r="F33" i="4"/>
  <c r="F7" i="18" s="1"/>
  <c r="G33" i="4"/>
  <c r="G129" i="6" s="1"/>
  <c r="D21" i="4"/>
  <c r="D52" i="6" s="1"/>
  <c r="E21" i="4"/>
  <c r="F21" i="4"/>
  <c r="F52" i="6" s="1"/>
  <c r="G21" i="4"/>
  <c r="G6" i="17" s="1"/>
  <c r="D9" i="4"/>
  <c r="E9" i="4"/>
  <c r="F9" i="4"/>
  <c r="G9" i="4"/>
  <c r="C72" i="4"/>
  <c r="C67" i="6" s="1"/>
  <c r="C46" i="4"/>
  <c r="C54" i="4" s="1"/>
  <c r="C33" i="4"/>
  <c r="C21" i="4"/>
  <c r="C6" i="17" s="1"/>
  <c r="C9" i="4"/>
  <c r="C13" i="4" s="1"/>
  <c r="C53" i="6" s="1"/>
  <c r="D25" i="3"/>
  <c r="D26" i="3" s="1"/>
  <c r="E25" i="3"/>
  <c r="E42" i="6" s="1"/>
  <c r="F25" i="3"/>
  <c r="F26" i="3" s="1"/>
  <c r="G25" i="3"/>
  <c r="G26" i="3" s="1"/>
  <c r="D9" i="3"/>
  <c r="D10" i="3" s="1"/>
  <c r="E9" i="3"/>
  <c r="E7" i="21" s="1"/>
  <c r="F9" i="3"/>
  <c r="F10" i="3" s="1"/>
  <c r="G9" i="3"/>
  <c r="G10" i="3" s="1"/>
  <c r="C25" i="3"/>
  <c r="C26" i="3" s="1"/>
  <c r="C9" i="3"/>
  <c r="C10" i="3" s="1"/>
  <c r="L37" i="4" l="1"/>
  <c r="L38" i="4" s="1"/>
  <c r="L46" i="5"/>
  <c r="L47" i="5" s="1"/>
  <c r="L10" i="5"/>
  <c r="L37" i="3"/>
  <c r="L38" i="3" s="1"/>
  <c r="K10" i="5"/>
  <c r="H10" i="5"/>
  <c r="L41" i="3"/>
  <c r="J41" i="3"/>
  <c r="J38" i="3"/>
  <c r="I41" i="3"/>
  <c r="I38" i="3"/>
  <c r="K37" i="3"/>
  <c r="H38" i="3"/>
  <c r="H41" i="3"/>
  <c r="H45" i="4"/>
  <c r="I44" i="4"/>
  <c r="H34" i="3"/>
  <c r="H46" i="4"/>
  <c r="H47" i="4" s="1"/>
  <c r="K68" i="4"/>
  <c r="J68" i="4"/>
  <c r="J67" i="4"/>
  <c r="K64" i="4"/>
  <c r="J64" i="4"/>
  <c r="I64" i="4"/>
  <c r="J63" i="4"/>
  <c r="K58" i="4"/>
  <c r="J56" i="4"/>
  <c r="I56" i="4"/>
  <c r="J52" i="4"/>
  <c r="I52" i="4"/>
  <c r="K50" i="4"/>
  <c r="J50" i="4"/>
  <c r="I50" i="4"/>
  <c r="K48" i="4"/>
  <c r="J48" i="4"/>
  <c r="I48" i="4"/>
  <c r="K42" i="4"/>
  <c r="J42" i="4"/>
  <c r="I42" i="4"/>
  <c r="I46" i="4" s="1"/>
  <c r="J41" i="4"/>
  <c r="K35" i="4"/>
  <c r="J35" i="4"/>
  <c r="I35" i="4"/>
  <c r="K31" i="4"/>
  <c r="J31" i="4"/>
  <c r="K29" i="4"/>
  <c r="J29" i="4"/>
  <c r="I29" i="4"/>
  <c r="K27" i="4"/>
  <c r="J27" i="4"/>
  <c r="I27" i="4"/>
  <c r="K25" i="4"/>
  <c r="J25" i="4"/>
  <c r="I25" i="4"/>
  <c r="K23" i="4"/>
  <c r="K33" i="4" s="1"/>
  <c r="K34" i="4" s="1"/>
  <c r="J23" i="4"/>
  <c r="I23" i="4"/>
  <c r="K21" i="4"/>
  <c r="J21" i="4"/>
  <c r="I21" i="4"/>
  <c r="K19" i="4"/>
  <c r="J19" i="4"/>
  <c r="I19" i="4"/>
  <c r="K17" i="4"/>
  <c r="J17" i="4"/>
  <c r="I17" i="4"/>
  <c r="J16" i="4"/>
  <c r="K80" i="4"/>
  <c r="L80" i="4" s="1"/>
  <c r="K53" i="3"/>
  <c r="J53" i="3"/>
  <c r="I53" i="3"/>
  <c r="K51" i="3"/>
  <c r="J51" i="3"/>
  <c r="I51" i="3"/>
  <c r="K43" i="3"/>
  <c r="J43" i="3"/>
  <c r="I43" i="3"/>
  <c r="J39" i="3"/>
  <c r="I39" i="3"/>
  <c r="K23" i="3"/>
  <c r="J23" i="3"/>
  <c r="I23" i="3"/>
  <c r="J21" i="3"/>
  <c r="I21" i="3"/>
  <c r="J20" i="3"/>
  <c r="K17" i="3"/>
  <c r="J17" i="3"/>
  <c r="I17" i="3"/>
  <c r="K14" i="3"/>
  <c r="K11" i="3"/>
  <c r="J11" i="3"/>
  <c r="I11" i="3"/>
  <c r="J8" i="3"/>
  <c r="I6" i="3"/>
  <c r="K5" i="3"/>
  <c r="D10" i="5"/>
  <c r="E26" i="3"/>
  <c r="C15" i="3"/>
  <c r="C6" i="44" s="1"/>
  <c r="F10" i="5"/>
  <c r="G38" i="6"/>
  <c r="D15" i="3"/>
  <c r="F38" i="6"/>
  <c r="E10" i="3"/>
  <c r="E15" i="3" s="1"/>
  <c r="E16" i="3" s="1"/>
  <c r="F8" i="12"/>
  <c r="G8" i="12"/>
  <c r="C8" i="12"/>
  <c r="C8" i="22"/>
  <c r="G8" i="25"/>
  <c r="C8" i="25"/>
  <c r="G8" i="26"/>
  <c r="C8" i="26"/>
  <c r="G8" i="27"/>
  <c r="C8" i="27"/>
  <c r="F8" i="29"/>
  <c r="E8" i="31"/>
  <c r="E8" i="32"/>
  <c r="F105" i="6"/>
  <c r="F110" i="6"/>
  <c r="F115" i="6"/>
  <c r="E125" i="6"/>
  <c r="D135" i="6"/>
  <c r="D140" i="6"/>
  <c r="G149" i="6"/>
  <c r="C149" i="6"/>
  <c r="E8" i="12"/>
  <c r="E8" i="25"/>
  <c r="E8" i="26"/>
  <c r="E8" i="27"/>
  <c r="D8" i="29"/>
  <c r="E38" i="6"/>
  <c r="C90" i="6"/>
  <c r="G105" i="6"/>
  <c r="C105" i="6"/>
  <c r="G110" i="6"/>
  <c r="C110" i="6"/>
  <c r="G115" i="6"/>
  <c r="C115" i="6"/>
  <c r="F125" i="6"/>
  <c r="E135" i="6"/>
  <c r="E140" i="6"/>
  <c r="D149" i="6"/>
  <c r="F8" i="31"/>
  <c r="E8" i="33"/>
  <c r="D8" i="33"/>
  <c r="G130" i="6"/>
  <c r="C38" i="6"/>
  <c r="E105" i="6"/>
  <c r="E110" i="6"/>
  <c r="D8" i="12"/>
  <c r="F8" i="25"/>
  <c r="F8" i="26"/>
  <c r="F8" i="27"/>
  <c r="E8" i="29"/>
  <c r="D8" i="31"/>
  <c r="D8" i="32"/>
  <c r="F8" i="33"/>
  <c r="D6" i="44"/>
  <c r="C5" i="44"/>
  <c r="C7" i="13"/>
  <c r="C8" i="13" s="1"/>
  <c r="C42" i="6"/>
  <c r="C43" i="6" s="1"/>
  <c r="D7" i="21"/>
  <c r="D8" i="21" s="1"/>
  <c r="D84" i="6"/>
  <c r="D85" i="6" s="1"/>
  <c r="C27" i="3"/>
  <c r="G7" i="21"/>
  <c r="G8" i="21" s="1"/>
  <c r="G84" i="6"/>
  <c r="G85" i="6" s="1"/>
  <c r="G15" i="3"/>
  <c r="G16" i="3" s="1"/>
  <c r="G5" i="44"/>
  <c r="G7" i="13"/>
  <c r="G8" i="13" s="1"/>
  <c r="G42" i="6"/>
  <c r="G43" i="6" s="1"/>
  <c r="E43" i="6"/>
  <c r="E7" i="13"/>
  <c r="E8" i="13" s="1"/>
  <c r="E8" i="21"/>
  <c r="F8" i="32"/>
  <c r="E5" i="44"/>
  <c r="E84" i="6"/>
  <c r="E85" i="6" s="1"/>
  <c r="C6" i="39"/>
  <c r="D5" i="44"/>
  <c r="D7" i="13"/>
  <c r="D8" i="13" s="1"/>
  <c r="D42" i="6"/>
  <c r="D43" i="6" s="1"/>
  <c r="D38" i="6"/>
  <c r="C7" i="21"/>
  <c r="C8" i="21" s="1"/>
  <c r="C84" i="6"/>
  <c r="C85" i="6" s="1"/>
  <c r="F7" i="21"/>
  <c r="F8" i="21" s="1"/>
  <c r="F84" i="6"/>
  <c r="F85" i="6" s="1"/>
  <c r="F15" i="3"/>
  <c r="F16" i="3" s="1"/>
  <c r="F5" i="44"/>
  <c r="F7" i="13"/>
  <c r="F8" i="13" s="1"/>
  <c r="F42" i="6"/>
  <c r="F43" i="6" s="1"/>
  <c r="E115" i="6"/>
  <c r="D125" i="6"/>
  <c r="G135" i="6"/>
  <c r="C135" i="6"/>
  <c r="G140" i="6"/>
  <c r="C140" i="6"/>
  <c r="F149" i="6"/>
  <c r="D105" i="6"/>
  <c r="D110" i="6"/>
  <c r="D115" i="6"/>
  <c r="G125" i="6"/>
  <c r="C125" i="6"/>
  <c r="F135" i="6"/>
  <c r="F140" i="6"/>
  <c r="E149" i="6"/>
  <c r="D8" i="25"/>
  <c r="D8" i="26"/>
  <c r="D8" i="27"/>
  <c r="C8" i="29"/>
  <c r="G8" i="31"/>
  <c r="C8" i="31"/>
  <c r="G8" i="32"/>
  <c r="C8" i="32"/>
  <c r="G8" i="33"/>
  <c r="C8" i="33"/>
  <c r="C35" i="47"/>
  <c r="C30" i="47"/>
  <c r="G35" i="47"/>
  <c r="G30" i="47"/>
  <c r="D30" i="47"/>
  <c r="D35" i="47"/>
  <c r="F35" i="47"/>
  <c r="F30" i="47"/>
  <c r="E35" i="47"/>
  <c r="E30" i="47"/>
  <c r="D46" i="4"/>
  <c r="F47" i="5"/>
  <c r="G47" i="5"/>
  <c r="G155" i="6"/>
  <c r="G156" i="6" s="1"/>
  <c r="G62" i="6"/>
  <c r="G68" i="6"/>
  <c r="E35" i="5"/>
  <c r="G35" i="5"/>
  <c r="F35" i="5"/>
  <c r="C62" i="6"/>
  <c r="C72" i="6"/>
  <c r="F142" i="6"/>
  <c r="F143" i="6" s="1"/>
  <c r="E6" i="40"/>
  <c r="E7" i="15"/>
  <c r="E6" i="17"/>
  <c r="E52" i="6"/>
  <c r="E62" i="6"/>
  <c r="E6" i="41"/>
  <c r="E10" i="33"/>
  <c r="E11" i="33" s="1"/>
  <c r="E7" i="28"/>
  <c r="E8" i="28" s="1"/>
  <c r="E8" i="19"/>
  <c r="E155" i="6"/>
  <c r="E156" i="6" s="1"/>
  <c r="E6" i="36"/>
  <c r="E14" i="33"/>
  <c r="E15" i="33" s="1"/>
  <c r="E7" i="30"/>
  <c r="E8" i="30" s="1"/>
  <c r="E7" i="18"/>
  <c r="E151" i="6"/>
  <c r="E152" i="6" s="1"/>
  <c r="E10" i="32"/>
  <c r="E11" i="32" s="1"/>
  <c r="E129" i="6"/>
  <c r="E130" i="6" s="1"/>
  <c r="E68" i="6"/>
  <c r="E142" i="6"/>
  <c r="E143" i="6" s="1"/>
  <c r="E119" i="6"/>
  <c r="E120" i="6" s="1"/>
  <c r="E74" i="6"/>
  <c r="D47" i="5"/>
  <c r="C14" i="33"/>
  <c r="C15" i="33" s="1"/>
  <c r="C7" i="30"/>
  <c r="C8" i="30" s="1"/>
  <c r="C7" i="18"/>
  <c r="C151" i="6"/>
  <c r="C152" i="6" s="1"/>
  <c r="C10" i="32"/>
  <c r="C11" i="32" s="1"/>
  <c r="C6" i="41"/>
  <c r="C10" i="33"/>
  <c r="C11" i="33" s="1"/>
  <c r="C7" i="28"/>
  <c r="C8" i="28" s="1"/>
  <c r="C8" i="19"/>
  <c r="C6" i="36"/>
  <c r="C142" i="6"/>
  <c r="C143" i="6" s="1"/>
  <c r="C155" i="6"/>
  <c r="C156" i="6" s="1"/>
  <c r="C119" i="6"/>
  <c r="C120" i="6" s="1"/>
  <c r="C74" i="6"/>
  <c r="C129" i="6"/>
  <c r="C130" i="6" s="1"/>
  <c r="C68" i="6"/>
  <c r="C69" i="6" s="1"/>
  <c r="E47" i="5"/>
  <c r="F44" i="4"/>
  <c r="E46" i="4"/>
  <c r="C6" i="18"/>
  <c r="C6" i="40"/>
  <c r="D6" i="40"/>
  <c r="D7" i="15"/>
  <c r="D6" i="17"/>
  <c r="D6" i="36"/>
  <c r="D14" i="33"/>
  <c r="D15" i="33" s="1"/>
  <c r="D7" i="30"/>
  <c r="D8" i="30" s="1"/>
  <c r="D7" i="18"/>
  <c r="D151" i="6"/>
  <c r="D152" i="6" s="1"/>
  <c r="D10" i="32"/>
  <c r="D11" i="32" s="1"/>
  <c r="G52" i="6"/>
  <c r="C52" i="6"/>
  <c r="F62" i="6"/>
  <c r="F68" i="6"/>
  <c r="D74" i="6"/>
  <c r="D119" i="6"/>
  <c r="D120" i="6" s="1"/>
  <c r="F129" i="6"/>
  <c r="F130" i="6" s="1"/>
  <c r="D155" i="6"/>
  <c r="D156" i="6" s="1"/>
  <c r="G7" i="15"/>
  <c r="F6" i="17"/>
  <c r="D8" i="19"/>
  <c r="D7" i="28"/>
  <c r="D8" i="28" s="1"/>
  <c r="F7" i="30"/>
  <c r="F8" i="30" s="1"/>
  <c r="F14" i="33"/>
  <c r="F15" i="33" s="1"/>
  <c r="D6" i="41"/>
  <c r="C37" i="4"/>
  <c r="C5" i="34"/>
  <c r="C8" i="15"/>
  <c r="C7" i="17"/>
  <c r="C8" i="17" s="1"/>
  <c r="C6" i="9"/>
  <c r="C7" i="16"/>
  <c r="C74" i="4"/>
  <c r="C71" i="4" s="1"/>
  <c r="C6" i="42"/>
  <c r="G14" i="33"/>
  <c r="G15" i="33" s="1"/>
  <c r="G7" i="30"/>
  <c r="G8" i="30" s="1"/>
  <c r="G7" i="18"/>
  <c r="G151" i="6"/>
  <c r="G152" i="6" s="1"/>
  <c r="G10" i="32"/>
  <c r="G11" i="32" s="1"/>
  <c r="G6" i="41"/>
  <c r="G10" i="33"/>
  <c r="G11" i="33" s="1"/>
  <c r="G7" i="28"/>
  <c r="G8" i="28" s="1"/>
  <c r="G8" i="19"/>
  <c r="C58" i="6"/>
  <c r="G74" i="6"/>
  <c r="G119" i="6"/>
  <c r="G120" i="6" s="1"/>
  <c r="D142" i="6"/>
  <c r="D143" i="6" s="1"/>
  <c r="F151" i="6"/>
  <c r="F152" i="6" s="1"/>
  <c r="C7" i="15"/>
  <c r="D10" i="33"/>
  <c r="D11" i="33" s="1"/>
  <c r="G6" i="36"/>
  <c r="C6" i="43"/>
  <c r="C6" i="19"/>
  <c r="C5" i="36"/>
  <c r="F6" i="40"/>
  <c r="F7" i="15"/>
  <c r="F10" i="32"/>
  <c r="F11" i="32" s="1"/>
  <c r="F6" i="41"/>
  <c r="F10" i="33"/>
  <c r="F11" i="33" s="1"/>
  <c r="F7" i="28"/>
  <c r="F8" i="28" s="1"/>
  <c r="F8" i="19"/>
  <c r="F155" i="6"/>
  <c r="F156" i="6" s="1"/>
  <c r="F6" i="36"/>
  <c r="D35" i="5"/>
  <c r="C16" i="6"/>
  <c r="C63" i="6"/>
  <c r="D62" i="6"/>
  <c r="D68" i="6"/>
  <c r="F74" i="6"/>
  <c r="F119" i="6"/>
  <c r="F120" i="6" s="1"/>
  <c r="D129" i="6"/>
  <c r="D130" i="6" s="1"/>
  <c r="G142" i="6"/>
  <c r="G143" i="6" s="1"/>
  <c r="G6" i="40"/>
  <c r="E25" i="46"/>
  <c r="I45" i="3" l="1"/>
  <c r="I42" i="3"/>
  <c r="K38" i="3"/>
  <c r="K41" i="3"/>
  <c r="L42" i="3"/>
  <c r="L45" i="3"/>
  <c r="J42" i="3"/>
  <c r="J45" i="3"/>
  <c r="H54" i="4"/>
  <c r="H55" i="4" s="1"/>
  <c r="H42" i="3"/>
  <c r="H45" i="3"/>
  <c r="J44" i="4"/>
  <c r="I45" i="4"/>
  <c r="K37" i="4"/>
  <c r="K38" i="4" s="1"/>
  <c r="I47" i="4"/>
  <c r="I54" i="4"/>
  <c r="I55" i="4" s="1"/>
  <c r="I33" i="4"/>
  <c r="I34" i="4" s="1"/>
  <c r="I37" i="4"/>
  <c r="I38" i="4" s="1"/>
  <c r="J33" i="4"/>
  <c r="J34" i="4" s="1"/>
  <c r="K67" i="4"/>
  <c r="J66" i="4"/>
  <c r="J62" i="4"/>
  <c r="K63" i="4"/>
  <c r="J40" i="4"/>
  <c r="J46" i="4" s="1"/>
  <c r="K41" i="4"/>
  <c r="J15" i="4"/>
  <c r="K16" i="4"/>
  <c r="J19" i="3"/>
  <c r="K20" i="3"/>
  <c r="L14" i="3"/>
  <c r="L13" i="3" s="1"/>
  <c r="K13" i="3"/>
  <c r="J7" i="3"/>
  <c r="K8" i="3"/>
  <c r="L5" i="3"/>
  <c r="L6" i="3" s="1"/>
  <c r="K6" i="3"/>
  <c r="F153" i="6"/>
  <c r="C29" i="3"/>
  <c r="C30" i="3" s="1"/>
  <c r="C28" i="3"/>
  <c r="C16" i="3"/>
  <c r="C153" i="6"/>
  <c r="D6" i="39"/>
  <c r="D16" i="3"/>
  <c r="D153" i="6"/>
  <c r="D157" i="6" s="1"/>
  <c r="C144" i="6"/>
  <c r="D144" i="6"/>
  <c r="G12" i="32"/>
  <c r="D27" i="3"/>
  <c r="C12" i="33"/>
  <c r="C16" i="33" s="1"/>
  <c r="F12" i="33"/>
  <c r="F16" i="33" s="1"/>
  <c r="E12" i="32"/>
  <c r="G144" i="6"/>
  <c r="D12" i="33"/>
  <c r="D16" i="33" s="1"/>
  <c r="E144" i="6"/>
  <c r="D12" i="32"/>
  <c r="E12" i="33"/>
  <c r="E16" i="33" s="1"/>
  <c r="G153" i="6"/>
  <c r="G157" i="6" s="1"/>
  <c r="F12" i="32"/>
  <c r="G12" i="33"/>
  <c r="G16" i="33" s="1"/>
  <c r="G6" i="44"/>
  <c r="G6" i="39"/>
  <c r="G27" i="3"/>
  <c r="E6" i="44"/>
  <c r="E6" i="39"/>
  <c r="E27" i="3"/>
  <c r="C12" i="32"/>
  <c r="E153" i="6"/>
  <c r="E157" i="6" s="1"/>
  <c r="F144" i="6"/>
  <c r="F6" i="44"/>
  <c r="F6" i="39"/>
  <c r="F27" i="3"/>
  <c r="C5" i="35"/>
  <c r="C33" i="3"/>
  <c r="C34" i="3" s="1"/>
  <c r="C73" i="4"/>
  <c r="C67" i="4"/>
  <c r="C69" i="4"/>
  <c r="C63" i="4"/>
  <c r="C65" i="4"/>
  <c r="C59" i="4"/>
  <c r="C61" i="4"/>
  <c r="C55" i="4"/>
  <c r="C57" i="4"/>
  <c r="C51" i="4"/>
  <c r="C53" i="4"/>
  <c r="C75" i="6"/>
  <c r="C45" i="4"/>
  <c r="C49" i="4"/>
  <c r="E54" i="4"/>
  <c r="D54" i="4"/>
  <c r="C47" i="4"/>
  <c r="C41" i="4"/>
  <c r="C43" i="4"/>
  <c r="C38" i="4"/>
  <c r="C32" i="4"/>
  <c r="C36" i="4"/>
  <c r="C34" i="4"/>
  <c r="C28" i="4"/>
  <c r="C30" i="4"/>
  <c r="C24" i="4"/>
  <c r="C26" i="4"/>
  <c r="C22" i="4"/>
  <c r="C64" i="6"/>
  <c r="C18" i="4"/>
  <c r="C20" i="4"/>
  <c r="C14" i="4"/>
  <c r="C16" i="4"/>
  <c r="C9" i="19"/>
  <c r="C10" i="4"/>
  <c r="C12" i="4"/>
  <c r="C6" i="4"/>
  <c r="C8" i="4"/>
  <c r="C8" i="18"/>
  <c r="F157" i="6"/>
  <c r="C5" i="41"/>
  <c r="C6" i="34"/>
  <c r="C5" i="40"/>
  <c r="C157" i="6"/>
  <c r="C5" i="42"/>
  <c r="C7" i="24"/>
  <c r="C8" i="24" s="1"/>
  <c r="C99" i="6"/>
  <c r="C100" i="6" s="1"/>
  <c r="C47" i="6"/>
  <c r="C5" i="43"/>
  <c r="C7" i="14"/>
  <c r="G44" i="4"/>
  <c r="F46" i="4"/>
  <c r="E26" i="46"/>
  <c r="E30" i="46" s="1"/>
  <c r="F25" i="46"/>
  <c r="J46" i="3" l="1"/>
  <c r="J5" i="5"/>
  <c r="J27" i="5" s="1"/>
  <c r="J48" i="5" s="1"/>
  <c r="J49" i="3"/>
  <c r="K42" i="3"/>
  <c r="K45" i="3"/>
  <c r="L5" i="5"/>
  <c r="L27" i="5" s="1"/>
  <c r="L48" i="5" s="1"/>
  <c r="L49" i="3"/>
  <c r="L46" i="3"/>
  <c r="I46" i="3"/>
  <c r="I5" i="5"/>
  <c r="I27" i="5" s="1"/>
  <c r="I48" i="5" s="1"/>
  <c r="I49" i="3"/>
  <c r="H5" i="5"/>
  <c r="H27" i="5" s="1"/>
  <c r="H48" i="5" s="1"/>
  <c r="H70" i="4" s="1"/>
  <c r="H49" i="3"/>
  <c r="H46" i="3"/>
  <c r="K44" i="4"/>
  <c r="J45" i="4"/>
  <c r="J54" i="4"/>
  <c r="J55" i="4" s="1"/>
  <c r="J47" i="4"/>
  <c r="J37" i="4"/>
  <c r="J38" i="4" s="1"/>
  <c r="L67" i="4"/>
  <c r="L66" i="4" s="1"/>
  <c r="K66" i="4"/>
  <c r="L63" i="4"/>
  <c r="L62" i="4" s="1"/>
  <c r="K62" i="4"/>
  <c r="L41" i="4"/>
  <c r="L40" i="4" s="1"/>
  <c r="K40" i="4"/>
  <c r="L16" i="4"/>
  <c r="L15" i="4" s="1"/>
  <c r="K15" i="4"/>
  <c r="L20" i="3"/>
  <c r="L19" i="3" s="1"/>
  <c r="K19" i="3"/>
  <c r="L8" i="3"/>
  <c r="L7" i="3" s="1"/>
  <c r="K7" i="3"/>
  <c r="D29" i="3"/>
  <c r="D5" i="35" s="1"/>
  <c r="D28" i="3"/>
  <c r="F29" i="3"/>
  <c r="F28" i="3"/>
  <c r="E29" i="3"/>
  <c r="E30" i="3" s="1"/>
  <c r="E28" i="3"/>
  <c r="G29" i="3"/>
  <c r="G28" i="3"/>
  <c r="C6" i="15"/>
  <c r="C9" i="15" s="1"/>
  <c r="C51" i="6"/>
  <c r="C54" i="6" s="1"/>
  <c r="C6" i="35"/>
  <c r="C6" i="20"/>
  <c r="C8" i="20" s="1"/>
  <c r="C78" i="6"/>
  <c r="C80" i="6" s="1"/>
  <c r="C37" i="3"/>
  <c r="G5" i="35"/>
  <c r="F5" i="35"/>
  <c r="D6" i="42"/>
  <c r="E6" i="42"/>
  <c r="F54" i="4"/>
  <c r="G46" i="4"/>
  <c r="F26" i="46"/>
  <c r="F30" i="46" s="1"/>
  <c r="G25" i="46"/>
  <c r="G26" i="46" s="1"/>
  <c r="G30" i="46" s="1"/>
  <c r="I50" i="3" l="1"/>
  <c r="I55" i="3"/>
  <c r="I56" i="3" s="1"/>
  <c r="L50" i="3"/>
  <c r="L55" i="3"/>
  <c r="L56" i="3" s="1"/>
  <c r="J55" i="3"/>
  <c r="J56" i="3" s="1"/>
  <c r="J50" i="3"/>
  <c r="K46" i="4"/>
  <c r="K46" i="3"/>
  <c r="K49" i="3"/>
  <c r="K5" i="5"/>
  <c r="K27" i="5" s="1"/>
  <c r="K48" i="5" s="1"/>
  <c r="H55" i="3"/>
  <c r="H56" i="3" s="1"/>
  <c r="H50" i="3"/>
  <c r="I70" i="4"/>
  <c r="H71" i="4"/>
  <c r="H72" i="4"/>
  <c r="H73" i="4" s="1"/>
  <c r="L44" i="4"/>
  <c r="L45" i="4" s="1"/>
  <c r="K45" i="4"/>
  <c r="K47" i="4"/>
  <c r="K54" i="4"/>
  <c r="K55" i="4" s="1"/>
  <c r="C41" i="3"/>
  <c r="C38" i="3"/>
  <c r="E33" i="3"/>
  <c r="E34" i="3" s="1"/>
  <c r="E5" i="35"/>
  <c r="G33" i="3"/>
  <c r="G37" i="3" s="1"/>
  <c r="G30" i="3"/>
  <c r="F33" i="3"/>
  <c r="F34" i="3" s="1"/>
  <c r="F30" i="3"/>
  <c r="D33" i="3"/>
  <c r="D34" i="3" s="1"/>
  <c r="D30" i="3"/>
  <c r="G6" i="20"/>
  <c r="G8" i="20" s="1"/>
  <c r="E51" i="6"/>
  <c r="E54" i="6" s="1"/>
  <c r="F6" i="42"/>
  <c r="G54" i="4"/>
  <c r="K50" i="3" l="1"/>
  <c r="K55" i="3"/>
  <c r="K56" i="3" s="1"/>
  <c r="J70" i="4"/>
  <c r="I71" i="4"/>
  <c r="I72" i="4"/>
  <c r="I73" i="4" s="1"/>
  <c r="L46" i="4"/>
  <c r="F78" i="6"/>
  <c r="F80" i="6" s="1"/>
  <c r="E6" i="35"/>
  <c r="E6" i="20"/>
  <c r="E8" i="20" s="1"/>
  <c r="C45" i="3"/>
  <c r="C42" i="3"/>
  <c r="F37" i="3"/>
  <c r="F41" i="3" s="1"/>
  <c r="G41" i="3"/>
  <c r="G38" i="3"/>
  <c r="E6" i="15"/>
  <c r="E9" i="15" s="1"/>
  <c r="F6" i="15"/>
  <c r="F9" i="15" s="1"/>
  <c r="F6" i="20"/>
  <c r="F8" i="20" s="1"/>
  <c r="E37" i="3"/>
  <c r="E78" i="6"/>
  <c r="E80" i="6" s="1"/>
  <c r="F51" i="6"/>
  <c r="F54" i="6" s="1"/>
  <c r="F6" i="35"/>
  <c r="G6" i="15"/>
  <c r="G9" i="15" s="1"/>
  <c r="G34" i="3"/>
  <c r="G6" i="35"/>
  <c r="G51" i="6"/>
  <c r="G54" i="6" s="1"/>
  <c r="G78" i="6"/>
  <c r="G80" i="6" s="1"/>
  <c r="D37" i="3"/>
  <c r="D6" i="20"/>
  <c r="D8" i="20" s="1"/>
  <c r="D6" i="15"/>
  <c r="D9" i="15" s="1"/>
  <c r="D78" i="6"/>
  <c r="D80" i="6" s="1"/>
  <c r="D51" i="6"/>
  <c r="D54" i="6" s="1"/>
  <c r="D6" i="35"/>
  <c r="G6" i="42"/>
  <c r="L54" i="4" l="1"/>
  <c r="L55" i="4" s="1"/>
  <c r="L47" i="4"/>
  <c r="K70" i="4"/>
  <c r="J71" i="4"/>
  <c r="J72" i="4"/>
  <c r="J73" i="4" s="1"/>
  <c r="F38" i="3"/>
  <c r="C49" i="3"/>
  <c r="C50" i="3" s="1"/>
  <c r="C46" i="3"/>
  <c r="F45" i="3"/>
  <c r="F46" i="3" s="1"/>
  <c r="F42" i="3"/>
  <c r="G45" i="3"/>
  <c r="G46" i="3" s="1"/>
  <c r="G42" i="3"/>
  <c r="C6" i="14"/>
  <c r="C8" i="14" s="1"/>
  <c r="C61" i="3"/>
  <c r="C9" i="10"/>
  <c r="C6" i="7"/>
  <c r="E41" i="3"/>
  <c r="E38" i="3"/>
  <c r="D41" i="3"/>
  <c r="D38" i="3"/>
  <c r="L70" i="4" l="1"/>
  <c r="K71" i="4"/>
  <c r="K72" i="4"/>
  <c r="K73" i="4" s="1"/>
  <c r="C24" i="6"/>
  <c r="C55" i="3"/>
  <c r="C5" i="45" s="1"/>
  <c r="C6" i="16"/>
  <c r="C8" i="16" s="1"/>
  <c r="C6" i="45"/>
  <c r="C57" i="6"/>
  <c r="C59" i="6" s="1"/>
  <c r="C46" i="6"/>
  <c r="C48" i="6" s="1"/>
  <c r="C6" i="6"/>
  <c r="D45" i="3"/>
  <c r="D42" i="3"/>
  <c r="G49" i="3"/>
  <c r="G50" i="3" s="1"/>
  <c r="G5" i="5"/>
  <c r="G27" i="5" s="1"/>
  <c r="G48" i="5" s="1"/>
  <c r="E45" i="3"/>
  <c r="E46" i="3" s="1"/>
  <c r="E42" i="3"/>
  <c r="C31" i="6"/>
  <c r="C32" i="6" s="1"/>
  <c r="C33" i="6" s="1"/>
  <c r="C22" i="6"/>
  <c r="C23" i="6" s="1"/>
  <c r="C7" i="6"/>
  <c r="C8" i="6" s="1"/>
  <c r="C10" i="10"/>
  <c r="C11" i="10" s="1"/>
  <c r="C12" i="6"/>
  <c r="C13" i="6" s="1"/>
  <c r="C7" i="8"/>
  <c r="C8" i="8" s="1"/>
  <c r="C7" i="10"/>
  <c r="C8" i="10" s="1"/>
  <c r="C12" i="10" s="1"/>
  <c r="C7" i="11"/>
  <c r="C8" i="11" s="1"/>
  <c r="C9" i="11" s="1"/>
  <c r="C7" i="9"/>
  <c r="C8" i="9" s="1"/>
  <c r="C7" i="7"/>
  <c r="C8" i="7" s="1"/>
  <c r="C25" i="6"/>
  <c r="C26" i="6" s="1"/>
  <c r="C17" i="6"/>
  <c r="C18" i="6" s="1"/>
  <c r="F49" i="3"/>
  <c r="F50" i="3" s="1"/>
  <c r="F5" i="5"/>
  <c r="F27" i="5" s="1"/>
  <c r="F48" i="5" s="1"/>
  <c r="D5" i="5"/>
  <c r="D27" i="5" s="1"/>
  <c r="D48" i="5" s="1"/>
  <c r="D38" i="46" s="1"/>
  <c r="L71" i="4" l="1"/>
  <c r="L72" i="4"/>
  <c r="L73" i="4" s="1"/>
  <c r="C27" i="6"/>
  <c r="D49" i="3"/>
  <c r="D50" i="3" s="1"/>
  <c r="D46" i="3"/>
  <c r="E49" i="3"/>
  <c r="E9" i="10" s="1"/>
  <c r="D70" i="4"/>
  <c r="E5" i="5"/>
  <c r="E27" i="5" s="1"/>
  <c r="E48" i="5" s="1"/>
  <c r="F57" i="6"/>
  <c r="F46" i="6"/>
  <c r="F24" i="6"/>
  <c r="F6" i="6"/>
  <c r="F6" i="45"/>
  <c r="F6" i="14"/>
  <c r="F6" i="16"/>
  <c r="F6" i="7"/>
  <c r="F9" i="10"/>
  <c r="F55" i="3"/>
  <c r="F5" i="45" s="1"/>
  <c r="F61" i="3"/>
  <c r="G6" i="14"/>
  <c r="G9" i="10"/>
  <c r="G6" i="6"/>
  <c r="G46" i="6"/>
  <c r="G57" i="6"/>
  <c r="G61" i="3"/>
  <c r="G6" i="45"/>
  <c r="G24" i="6"/>
  <c r="G55" i="3"/>
  <c r="G5" i="45" s="1"/>
  <c r="G6" i="16"/>
  <c r="G6" i="7"/>
  <c r="D93" i="6"/>
  <c r="D95" i="6" s="1"/>
  <c r="D88" i="6"/>
  <c r="D90" i="6" s="1"/>
  <c r="E70" i="4"/>
  <c r="D72" i="4"/>
  <c r="D6" i="22"/>
  <c r="D8" i="22" s="1"/>
  <c r="D6" i="23"/>
  <c r="D8" i="23" s="1"/>
  <c r="D39" i="46"/>
  <c r="D40" i="46" s="1"/>
  <c r="E38" i="46"/>
  <c r="E57" i="6" l="1"/>
  <c r="E46" i="6"/>
  <c r="E50" i="3"/>
  <c r="E6" i="6"/>
  <c r="E6" i="14"/>
  <c r="E55" i="3"/>
  <c r="E5" i="45" s="1"/>
  <c r="E61" i="3"/>
  <c r="E10" i="10" s="1"/>
  <c r="E11" i="10" s="1"/>
  <c r="E24" i="6"/>
  <c r="E6" i="45"/>
  <c r="D6" i="16"/>
  <c r="D61" i="3"/>
  <c r="D6" i="45"/>
  <c r="D57" i="6"/>
  <c r="D6" i="6"/>
  <c r="D46" i="6"/>
  <c r="D24" i="6"/>
  <c r="D6" i="14"/>
  <c r="D6" i="7"/>
  <c r="D9" i="10"/>
  <c r="D55" i="3"/>
  <c r="E6" i="7"/>
  <c r="E6" i="16"/>
  <c r="F10" i="10"/>
  <c r="F7" i="10"/>
  <c r="F8" i="10" s="1"/>
  <c r="F12" i="6"/>
  <c r="F13" i="6" s="1"/>
  <c r="F7" i="9"/>
  <c r="F7" i="8"/>
  <c r="F8" i="8" s="1"/>
  <c r="F7" i="11"/>
  <c r="F8" i="11" s="1"/>
  <c r="F9" i="11" s="1"/>
  <c r="F25" i="6"/>
  <c r="F26" i="6" s="1"/>
  <c r="F31" i="6"/>
  <c r="F32" i="6" s="1"/>
  <c r="F33" i="6" s="1"/>
  <c r="F7" i="7"/>
  <c r="F8" i="7" s="1"/>
  <c r="F17" i="6"/>
  <c r="F22" i="6"/>
  <c r="F23" i="6" s="1"/>
  <c r="F27" i="6" s="1"/>
  <c r="F7" i="6"/>
  <c r="F8" i="6" s="1"/>
  <c r="G7" i="11"/>
  <c r="G8" i="11" s="1"/>
  <c r="G9" i="11" s="1"/>
  <c r="G7" i="9"/>
  <c r="G22" i="6"/>
  <c r="G23" i="6" s="1"/>
  <c r="G7" i="7"/>
  <c r="G8" i="7" s="1"/>
  <c r="G25" i="6"/>
  <c r="G26" i="6" s="1"/>
  <c r="G7" i="6"/>
  <c r="G8" i="6" s="1"/>
  <c r="G7" i="10"/>
  <c r="G8" i="10" s="1"/>
  <c r="G31" i="6"/>
  <c r="G32" i="6" s="1"/>
  <c r="G33" i="6" s="1"/>
  <c r="G17" i="6"/>
  <c r="G7" i="8"/>
  <c r="G8" i="8" s="1"/>
  <c r="G12" i="6"/>
  <c r="G13" i="6" s="1"/>
  <c r="G10" i="10"/>
  <c r="G11" i="10" s="1"/>
  <c r="F11" i="10"/>
  <c r="E25" i="6"/>
  <c r="E26" i="6" s="1"/>
  <c r="E22" i="6"/>
  <c r="E23" i="6" s="1"/>
  <c r="E7" i="6"/>
  <c r="E39" i="46"/>
  <c r="E40" i="46" s="1"/>
  <c r="F38" i="46"/>
  <c r="D74" i="4"/>
  <c r="D6" i="19"/>
  <c r="D9" i="19" s="1"/>
  <c r="D67" i="6"/>
  <c r="D69" i="6" s="1"/>
  <c r="D6" i="43"/>
  <c r="D72" i="6"/>
  <c r="D75" i="6" s="1"/>
  <c r="D5" i="36"/>
  <c r="D6" i="18"/>
  <c r="D8" i="18" s="1"/>
  <c r="E93" i="6"/>
  <c r="E95" i="6" s="1"/>
  <c r="E88" i="6"/>
  <c r="E90" i="6" s="1"/>
  <c r="E72" i="4"/>
  <c r="F70" i="4"/>
  <c r="E6" i="23"/>
  <c r="E8" i="23" s="1"/>
  <c r="E6" i="22"/>
  <c r="E8" i="22" s="1"/>
  <c r="E8" i="6" l="1"/>
  <c r="E27" i="6"/>
  <c r="E7" i="10"/>
  <c r="E8" i="10" s="1"/>
  <c r="E7" i="9"/>
  <c r="E31" i="6"/>
  <c r="E32" i="6" s="1"/>
  <c r="E33" i="6" s="1"/>
  <c r="D7" i="7"/>
  <c r="D8" i="7" s="1"/>
  <c r="D7" i="8"/>
  <c r="D8" i="8" s="1"/>
  <c r="D7" i="6"/>
  <c r="D8" i="6" s="1"/>
  <c r="D10" i="10"/>
  <c r="D11" i="10" s="1"/>
  <c r="D12" i="6"/>
  <c r="D13" i="6" s="1"/>
  <c r="D31" i="6"/>
  <c r="D32" i="6" s="1"/>
  <c r="D33" i="6" s="1"/>
  <c r="D7" i="11"/>
  <c r="D8" i="11" s="1"/>
  <c r="D9" i="11" s="1"/>
  <c r="D25" i="6"/>
  <c r="D26" i="6" s="1"/>
  <c r="D17" i="6"/>
  <c r="D22" i="6"/>
  <c r="D23" i="6" s="1"/>
  <c r="D7" i="9"/>
  <c r="D7" i="10"/>
  <c r="D8" i="10" s="1"/>
  <c r="D12" i="10" s="1"/>
  <c r="E7" i="11"/>
  <c r="E8" i="11" s="1"/>
  <c r="E9" i="11" s="1"/>
  <c r="E7" i="7"/>
  <c r="E8" i="7" s="1"/>
  <c r="E7" i="8"/>
  <c r="E8" i="8" s="1"/>
  <c r="E17" i="6"/>
  <c r="E12" i="6"/>
  <c r="E13" i="6" s="1"/>
  <c r="D11" i="4"/>
  <c r="D5" i="45"/>
  <c r="D8" i="46"/>
  <c r="G27" i="6"/>
  <c r="G12" i="10"/>
  <c r="F12" i="10"/>
  <c r="E12" i="10"/>
  <c r="E6" i="43"/>
  <c r="E5" i="36"/>
  <c r="E74" i="4"/>
  <c r="E72" i="6"/>
  <c r="E75" i="6" s="1"/>
  <c r="E6" i="19"/>
  <c r="E9" i="19" s="1"/>
  <c r="E6" i="18"/>
  <c r="E8" i="18" s="1"/>
  <c r="E67" i="6"/>
  <c r="E69" i="6" s="1"/>
  <c r="D67" i="4"/>
  <c r="D53" i="4"/>
  <c r="D47" i="6"/>
  <c r="D48" i="6" s="1"/>
  <c r="D69" i="4"/>
  <c r="D16" i="4"/>
  <c r="D55" i="4"/>
  <c r="D49" i="4"/>
  <c r="D24" i="4"/>
  <c r="D12" i="4"/>
  <c r="D26" i="4"/>
  <c r="D63" i="4"/>
  <c r="D47" i="4"/>
  <c r="D34" i="4"/>
  <c r="D61" i="4"/>
  <c r="D7" i="24"/>
  <c r="D8" i="24" s="1"/>
  <c r="D18" i="4"/>
  <c r="D6" i="4"/>
  <c r="D32" i="4"/>
  <c r="D51" i="4"/>
  <c r="D71" i="4"/>
  <c r="D59" i="4"/>
  <c r="D7" i="14"/>
  <c r="D8" i="14" s="1"/>
  <c r="D45" i="4"/>
  <c r="D20" i="4"/>
  <c r="D41" i="4"/>
  <c r="D28" i="4"/>
  <c r="D22" i="4"/>
  <c r="D36" i="4"/>
  <c r="D5" i="43"/>
  <c r="D75" i="4"/>
  <c r="D57" i="4"/>
  <c r="D8" i="4"/>
  <c r="D30" i="4"/>
  <c r="D5" i="42"/>
  <c r="D73" i="4"/>
  <c r="D65" i="4"/>
  <c r="D99" i="6"/>
  <c r="D100" i="6" s="1"/>
  <c r="D10" i="4"/>
  <c r="D43" i="4"/>
  <c r="G38" i="46"/>
  <c r="G39" i="46" s="1"/>
  <c r="G40" i="46" s="1"/>
  <c r="F39" i="46"/>
  <c r="F40" i="46" s="1"/>
  <c r="F72" i="4"/>
  <c r="F93" i="6"/>
  <c r="F95" i="6" s="1"/>
  <c r="F88" i="6"/>
  <c r="F90" i="6" s="1"/>
  <c r="G70" i="4"/>
  <c r="F6" i="23"/>
  <c r="F8" i="23" s="1"/>
  <c r="F6" i="22"/>
  <c r="F8" i="22" s="1"/>
  <c r="D27" i="6" l="1"/>
  <c r="E8" i="46"/>
  <c r="D9" i="46"/>
  <c r="D21" i="46" s="1"/>
  <c r="D13" i="4"/>
  <c r="E11" i="4"/>
  <c r="F5" i="36"/>
  <c r="F6" i="18"/>
  <c r="F8" i="18" s="1"/>
  <c r="F67" i="6"/>
  <c r="F69" i="6" s="1"/>
  <c r="F6" i="19"/>
  <c r="F9" i="19" s="1"/>
  <c r="F6" i="43"/>
  <c r="F72" i="6"/>
  <c r="F75" i="6" s="1"/>
  <c r="F74" i="4"/>
  <c r="G72" i="4"/>
  <c r="G6" i="23"/>
  <c r="G8" i="23" s="1"/>
  <c r="G6" i="22"/>
  <c r="G8" i="22" s="1"/>
  <c r="G88" i="6"/>
  <c r="G90" i="6" s="1"/>
  <c r="G93" i="6"/>
  <c r="G95" i="6" s="1"/>
  <c r="E71" i="4"/>
  <c r="E24" i="4"/>
  <c r="E55" i="4"/>
  <c r="E18" i="4"/>
  <c r="E7" i="24"/>
  <c r="E8" i="24" s="1"/>
  <c r="E26" i="4"/>
  <c r="E57" i="4"/>
  <c r="E69" i="4"/>
  <c r="E45" i="4"/>
  <c r="E7" i="14"/>
  <c r="E8" i="14" s="1"/>
  <c r="E75" i="4"/>
  <c r="E16" i="4"/>
  <c r="E51" i="4"/>
  <c r="E59" i="4"/>
  <c r="E61" i="4"/>
  <c r="E10" i="4"/>
  <c r="E47" i="4"/>
  <c r="E49" i="4"/>
  <c r="E36" i="4"/>
  <c r="E41" i="4"/>
  <c r="E8" i="4"/>
  <c r="E43" i="4"/>
  <c r="E53" i="4"/>
  <c r="E30" i="4"/>
  <c r="E5" i="42"/>
  <c r="E28" i="4"/>
  <c r="E22" i="4"/>
  <c r="E65" i="4"/>
  <c r="E12" i="4"/>
  <c r="E32" i="4"/>
  <c r="E5" i="43"/>
  <c r="E34" i="4"/>
  <c r="E20" i="4"/>
  <c r="E99" i="6"/>
  <c r="E100" i="6" s="1"/>
  <c r="E63" i="4"/>
  <c r="E47" i="6"/>
  <c r="E48" i="6" s="1"/>
  <c r="E67" i="4"/>
  <c r="E6" i="4"/>
  <c r="E73" i="4"/>
  <c r="F11" i="4" l="1"/>
  <c r="E13" i="4"/>
  <c r="D6" i="9"/>
  <c r="D8" i="9" s="1"/>
  <c r="D53" i="6"/>
  <c r="D5" i="34"/>
  <c r="D7" i="16"/>
  <c r="D8" i="16" s="1"/>
  <c r="D37" i="4"/>
  <c r="D14" i="4"/>
  <c r="D16" i="6"/>
  <c r="D18" i="6" s="1"/>
  <c r="D63" i="6"/>
  <c r="D64" i="6" s="1"/>
  <c r="D8" i="15"/>
  <c r="D58" i="6"/>
  <c r="D59" i="6" s="1"/>
  <c r="D7" i="17"/>
  <c r="D8" i="17" s="1"/>
  <c r="F8" i="46"/>
  <c r="E9" i="46"/>
  <c r="E21" i="46" s="1"/>
  <c r="G6" i="19"/>
  <c r="G9" i="19" s="1"/>
  <c r="G74" i="4"/>
  <c r="G6" i="18"/>
  <c r="G8" i="18" s="1"/>
  <c r="G67" i="6"/>
  <c r="G69" i="6" s="1"/>
  <c r="G6" i="43"/>
  <c r="G5" i="36"/>
  <c r="G72" i="6"/>
  <c r="G75" i="6" s="1"/>
  <c r="F73" i="4"/>
  <c r="F55" i="4"/>
  <c r="F6" i="4"/>
  <c r="F7" i="24"/>
  <c r="F8" i="24" s="1"/>
  <c r="F49" i="4"/>
  <c r="F16" i="4"/>
  <c r="F59" i="4"/>
  <c r="F10" i="4"/>
  <c r="F71" i="4"/>
  <c r="F47" i="4"/>
  <c r="F5" i="43"/>
  <c r="F61" i="4"/>
  <c r="F41" i="4"/>
  <c r="F8" i="4"/>
  <c r="F43" i="4"/>
  <c r="F99" i="6"/>
  <c r="F100" i="6" s="1"/>
  <c r="F7" i="14"/>
  <c r="F8" i="14" s="1"/>
  <c r="F47" i="6"/>
  <c r="F48" i="6" s="1"/>
  <c r="F24" i="4"/>
  <c r="F45" i="4"/>
  <c r="F20" i="4"/>
  <c r="F75" i="4"/>
  <c r="F30" i="4"/>
  <c r="F51" i="4"/>
  <c r="F65" i="4"/>
  <c r="F32" i="4"/>
  <c r="F5" i="42"/>
  <c r="F34" i="4"/>
  <c r="F53" i="4"/>
  <c r="F69" i="4"/>
  <c r="F12" i="4"/>
  <c r="F18" i="4"/>
  <c r="F67" i="4"/>
  <c r="F36" i="4"/>
  <c r="F28" i="4"/>
  <c r="F63" i="4"/>
  <c r="F22" i="4"/>
  <c r="F57" i="4"/>
  <c r="F26" i="4"/>
  <c r="D38" i="4" l="1"/>
  <c r="D6" i="34"/>
  <c r="D5" i="41"/>
  <c r="D5" i="40"/>
  <c r="G8" i="46"/>
  <c r="G9" i="46" s="1"/>
  <c r="G21" i="46" s="1"/>
  <c r="F9" i="46"/>
  <c r="F21" i="46" s="1"/>
  <c r="E16" i="6"/>
  <c r="E18" i="6" s="1"/>
  <c r="E7" i="17"/>
  <c r="E8" i="17" s="1"/>
  <c r="E14" i="4"/>
  <c r="E7" i="16"/>
  <c r="E8" i="16" s="1"/>
  <c r="E5" i="34"/>
  <c r="E58" i="6"/>
  <c r="E59" i="6" s="1"/>
  <c r="E53" i="6"/>
  <c r="E8" i="15"/>
  <c r="E37" i="4"/>
  <c r="E63" i="6"/>
  <c r="E64" i="6" s="1"/>
  <c r="E6" i="9"/>
  <c r="E8" i="9" s="1"/>
  <c r="G11" i="4"/>
  <c r="G13" i="4" s="1"/>
  <c r="G14" i="4" s="1"/>
  <c r="F13" i="4"/>
  <c r="G55" i="4"/>
  <c r="G6" i="4"/>
  <c r="G26" i="4"/>
  <c r="G28" i="4"/>
  <c r="G49" i="4"/>
  <c r="G16" i="4"/>
  <c r="G34" i="4"/>
  <c r="G36" i="4"/>
  <c r="G18" i="4"/>
  <c r="G20" i="4"/>
  <c r="G71" i="4"/>
  <c r="G47" i="4"/>
  <c r="G7" i="14"/>
  <c r="G8" i="14" s="1"/>
  <c r="G5" i="42"/>
  <c r="G5" i="43"/>
  <c r="G41" i="4"/>
  <c r="G8" i="4"/>
  <c r="G53" i="4"/>
  <c r="G75" i="4"/>
  <c r="G30" i="4"/>
  <c r="G67" i="4"/>
  <c r="G61" i="4"/>
  <c r="G65" i="4"/>
  <c r="G32" i="4"/>
  <c r="G99" i="6"/>
  <c r="G100" i="6" s="1"/>
  <c r="G47" i="6"/>
  <c r="G48" i="6" s="1"/>
  <c r="G7" i="24"/>
  <c r="G8" i="24" s="1"/>
  <c r="G73" i="4"/>
  <c r="G63" i="4"/>
  <c r="G22" i="4"/>
  <c r="G43" i="4"/>
  <c r="G45" i="4"/>
  <c r="G57" i="4"/>
  <c r="G24" i="4"/>
  <c r="G51" i="4"/>
  <c r="G69" i="4"/>
  <c r="G59" i="4"/>
  <c r="G12" i="4"/>
  <c r="G10" i="4"/>
  <c r="F37" i="4" l="1"/>
  <c r="F7" i="17"/>
  <c r="F8" i="17" s="1"/>
  <c r="F14" i="4"/>
  <c r="F63" i="6"/>
  <c r="F64" i="6" s="1"/>
  <c r="F6" i="9"/>
  <c r="F8" i="9" s="1"/>
  <c r="F8" i="15"/>
  <c r="F5" i="34"/>
  <c r="F53" i="6"/>
  <c r="F7" i="16"/>
  <c r="F8" i="16" s="1"/>
  <c r="F16" i="6"/>
  <c r="F18" i="6" s="1"/>
  <c r="F58" i="6"/>
  <c r="F59" i="6" s="1"/>
  <c r="E38" i="4"/>
  <c r="E6" i="34"/>
  <c r="E5" i="40"/>
  <c r="E5" i="41"/>
  <c r="G63" i="6"/>
  <c r="G64" i="6" s="1"/>
  <c r="G58" i="6"/>
  <c r="G59" i="6" s="1"/>
  <c r="G6" i="9"/>
  <c r="G8" i="9" s="1"/>
  <c r="G7" i="16"/>
  <c r="G8" i="16" s="1"/>
  <c r="G53" i="6"/>
  <c r="G8" i="15"/>
  <c r="G16" i="6"/>
  <c r="G18" i="6" s="1"/>
  <c r="G5" i="34"/>
  <c r="G7" i="17"/>
  <c r="G8" i="17" s="1"/>
  <c r="G37" i="4"/>
  <c r="G5" i="41" l="1"/>
  <c r="G5" i="40"/>
  <c r="G6" i="34"/>
  <c r="G38" i="4"/>
  <c r="F38" i="4"/>
  <c r="F6" i="34"/>
  <c r="F5" i="41"/>
  <c r="F5" i="40"/>
</calcChain>
</file>

<file path=xl/sharedStrings.xml><?xml version="1.0" encoding="utf-8"?>
<sst xmlns="http://schemas.openxmlformats.org/spreadsheetml/2006/main" count="720" uniqueCount="288">
  <si>
    <t>Balance Sheet of NTPC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</si>
  <si>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</si>
  <si>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</si>
  <si>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</si>
  <si>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</si>
  <si>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</si>
  <si>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</si>
  <si>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</si>
  <si>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</si>
  <si>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</si>
  <si>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</si>
  <si>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</si>
  <si>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</si>
  <si>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</si>
  <si>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</si>
  <si>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</si>
  <si>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</si>
  <si>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</si>
  <si>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</si>
  <si>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</si>
  <si>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</si>
  <si>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</si>
  <si>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</si>
  <si>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</si>
  <si>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</si>
  <si>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</si>
  <si>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</si>
  <si>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</si>
  <si>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</si>
  <si>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</si>
  <si>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</si>
  <si>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</si>
  <si>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</si>
  <si>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</si>
  <si>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</si>
  <si>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</si>
  <si>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</si>
  <si>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</si>
  <si>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</si>
  <si>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</si>
  <si>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</si>
  <si>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</si>
  <si>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</si>
  <si>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</si>
  <si>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</si>
  <si>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</si>
  <si>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</si>
  <si>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</si>
  <si>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</si>
  <si>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</si>
  <si>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</si>
  <si>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</si>
  <si>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</si>
  <si>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</si>
  <si>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</si>
  <si>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NTPC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</si>
  <si>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</si>
  <si>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</si>
  <si>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</si>
  <si>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</si>
  <si>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</si>
  <si>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</si>
  <si>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</si>
  <si>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</si>
  <si>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</si>
  <si>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</si>
  <si>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</si>
  <si>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</si>
  <si>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</si>
  <si>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</si>
  <si>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</si>
  <si>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</si>
  <si>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</si>
  <si>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</si>
  <si>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</si>
  <si>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</si>
  <si>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</si>
  <si>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</si>
  <si>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</si>
  <si>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</si>
  <si>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</si>
  <si>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</si>
  <si>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</si>
  <si>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</si>
  <si>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</si>
  <si>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</si>
  <si>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</si>
  <si>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</si>
  <si>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</si>
  <si>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</si>
  <si>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</si>
  <si>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</si>
  <si>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</si>
  <si>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</si>
  <si>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</si>
  <si>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</si>
  <si>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</si>
  <si>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</si>
  <si>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</si>
  <si>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</si>
  <si>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</si>
  <si>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</si>
  <si>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</si>
  <si>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</si>
  <si>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</si>
  <si>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</si>
  <si>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</si>
  <si>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</si>
  <si>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</si>
  <si>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</si>
  <si>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</si>
  <si>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</si>
  <si>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</si>
  <si>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</si>
  <si>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</si>
  <si>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</si>
  <si>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</si>
  <si>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</si>
  <si>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</si>
  <si>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</si>
  <si>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</si>
  <si>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</si>
  <si>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</si>
  <si>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</si>
  <si>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</si>
  <si>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</si>
  <si>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</si>
  <si>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</si>
  <si>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</si>
  <si>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</si>
  <si>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</si>
  <si>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</si>
  <si>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</si>
  <si>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</si>
  <si>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</si>
  <si>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</si>
  <si>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</si>
  <si>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</si>
  <si>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</si>
  <si>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</si>
  <si>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</si>
  <si>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</si>
  <si>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</si>
  <si>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</si>
  <si>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</si>
  <si>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</si>
  <si>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</si>
  <si>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</si>
  <si>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</si>
  <si>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</si>
  <si>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</si>
  <si>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</si>
  <si>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</si>
  <si>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</si>
  <si>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</si>
  <si>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</si>
  <si>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</si>
  <si>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</si>
  <si>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</si>
  <si>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</si>
  <si>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</si>
  <si>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</si>
  <si>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</si>
  <si>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</si>
  <si>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</si>
  <si>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</si>
  <si>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</si>
  <si>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</si>
  <si>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</si>
  <si>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</si>
  <si>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</si>
  <si>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</si>
  <si>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</si>
  <si>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</si>
  <si>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</si>
  <si>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</si>
  <si>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</si>
  <si>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</si>
  <si>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</si>
  <si>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</si>
  <si>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</si>
  <si>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</si>
  <si>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</si>
  <si>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</si>
  <si>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</si>
  <si>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</si>
  <si>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</si>
  <si>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</si>
  <si>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</si>
  <si>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</si>
  <si>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</si>
  <si>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</si>
  <si>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</si>
  <si>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</si>
  <si>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</si>
  <si>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</si>
  <si>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</si>
  <si>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</si>
  <si>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</si>
  <si>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</si>
  <si>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</si>
  <si>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</si>
  <si>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</si>
  <si>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</si>
  <si>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</si>
  <si>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</si>
  <si>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</si>
  <si>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</si>
  <si>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</si>
  <si>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</si>
  <si>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</si>
  <si>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</si>
  <si>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</si>
  <si>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</si>
  <si>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</si>
  <si>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</si>
  <si>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</si>
  <si>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</si>
  <si>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</si>
  <si>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</si>
  <si>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</si>
  <si>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</si>
  <si>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</si>
  <si>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</si>
  <si>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</si>
  <si>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</si>
  <si>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</si>
  <si>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</si>
  <si>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</si>
  <si>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</si>
  <si>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</si>
  <si>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</si>
  <si>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</si>
  <si>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</si>
  <si>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</si>
  <si>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</si>
  <si>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</si>
  <si>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</si>
  <si>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</si>
  <si>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</si>
  <si>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</si>
  <si>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</si>
  <si>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</si>
  <si>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</si>
  <si>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</si>
  <si>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</si>
  <si>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</si>
  <si>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</si>
  <si>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</si>
  <si>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</si>
  <si>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</si>
  <si>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</si>
  <si>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</si>
  <si>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</si>
  <si>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</si>
  <si>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</si>
  <si>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</si>
  <si>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</si>
  <si>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</si>
  <si>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</si>
  <si>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</si>
  <si>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</si>
  <si>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</si>
  <si>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</si>
  <si>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 xml:space="preserve">      ForeCasting</t>
  </si>
  <si>
    <t>TotalAssets TurnOver</t>
  </si>
  <si>
    <t>DepreciationForeCasting</t>
  </si>
  <si>
    <t>InterestForeCasting</t>
  </si>
  <si>
    <t>TaxRateForeCasting</t>
  </si>
  <si>
    <t>DividendTaxRateForeCasting</t>
  </si>
  <si>
    <t>BSInput</t>
  </si>
  <si>
    <t>Back To Index</t>
  </si>
  <si>
    <t>ISMInput</t>
  </si>
  <si>
    <t>Ratios</t>
  </si>
  <si>
    <t>NetWorthVsTotalLiabilties</t>
  </si>
  <si>
    <t>PBDITvsPBIT</t>
  </si>
  <si>
    <t>CAvsCL</t>
  </si>
  <si>
    <t>TotalExpenditureVsTotalIncome</t>
  </si>
  <si>
    <t>Long And Short Term Provisions</t>
  </si>
  <si>
    <t>MaterialConsumed DirectExpenses</t>
  </si>
  <si>
    <t>Gross Sales In Total Income</t>
  </si>
  <si>
    <t>Total Debt In Liabilities</t>
  </si>
  <si>
    <t>Total CL In Liabilities</t>
  </si>
  <si>
    <t>Total NCA In Assets</t>
  </si>
  <si>
    <t>Total CA In Assets</t>
  </si>
  <si>
    <t>Net Profit CF To Balance Sheet</t>
  </si>
  <si>
    <t>BS Backup</t>
  </si>
  <si>
    <t>ISM Backup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</si>
</sst>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u/>
      <sz val="11"/>
      <color theme="10"/>
      <name val="Calibri"/>
      <family val="2"/>
      <scheme val="minor"/>
    </font>
    <font>
      <sz val="11"/>
      <color indexed="3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8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0" fontId="7" fillId="0" borderId="0" xfId="0" applyNumberFormat="1" applyFont="1"/>
    <xf numFmtId="164" fontId="7" fillId="0" borderId="0" xfId="0" applyNumberFormat="1" applyFont="1"/>
    <xf numFmtId="0" fontId="8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0" fontId="10" fillId="0" borderId="0" xfId="0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3" fillId="6" borderId="0" xfId="0" applyFont="1" applyFill="1" applyAlignment="1">
      <alignment horizontal="center"/>
    </xf>
    <xf numFmtId="10" fontId="0" fillId="0" borderId="0" xfId="0" applyNumberFormat="1"/>
    <xf numFmtId="4" fontId="1" fillId="8" borderId="0" xfId="0" applyNumberFormat="1" applyFont="1" applyFill="1" applyAlignment="1">
      <alignment horizontal="right"/>
    </xf>
    <xf numFmtId="10" fontId="8" fillId="8" borderId="0" xfId="0" applyNumberFormat="1" applyFont="1" applyFill="1" applyAlignment="1">
      <alignment horizontal="right"/>
    </xf>
    <xf numFmtId="0" fontId="1" fillId="8" borderId="0" xfId="0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10" fontId="10" fillId="8" borderId="0" xfId="0" applyNumberFormat="1" applyFont="1" applyFill="1" applyAlignment="1">
      <alignment horizontal="right"/>
    </xf>
    <xf numFmtId="10" fontId="9" fillId="8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5" borderId="0" xfId="0" applyFont="1" applyFill="1" applyAlignment="1">
      <alignment horizontal="center" vertical="center"/>
    </xf>
    <xf numFmtId="0" fontId="11" fillId="0" borderId="0" xfId="1"/>
    <xf numFmtId="0" fontId="0" fillId="0" borderId="0" xfId="0" applyFont="1"/>
    <xf numFmtId="0" fontId="12" fillId="0" borderId="0" xfId="1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5FB-4720-813A-4063769BC662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5FB-4720-813A-4063769BC662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5FB-4720-813A-4063769BC6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11</c:v>
                </c:pt>
                <c:pt idx="1">
                  <c:v>14</c:v>
                </c:pt>
                <c:pt idx="2">
                  <c:v>12</c:v>
                </c:pt>
                <c:pt idx="3">
                  <c:v>15</c:v>
                </c:pt>
                <c:pt idx="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FB-4720-813A-4063769BC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31624"/>
        <c:axId val="553629984"/>
      </c:lineChart>
      <c:catAx>
        <c:axId val="55363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29984"/>
        <c:crosses val="autoZero"/>
        <c:auto val="0"/>
        <c:lblAlgn val="ctr"/>
        <c:lblOffset val="100"/>
        <c:noMultiLvlLbl val="0"/>
      </c:catAx>
      <c:valAx>
        <c:axId val="55362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31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0.28000000000000003</c:v>
                </c:pt>
                <c:pt idx="1">
                  <c:v>0.21</c:v>
                </c:pt>
                <c:pt idx="2">
                  <c:v>0.14000000000000001</c:v>
                </c:pt>
                <c:pt idx="3">
                  <c:v>0.12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7B-4E60-888A-F88E1797D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1992"/>
        <c:axId val="446751336"/>
      </c:lineChart>
      <c:catAx>
        <c:axId val="446751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1336"/>
        <c:crosses val="autoZero"/>
        <c:auto val="0"/>
        <c:lblAlgn val="ctr"/>
        <c:lblOffset val="100"/>
        <c:noMultiLvlLbl val="0"/>
      </c:catAx>
      <c:valAx>
        <c:axId val="446751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7519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20B-4A1F-A5F2-C821CAB0D0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1.29</c:v>
                </c:pt>
                <c:pt idx="1">
                  <c:v>0.95</c:v>
                </c:pt>
                <c:pt idx="2">
                  <c:v>0.82</c:v>
                </c:pt>
                <c:pt idx="3">
                  <c:v>0.66</c:v>
                </c:pt>
                <c:pt idx="4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20B-4A1F-A5F2-C821CAB0D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5928"/>
        <c:axId val="446749040"/>
      </c:lineChart>
      <c:catAx>
        <c:axId val="44675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49040"/>
        <c:crosses val="autoZero"/>
        <c:auto val="0"/>
        <c:lblAlgn val="ctr"/>
        <c:lblOffset val="100"/>
        <c:noMultiLvlLbl val="0"/>
      </c:catAx>
      <c:valAx>
        <c:axId val="446749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59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57B-46A3-8240-D43C3DF0792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57B-46A3-8240-D43C3DF0792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57B-46A3-8240-D43C3DF0792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57B-46A3-8240-D43C3DF079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1.41</c:v>
                </c:pt>
                <c:pt idx="1">
                  <c:v>2.2599999999999998</c:v>
                </c:pt>
                <c:pt idx="2">
                  <c:v>4.17</c:v>
                </c:pt>
                <c:pt idx="3">
                  <c:v>4.91</c:v>
                </c:pt>
                <c:pt idx="4">
                  <c:v>5.79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57B-46A3-8240-D43C3DF07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9192"/>
        <c:axId val="553594936"/>
      </c:lineChart>
      <c:catAx>
        <c:axId val="55364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4936"/>
        <c:crosses val="autoZero"/>
        <c:auto val="0"/>
        <c:lblAlgn val="ctr"/>
        <c:lblOffset val="100"/>
        <c:noMultiLvlLbl val="0"/>
      </c:catAx>
      <c:valAx>
        <c:axId val="553594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91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405-45ED-9922-B2B60AC761B0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05-45ED-9922-B2B60AC761B0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405-45ED-9922-B2B60AC761B0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05-45ED-9922-B2B60AC761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1.27</c:v>
                </c:pt>
                <c:pt idx="1">
                  <c:v>2.13</c:v>
                </c:pt>
                <c:pt idx="2">
                  <c:v>3.97</c:v>
                </c:pt>
                <c:pt idx="3">
                  <c:v>4.75</c:v>
                </c:pt>
                <c:pt idx="4">
                  <c:v>5.61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405-45ED-9922-B2B60AC76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215808"/>
        <c:axId val="453218432"/>
      </c:lineChart>
      <c:catAx>
        <c:axId val="45321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8432"/>
        <c:crosses val="autoZero"/>
        <c:auto val="0"/>
        <c:lblAlgn val="ctr"/>
        <c:lblOffset val="100"/>
        <c:noMultiLvlLbl val="0"/>
      </c:catAx>
      <c:valAx>
        <c:axId val="4532184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2158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15.3</c:v>
                </c:pt>
                <c:pt idx="1">
                  <c:v>14.14</c:v>
                </c:pt>
                <c:pt idx="2">
                  <c:v>10.6</c:v>
                </c:pt>
                <c:pt idx="3">
                  <c:v>9.3699999999999992</c:v>
                </c:pt>
                <c:pt idx="4">
                  <c:v>3.09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36-4768-9250-36EF2EC7C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6664"/>
        <c:axId val="451264696"/>
      </c:lineChart>
      <c:catAx>
        <c:axId val="45126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4696"/>
        <c:crosses val="autoZero"/>
        <c:auto val="0"/>
        <c:lblAlgn val="ctr"/>
        <c:lblOffset val="100"/>
        <c:noMultiLvlLbl val="0"/>
      </c:catAx>
      <c:valAx>
        <c:axId val="451264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66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1F-44B2-ABAF-FADA4D05127F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31F-44B2-ABAF-FADA4D05127F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1F-44B2-ABAF-FADA4D05127F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31F-44B2-ABAF-FADA4D0512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31F-44B2-ABAF-FADA4D051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215480"/>
        <c:axId val="453217120"/>
      </c:lineChart>
      <c:catAx>
        <c:axId val="45321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7120"/>
        <c:crosses val="autoZero"/>
        <c:auto val="0"/>
        <c:lblAlgn val="ctr"/>
        <c:lblOffset val="100"/>
        <c:noMultiLvlLbl val="0"/>
      </c:catAx>
      <c:valAx>
        <c:axId val="453217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2154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CE3-44CB-A9B6-736ECDE3F63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CE3-44CB-A9B6-736ECDE3F63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CE3-44CB-A9B6-736ECDE3F63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CE3-44CB-A9B6-736ECDE3F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E3-44CB-A9B6-736ECDE3F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77376"/>
        <c:axId val="447877704"/>
      </c:lineChart>
      <c:catAx>
        <c:axId val="44787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77704"/>
        <c:crosses val="autoZero"/>
        <c:auto val="0"/>
        <c:lblAlgn val="ctr"/>
        <c:lblOffset val="100"/>
        <c:noMultiLvlLbl val="0"/>
      </c:catAx>
      <c:valAx>
        <c:axId val="447877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77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86C-4133-A954-33961E8FD4A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86C-4133-A954-33961E8FD4AC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986C-4133-A954-33961E8FD4A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86C-4133-A954-33961E8FD4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4387.6000000000004</c:v>
                </c:pt>
                <c:pt idx="1">
                  <c:v>78666.97</c:v>
                </c:pt>
                <c:pt idx="2">
                  <c:v>149735.79</c:v>
                </c:pt>
                <c:pt idx="3">
                  <c:v>223804.48</c:v>
                </c:pt>
                <c:pt idx="4">
                  <c:v>243866.62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6C-4133-A954-33961E8FD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79344"/>
        <c:axId val="447879672"/>
      </c:lineChart>
      <c:catAx>
        <c:axId val="44787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79672"/>
        <c:crosses val="autoZero"/>
        <c:auto val="0"/>
        <c:lblAlgn val="ctr"/>
        <c:lblOffset val="100"/>
        <c:noMultiLvlLbl val="0"/>
      </c:catAx>
      <c:valAx>
        <c:axId val="447879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793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D5C-411D-9873-48539385BB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0.3</c:v>
                </c:pt>
                <c:pt idx="1">
                  <c:v>0.24</c:v>
                </c:pt>
                <c:pt idx="2">
                  <c:v>0.22</c:v>
                </c:pt>
                <c:pt idx="3">
                  <c:v>0.19</c:v>
                </c:pt>
                <c:pt idx="4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5C-411D-9873-48539385B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81304"/>
        <c:axId val="559878680"/>
      </c:lineChart>
      <c:catAx>
        <c:axId val="559881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78680"/>
        <c:crosses val="autoZero"/>
        <c:auto val="0"/>
        <c:lblAlgn val="ctr"/>
        <c:lblOffset val="100"/>
        <c:noMultiLvlLbl val="0"/>
      </c:catAx>
      <c:valAx>
        <c:axId val="559878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881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69-420D-B899-18B58D93C1FB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769-420D-B899-18B58D93C1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14.03</c:v>
                </c:pt>
                <c:pt idx="1">
                  <c:v>12.07</c:v>
                </c:pt>
                <c:pt idx="2">
                  <c:v>9.7899999999999991</c:v>
                </c:pt>
                <c:pt idx="3">
                  <c:v>11.34</c:v>
                </c:pt>
                <c:pt idx="4">
                  <c:v>13.08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69-420D-B899-18B58D93C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77696"/>
        <c:axId val="559878024"/>
      </c:lineChart>
      <c:catAx>
        <c:axId val="55987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78024"/>
        <c:crosses val="autoZero"/>
        <c:auto val="0"/>
        <c:lblAlgn val="ctr"/>
        <c:lblOffset val="100"/>
        <c:noMultiLvlLbl val="0"/>
      </c:catAx>
      <c:valAx>
        <c:axId val="559878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877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E5E-4162-AC49-F3FDCC0716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0.77</c:v>
                </c:pt>
                <c:pt idx="1">
                  <c:v>0.55000000000000004</c:v>
                </c:pt>
                <c:pt idx="2">
                  <c:v>0.09</c:v>
                </c:pt>
                <c:pt idx="3">
                  <c:v>1.1299999999999999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E5E-4162-AC49-F3FDCC071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536192"/>
        <c:axId val="551535208"/>
      </c:lineChart>
      <c:catAx>
        <c:axId val="5515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5208"/>
        <c:crosses val="autoZero"/>
        <c:auto val="0"/>
        <c:lblAlgn val="ctr"/>
        <c:lblOffset val="100"/>
        <c:noMultiLvlLbl val="0"/>
      </c:catAx>
      <c:valAx>
        <c:axId val="551535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5361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BF4-499C-80D4-C057572E7B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9.77</c:v>
                </c:pt>
                <c:pt idx="1">
                  <c:v>8.06</c:v>
                </c:pt>
                <c:pt idx="2">
                  <c:v>5.37</c:v>
                </c:pt>
                <c:pt idx="3">
                  <c:v>6.28</c:v>
                </c:pt>
                <c:pt idx="4">
                  <c:v>4.8499999999999996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F4-499C-80D4-C057572E7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89176"/>
        <c:axId val="559892128"/>
      </c:lineChart>
      <c:catAx>
        <c:axId val="55988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92128"/>
        <c:crosses val="autoZero"/>
        <c:auto val="0"/>
        <c:lblAlgn val="ctr"/>
        <c:lblOffset val="100"/>
        <c:noMultiLvlLbl val="0"/>
      </c:catAx>
      <c:valAx>
        <c:axId val="559892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889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0.67</c:v>
                </c:pt>
                <c:pt idx="1">
                  <c:v>0.66</c:v>
                </c:pt>
                <c:pt idx="2">
                  <c:v>0.57999999999999996</c:v>
                </c:pt>
                <c:pt idx="3">
                  <c:v>0.55000000000000004</c:v>
                </c:pt>
                <c:pt idx="4">
                  <c:v>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23-474E-BA29-2CA8EBA99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185040"/>
        <c:axId val="449186024"/>
      </c:lineChart>
      <c:catAx>
        <c:axId val="44918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186024"/>
        <c:crosses val="autoZero"/>
        <c:auto val="0"/>
        <c:lblAlgn val="ctr"/>
        <c:lblOffset val="100"/>
        <c:noMultiLvlLbl val="0"/>
      </c:catAx>
      <c:valAx>
        <c:axId val="449186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1850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80F-4E71-AC8A-BF1A530ECFF8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80F-4E71-AC8A-BF1A530ECFF8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80F-4E71-AC8A-BF1A530ECFF8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80F-4E71-AC8A-BF1A530ECF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0F-4E71-AC8A-BF1A530EC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77048"/>
        <c:axId val="448608936"/>
      </c:lineChart>
      <c:catAx>
        <c:axId val="44787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608936"/>
        <c:crosses val="autoZero"/>
        <c:auto val="0"/>
        <c:lblAlgn val="ctr"/>
        <c:lblOffset val="100"/>
        <c:noMultiLvlLbl val="0"/>
      </c:catAx>
      <c:valAx>
        <c:axId val="448608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77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8B2-42E1-9467-36F040C8DFD1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B2-42E1-9467-36F040C8DF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26.02</c:v>
                </c:pt>
                <c:pt idx="1">
                  <c:v>30.23</c:v>
                </c:pt>
                <c:pt idx="2">
                  <c:v>37.270000000000003</c:v>
                </c:pt>
                <c:pt idx="3">
                  <c:v>32.18</c:v>
                </c:pt>
                <c:pt idx="4">
                  <c:v>27.9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B2-42E1-9467-36F040C8D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60520"/>
        <c:axId val="446758880"/>
      </c:lineChart>
      <c:catAx>
        <c:axId val="44676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8880"/>
        <c:crosses val="autoZero"/>
        <c:auto val="0"/>
        <c:lblAlgn val="ctr"/>
        <c:lblOffset val="100"/>
        <c:noMultiLvlLbl val="0"/>
      </c:catAx>
      <c:valAx>
        <c:axId val="446758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605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F59-4161-B099-B438FF177BF6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F59-4161-B099-B438FF177BF6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FF59-4161-B099-B438FF177BF6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F59-4161-B099-B438FF177B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59-4161-B099-B438FF177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611232"/>
        <c:axId val="448609264"/>
      </c:lineChart>
      <c:catAx>
        <c:axId val="44861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609264"/>
        <c:crosses val="autoZero"/>
        <c:auto val="0"/>
        <c:lblAlgn val="ctr"/>
        <c:lblOffset val="100"/>
        <c:noMultiLvlLbl val="0"/>
      </c:catAx>
      <c:valAx>
        <c:axId val="448609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6112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850-4CBA-9233-F6396A2D37C4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850-4CBA-9233-F6396A2D37C4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850-4CBA-9233-F6396A2D37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37.35</c:v>
                </c:pt>
                <c:pt idx="1">
                  <c:v>45.3</c:v>
                </c:pt>
                <c:pt idx="2">
                  <c:v>67.98</c:v>
                </c:pt>
                <c:pt idx="3">
                  <c:v>58.12</c:v>
                </c:pt>
                <c:pt idx="4">
                  <c:v>75.22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50-4CBA-9233-F6396A2D3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6008"/>
        <c:axId val="451266336"/>
      </c:lineChart>
      <c:catAx>
        <c:axId val="451266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6336"/>
        <c:crosses val="autoZero"/>
        <c:auto val="0"/>
        <c:lblAlgn val="ctr"/>
        <c:lblOffset val="100"/>
        <c:noMultiLvlLbl val="0"/>
      </c:catAx>
      <c:valAx>
        <c:axId val="451266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60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18C-420F-ADC2-388916A1085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18C-420F-ADC2-388916A1085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D18C-420F-ADC2-388916A1085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18C-420F-ADC2-388916A108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8C-420F-ADC2-388916A10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88848"/>
        <c:axId val="559889832"/>
      </c:lineChart>
      <c:catAx>
        <c:axId val="55988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89832"/>
        <c:crosses val="autoZero"/>
        <c:auto val="0"/>
        <c:lblAlgn val="ctr"/>
        <c:lblOffset val="100"/>
        <c:noMultiLvlLbl val="0"/>
      </c:catAx>
      <c:valAx>
        <c:axId val="559889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9888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D99-4945-B254-848151E26A0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D99-4945-B254-848151E26A0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CD99-4945-B254-848151E26A07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D99-4945-B254-848151E26A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99-4945-B254-848151E26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950696"/>
        <c:axId val="546951024"/>
      </c:lineChart>
      <c:catAx>
        <c:axId val="54695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51024"/>
        <c:crosses val="autoZero"/>
        <c:auto val="0"/>
        <c:lblAlgn val="ctr"/>
        <c:lblOffset val="100"/>
        <c:noMultiLvlLbl val="0"/>
      </c:catAx>
      <c:valAx>
        <c:axId val="546951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6950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103563.47</c:v>
                </c:pt>
                <c:pt idx="1">
                  <c:v>178022.0925519249</c:v>
                </c:pt>
                <c:pt idx="2">
                  <c:v>246037.93921654287</c:v>
                </c:pt>
                <c:pt idx="3">
                  <c:v>313577.77530674246</c:v>
                </c:pt>
                <c:pt idx="4">
                  <c:v>329518.95283174899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E6-4EFC-BF30-7073E0099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056736"/>
        <c:axId val="556055752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282361.67000000004</c:v>
                </c:pt>
                <c:pt idx="1">
                  <c:v>413327.04255192494</c:v>
                </c:pt>
                <c:pt idx="2">
                  <c:v>505684.2192165429</c:v>
                </c:pt>
                <c:pt idx="3">
                  <c:v>586805.51530674251</c:v>
                </c:pt>
                <c:pt idx="4">
                  <c:v>610661.9428317491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E6-4EFC-BF30-7073E0099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056736"/>
        <c:axId val="556055752"/>
      </c:lineChart>
      <c:catAx>
        <c:axId val="55605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055752"/>
        <c:crosses val="autoZero"/>
        <c:auto val="1"/>
        <c:lblAlgn val="ctr"/>
        <c:lblOffset val="100"/>
        <c:noMultiLvlLbl val="0"/>
      </c:catAx>
      <c:valAx>
        <c:axId val="556055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0567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75330.988094654735</c:v>
                </c:pt>
                <c:pt idx="1">
                  <c:v>87940.762551924898</c:v>
                </c:pt>
                <c:pt idx="2">
                  <c:v>96432.306664617994</c:v>
                </c:pt>
                <c:pt idx="3">
                  <c:v>98875.956090199616</c:v>
                </c:pt>
                <c:pt idx="4">
                  <c:v>42605.607525006548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53-4095-BF0B-76652D76FF23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67871.058094654727</c:v>
                </c:pt>
                <c:pt idx="1">
                  <c:v>79271.732551924899</c:v>
                </c:pt>
                <c:pt idx="2">
                  <c:v>86076.146664617991</c:v>
                </c:pt>
                <c:pt idx="3">
                  <c:v>86425.646090199618</c:v>
                </c:pt>
                <c:pt idx="4">
                  <c:v>28817.777525006546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53-4095-BF0B-76652D76F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2315488"/>
        <c:axId val="552312208"/>
      </c:barChart>
      <c:catAx>
        <c:axId val="55231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2312208"/>
        <c:crosses val="autoZero"/>
        <c:auto val="1"/>
        <c:lblAlgn val="ctr"/>
        <c:lblOffset val="100"/>
        <c:noMultiLvlLbl val="0"/>
      </c:catAx>
      <c:valAx>
        <c:axId val="552312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231548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EC7-43C0-86F5-50617214AB1E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EC7-43C0-86F5-50617214AB1E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EC7-43C0-86F5-50617214AB1E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EC7-43C0-86F5-50617214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19.71</c:v>
                </c:pt>
                <c:pt idx="1">
                  <c:v>32.6</c:v>
                </c:pt>
                <c:pt idx="2">
                  <c:v>43.03</c:v>
                </c:pt>
                <c:pt idx="3">
                  <c:v>64.2</c:v>
                </c:pt>
                <c:pt idx="4">
                  <c:v>351.41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C7-43C0-86F5-50617214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4288"/>
        <c:axId val="446750024"/>
      </c:lineChart>
      <c:catAx>
        <c:axId val="44675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024"/>
        <c:crosses val="autoZero"/>
        <c:auto val="0"/>
        <c:lblAlgn val="ctr"/>
        <c:lblOffset val="100"/>
        <c:noMultiLvlLbl val="0"/>
      </c:catAx>
      <c:valAx>
        <c:axId val="446750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42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61854.54</c:v>
                </c:pt>
                <c:pt idx="1">
                  <c:v>144881.0025519249</c:v>
                </c:pt>
                <c:pt idx="2">
                  <c:v>229389.0892165429</c:v>
                </c:pt>
                <c:pt idx="3">
                  <c:v>307042.42530674255</c:v>
                </c:pt>
                <c:pt idx="4">
                  <c:v>329249.75283174904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8-42AD-9764-1685C28D7A09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43992.61</c:v>
                </c:pt>
                <c:pt idx="1">
                  <c:v>64036.08</c:v>
                </c:pt>
                <c:pt idx="2">
                  <c:v>55037.42</c:v>
                </c:pt>
                <c:pt idx="3">
                  <c:v>62579.68</c:v>
                </c:pt>
                <c:pt idx="4">
                  <c:v>56875.65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48-42AD-9764-1685C28D7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2315816"/>
        <c:axId val="552316800"/>
      </c:barChart>
      <c:catAx>
        <c:axId val="55231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2316800"/>
        <c:crosses val="autoZero"/>
        <c:auto val="1"/>
        <c:lblAlgn val="ctr"/>
        <c:lblOffset val="100"/>
        <c:noMultiLvlLbl val="0"/>
      </c:catAx>
      <c:valAx>
        <c:axId val="552316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23158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480.9</c:v>
                </c:pt>
                <c:pt idx="1">
                  <c:v>1141.73</c:v>
                </c:pt>
                <c:pt idx="2">
                  <c:v>1085.02</c:v>
                </c:pt>
                <c:pt idx="3">
                  <c:v>1042.3900000000001</c:v>
                </c:pt>
                <c:pt idx="4">
                  <c:v>1655.19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26-4874-8969-671DE6482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316872"/>
        <c:axId val="452317200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8251.7800000000007</c:v>
                </c:pt>
                <c:pt idx="1">
                  <c:v>7308.41</c:v>
                </c:pt>
                <c:pt idx="2">
                  <c:v>7372.06</c:v>
                </c:pt>
                <c:pt idx="3">
                  <c:v>8113.6</c:v>
                </c:pt>
                <c:pt idx="4">
                  <c:v>7875.69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26-4874-8969-671DE6482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617008"/>
        <c:axId val="453614056"/>
      </c:lineChart>
      <c:catAx>
        <c:axId val="452316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2317200"/>
        <c:crosses val="autoZero"/>
        <c:auto val="1"/>
        <c:lblAlgn val="ctr"/>
        <c:lblOffset val="100"/>
        <c:noMultiLvlLbl val="0"/>
      </c:catAx>
      <c:valAx>
        <c:axId val="452317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6872"/>
        <c:crosses val="autoZero"/>
        <c:crossBetween val="between"/>
      </c:valAx>
      <c:valAx>
        <c:axId val="4536140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3617008"/>
        <c:crosses val="max"/>
        <c:crossBetween val="between"/>
      </c:valAx>
      <c:catAx>
        <c:axId val="453617008"/>
        <c:scaling>
          <c:orientation val="minMax"/>
        </c:scaling>
        <c:delete val="1"/>
        <c:axPos val="b"/>
        <c:majorTickMark val="out"/>
        <c:minorTickMark val="none"/>
        <c:tickLblPos val="nextTo"/>
        <c:crossAx val="45361405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73-4A6A-A6EB-CDF9D924C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891472"/>
        <c:axId val="450787152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D73-4A6A-A6EB-CDF9D924C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308240"/>
        <c:axId val="559886224"/>
      </c:lineChart>
      <c:catAx>
        <c:axId val="55989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0787152"/>
        <c:crosses val="autoZero"/>
        <c:auto val="1"/>
        <c:lblAlgn val="ctr"/>
        <c:lblOffset val="100"/>
        <c:noMultiLvlLbl val="0"/>
      </c:catAx>
      <c:valAx>
        <c:axId val="450787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91472"/>
        <c:crosses val="autoZero"/>
        <c:crossBetween val="between"/>
      </c:valAx>
      <c:valAx>
        <c:axId val="5598862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5308240"/>
        <c:crosses val="max"/>
        <c:crossBetween val="between"/>
      </c:valAx>
      <c:catAx>
        <c:axId val="555308240"/>
        <c:scaling>
          <c:orientation val="minMax"/>
        </c:scaling>
        <c:delete val="1"/>
        <c:axPos val="b"/>
        <c:majorTickMark val="out"/>
        <c:minorTickMark val="none"/>
        <c:tickLblPos val="nextTo"/>
        <c:crossAx val="55988622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86118.25</c:v>
                </c:pt>
                <c:pt idx="1">
                  <c:v>99615</c:v>
                </c:pt>
                <c:pt idx="2">
                  <c:v>109078.63</c:v>
                </c:pt>
                <c:pt idx="3">
                  <c:v>111267.88</c:v>
                </c:pt>
                <c:pt idx="4">
                  <c:v>132669.28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82-4FA9-8549-40D3D7F6F678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87677.548094654732</c:v>
                </c:pt>
                <c:pt idx="1">
                  <c:v>101862.5325519249</c:v>
                </c:pt>
                <c:pt idx="2">
                  <c:v>111988.19666461799</c:v>
                </c:pt>
                <c:pt idx="3">
                  <c:v>115284.59609019961</c:v>
                </c:pt>
                <c:pt idx="4">
                  <c:v>134995.32752500655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82-4FA9-8549-40D3D7F6F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620616"/>
        <c:axId val="453614384"/>
      </c:barChart>
      <c:catAx>
        <c:axId val="45362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14384"/>
        <c:crosses val="autoZero"/>
        <c:auto val="1"/>
        <c:lblAlgn val="ctr"/>
        <c:lblOffset val="100"/>
        <c:noMultiLvlLbl val="0"/>
      </c:catAx>
      <c:valAx>
        <c:axId val="453614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206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282361.67000000004</c:v>
                </c:pt>
                <c:pt idx="1">
                  <c:v>413327.04255192494</c:v>
                </c:pt>
                <c:pt idx="2">
                  <c:v>505684.2192165429</c:v>
                </c:pt>
                <c:pt idx="3">
                  <c:v>586805.51530674251</c:v>
                </c:pt>
                <c:pt idx="4">
                  <c:v>610661.9428317491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2F-4C0E-9809-BEEF5DEE26DB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133857.82</c:v>
                </c:pt>
                <c:pt idx="1">
                  <c:v>168360.66999999998</c:v>
                </c:pt>
                <c:pt idx="2">
                  <c:v>201291.67</c:v>
                </c:pt>
                <c:pt idx="3">
                  <c:v>207124.35</c:v>
                </c:pt>
                <c:pt idx="4">
                  <c:v>220506.93000000002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2F-4C0E-9809-BEEF5DEE2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4552648"/>
        <c:axId val="554553304"/>
      </c:barChart>
      <c:catAx>
        <c:axId val="55455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553304"/>
        <c:crosses val="autoZero"/>
        <c:auto val="1"/>
        <c:lblAlgn val="ctr"/>
        <c:lblOffset val="100"/>
        <c:noMultiLvlLbl val="0"/>
      </c:catAx>
      <c:valAx>
        <c:axId val="554553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552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282361.67000000004</c:v>
                </c:pt>
                <c:pt idx="1">
                  <c:v>413327.04255192494</c:v>
                </c:pt>
                <c:pt idx="2">
                  <c:v>505684.2192165429</c:v>
                </c:pt>
                <c:pt idx="3">
                  <c:v>586805.51530674251</c:v>
                </c:pt>
                <c:pt idx="4">
                  <c:v>610661.9428317491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CD-4896-8D99-233FC7DC3148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43992.61</c:v>
                </c:pt>
                <c:pt idx="1">
                  <c:v>64036.08</c:v>
                </c:pt>
                <c:pt idx="2">
                  <c:v>55037.42</c:v>
                </c:pt>
                <c:pt idx="3">
                  <c:v>62579.68</c:v>
                </c:pt>
                <c:pt idx="4">
                  <c:v>56875.65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CD-4896-8D99-233FC7DC3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4095208"/>
        <c:axId val="274096520"/>
      </c:barChart>
      <c:catAx>
        <c:axId val="27409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6520"/>
        <c:crosses val="autoZero"/>
        <c:auto val="1"/>
        <c:lblAlgn val="ctr"/>
        <c:lblOffset val="100"/>
        <c:noMultiLvlLbl val="0"/>
      </c:catAx>
      <c:valAx>
        <c:axId val="274096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520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282361.67</c:v>
                </c:pt>
                <c:pt idx="1">
                  <c:v>413327.04255192488</c:v>
                </c:pt>
                <c:pt idx="2">
                  <c:v>505684.2192165429</c:v>
                </c:pt>
                <c:pt idx="3">
                  <c:v>586805.51530674251</c:v>
                </c:pt>
                <c:pt idx="4">
                  <c:v>610661.9428317491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4-4872-BB80-F17C3FA06C28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220507.13</c:v>
                </c:pt>
                <c:pt idx="1">
                  <c:v>268446.03999999998</c:v>
                </c:pt>
                <c:pt idx="2">
                  <c:v>276295.13</c:v>
                </c:pt>
                <c:pt idx="3">
                  <c:v>279763.08999999997</c:v>
                </c:pt>
                <c:pt idx="4">
                  <c:v>281412.19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B4-4872-BB80-F17C3FA06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5578792"/>
        <c:axId val="625586664"/>
      </c:barChart>
      <c:catAx>
        <c:axId val="62557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586664"/>
        <c:crosses val="autoZero"/>
        <c:auto val="1"/>
        <c:lblAlgn val="ctr"/>
        <c:lblOffset val="100"/>
        <c:noMultiLvlLbl val="0"/>
      </c:catAx>
      <c:valAx>
        <c:axId val="625586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5787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282361.67</c:v>
                </c:pt>
                <c:pt idx="1">
                  <c:v>413327.04255192488</c:v>
                </c:pt>
                <c:pt idx="2">
                  <c:v>505684.2192165429</c:v>
                </c:pt>
                <c:pt idx="3">
                  <c:v>586805.51530674251</c:v>
                </c:pt>
                <c:pt idx="4">
                  <c:v>610661.9428317491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67-4B1D-B9E2-A537252EDC37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61854.54</c:v>
                </c:pt>
                <c:pt idx="1">
                  <c:v>144881.0025519249</c:v>
                </c:pt>
                <c:pt idx="2">
                  <c:v>229389.0892165429</c:v>
                </c:pt>
                <c:pt idx="3">
                  <c:v>307042.42530674255</c:v>
                </c:pt>
                <c:pt idx="4">
                  <c:v>329249.75283174904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67-4B1D-B9E2-A537252ED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056320"/>
        <c:axId val="453615696"/>
      </c:barChart>
      <c:catAx>
        <c:axId val="632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15696"/>
        <c:crosses val="autoZero"/>
        <c:auto val="1"/>
        <c:lblAlgn val="ctr"/>
        <c:lblOffset val="100"/>
        <c:noMultiLvlLbl val="0"/>
      </c:catAx>
      <c:valAx>
        <c:axId val="453615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632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12346.560000000001</c:v>
                </c:pt>
                <c:pt idx="1">
                  <c:v>13921.77</c:v>
                </c:pt>
                <c:pt idx="2">
                  <c:v>15555.89</c:v>
                </c:pt>
                <c:pt idx="3">
                  <c:v>16408.64</c:v>
                </c:pt>
                <c:pt idx="4">
                  <c:v>92389.72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8-41EF-97D4-679584EAE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432696"/>
        <c:axId val="556433024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87677.548094654732</c:v>
                </c:pt>
                <c:pt idx="1">
                  <c:v>101862.5325519249</c:v>
                </c:pt>
                <c:pt idx="2">
                  <c:v>111988.19666461799</c:v>
                </c:pt>
                <c:pt idx="3">
                  <c:v>115284.59609019961</c:v>
                </c:pt>
                <c:pt idx="4">
                  <c:v>134995.32752500655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08-41EF-97D4-679584EAE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156936"/>
        <c:axId val="549163824"/>
      </c:lineChart>
      <c:catAx>
        <c:axId val="55643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3024"/>
        <c:crosses val="autoZero"/>
        <c:auto val="1"/>
        <c:lblAlgn val="ctr"/>
        <c:lblOffset val="100"/>
        <c:noMultiLvlLbl val="0"/>
      </c:catAx>
      <c:valAx>
        <c:axId val="556433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2696"/>
        <c:crosses val="autoZero"/>
        <c:crossBetween val="between"/>
      </c:valAx>
      <c:valAx>
        <c:axId val="5491638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9156936"/>
        <c:crosses val="max"/>
        <c:crossBetween val="between"/>
      </c:valAx>
      <c:catAx>
        <c:axId val="549156936"/>
        <c:scaling>
          <c:orientation val="minMax"/>
        </c:scaling>
        <c:delete val="1"/>
        <c:axPos val="b"/>
        <c:majorTickMark val="out"/>
        <c:minorTickMark val="none"/>
        <c:tickLblPos val="nextTo"/>
        <c:crossAx val="54916382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52916.67809465473</c:v>
                </c:pt>
                <c:pt idx="1">
                  <c:v>72809.522551924907</c:v>
                </c:pt>
                <c:pt idx="2">
                  <c:v>68015.846664617988</c:v>
                </c:pt>
                <c:pt idx="3">
                  <c:v>67737.72609019962</c:v>
                </c:pt>
                <c:pt idx="4">
                  <c:v>15941.177525006546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AE-4DD1-A328-7266B7D27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564480"/>
        <c:axId val="45055759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57783.528094654728</c:v>
                </c:pt>
                <c:pt idx="1">
                  <c:v>76447.022551924907</c:v>
                </c:pt>
                <c:pt idx="2">
                  <c:v>68611.756664617977</c:v>
                </c:pt>
                <c:pt idx="3">
                  <c:v>73268.786090199617</c:v>
                </c:pt>
                <c:pt idx="4">
                  <c:v>15941.177525006546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AE-4DD1-A328-7266B7D27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556936"/>
        <c:axId val="450556608"/>
      </c:lineChart>
      <c:catAx>
        <c:axId val="4505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57592"/>
        <c:crosses val="autoZero"/>
        <c:auto val="1"/>
        <c:lblAlgn val="ctr"/>
        <c:lblOffset val="100"/>
        <c:noMultiLvlLbl val="0"/>
      </c:catAx>
      <c:valAx>
        <c:axId val="450557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4480"/>
        <c:crosses val="autoZero"/>
        <c:crossBetween val="between"/>
      </c:valAx>
      <c:valAx>
        <c:axId val="4505566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0556936"/>
        <c:crosses val="max"/>
        <c:crossBetween val="between"/>
      </c:valAx>
      <c:catAx>
        <c:axId val="450556936"/>
        <c:scaling>
          <c:orientation val="minMax"/>
        </c:scaling>
        <c:delete val="1"/>
        <c:axPos val="b"/>
        <c:majorTickMark val="out"/>
        <c:minorTickMark val="none"/>
        <c:tickLblPos val="nextTo"/>
        <c:crossAx val="45055660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814-4A82-9951-D10D06E214D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7.0000000000000007E-2</c:v>
                </c:pt>
                <c:pt idx="1">
                  <c:v>0.04</c:v>
                </c:pt>
                <c:pt idx="2">
                  <c:v>0.01</c:v>
                </c:pt>
                <c:pt idx="3">
                  <c:v>0.08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814-4A82-9951-D10D06E21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568"/>
        <c:axId val="553815240"/>
      </c:lineChart>
      <c:catAx>
        <c:axId val="55381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240"/>
        <c:crosses val="autoZero"/>
        <c:auto val="0"/>
        <c:lblAlgn val="ctr"/>
        <c:lblOffset val="100"/>
        <c:noMultiLvlLbl val="0"/>
      </c:catAx>
      <c:valAx>
        <c:axId val="553815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55E-40A1-A38E-CF26C375F8AC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55E-40A1-A38E-CF26C375F8AC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55E-40A1-A38E-CF26C375F8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0.22999999999999998</c:v>
                </c:pt>
                <c:pt idx="1">
                  <c:v>0.44999999999999996</c:v>
                </c:pt>
                <c:pt idx="2">
                  <c:v>0.91</c:v>
                </c:pt>
                <c:pt idx="3">
                  <c:v>-0.12999999999999989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55E-40A1-A38E-CF26C375F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537176"/>
        <c:axId val="553632936"/>
      </c:lineChart>
      <c:catAx>
        <c:axId val="551537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32936"/>
        <c:crosses val="autoZero"/>
        <c:auto val="0"/>
        <c:lblAlgn val="ctr"/>
        <c:lblOffset val="100"/>
        <c:noMultiLvlLbl val="0"/>
      </c:catAx>
      <c:valAx>
        <c:axId val="553632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1537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06D-4281-86B5-01724C92E1F9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06D-4281-86B5-01724C92E1F9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06D-4281-86B5-01724C92E1F9}"/>
              </c:ext>
            </c:extLst>
          </c:dPt>
          <c:dPt>
            <c:idx val="4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206D-4281-86B5-01724C92E1F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86118.25</c:v>
                </c:pt>
                <c:pt idx="1">
                  <c:v>99615</c:v>
                </c:pt>
                <c:pt idx="2">
                  <c:v>109078.63</c:v>
                </c:pt>
                <c:pt idx="3">
                  <c:v>111267.88</c:v>
                </c:pt>
                <c:pt idx="4">
                  <c:v>132669.28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6D-4281-86B5-01724C92E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576"/>
        <c:axId val="553593952"/>
      </c:lineChart>
      <c:catAx>
        <c:axId val="5535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952"/>
        <c:crosses val="autoZero"/>
        <c:auto val="0"/>
        <c:lblAlgn val="ctr"/>
        <c:lblOffset val="100"/>
        <c:noMultiLvlLbl val="0"/>
      </c:catAx>
      <c:valAx>
        <c:axId val="55359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59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3AA-4DAF-9B5F-0108005C7467}"/>
              </c:ext>
            </c:extLst>
          </c:dPt>
          <c:dPt>
            <c:idx val="2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3AA-4DAF-9B5F-0108005C7467}"/>
              </c:ext>
            </c:extLst>
          </c:dPt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3AA-4DAF-9B5F-0108005C74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73771.69</c:v>
                </c:pt>
                <c:pt idx="1">
                  <c:v>85693.23</c:v>
                </c:pt>
                <c:pt idx="2">
                  <c:v>93522.74</c:v>
                </c:pt>
                <c:pt idx="3">
                  <c:v>94859.24</c:v>
                </c:pt>
                <c:pt idx="4">
                  <c:v>40279.56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AA-4DAF-9B5F-0108005C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9728"/>
        <c:axId val="548324776"/>
      </c:lineChart>
      <c:catAx>
        <c:axId val="54953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776"/>
        <c:crosses val="autoZero"/>
        <c:auto val="0"/>
        <c:lblAlgn val="ctr"/>
        <c:lblOffset val="100"/>
        <c:noMultiLvlLbl val="0"/>
      </c:catAx>
      <c:valAx>
        <c:axId val="548324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9539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0.2</c:v>
                </c:pt>
                <c:pt idx="1">
                  <c:v>0.18</c:v>
                </c:pt>
                <c:pt idx="2">
                  <c:v>0.14000000000000001</c:v>
                </c:pt>
                <c:pt idx="3">
                  <c:v>0.12</c:v>
                </c:pt>
                <c:pt idx="4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54-41EF-A347-D5DB09F00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80648"/>
        <c:axId val="559879992"/>
      </c:lineChart>
      <c:catAx>
        <c:axId val="559880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79992"/>
        <c:crosses val="autoZero"/>
        <c:auto val="0"/>
        <c:lblAlgn val="ctr"/>
        <c:lblOffset val="100"/>
        <c:noMultiLvlLbl val="0"/>
      </c:catAx>
      <c:valAx>
        <c:axId val="559879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9880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BD7-424F-B2E7-EB1C5FC4CB8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0.25</c:v>
                </c:pt>
                <c:pt idx="1">
                  <c:v>0.24</c:v>
                </c:pt>
                <c:pt idx="2">
                  <c:v>0.21</c:v>
                </c:pt>
                <c:pt idx="3">
                  <c:v>0.21</c:v>
                </c:pt>
                <c:pt idx="4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BD7-424F-B2E7-EB1C5FC4C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135616"/>
        <c:axId val="548135944"/>
      </c:lineChart>
      <c:catAx>
        <c:axId val="54813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135944"/>
        <c:crosses val="autoZero"/>
        <c:auto val="0"/>
        <c:lblAlgn val="ctr"/>
        <c:lblOffset val="100"/>
        <c:noMultiLvlLbl val="0"/>
      </c:catAx>
      <c:valAx>
        <c:axId val="548135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81356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F98C7B-D9CA-B5CB-8C6F-2BCC512854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2DCE61-40FC-3883-DB55-561FFA5BBE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5C24BC-FBE1-92EA-6ECC-39A7828AE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DA2AD5-CEC5-0AEE-0014-C7A2FD459C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1AD9D4-4E99-9AB3-8DB8-EB0F425060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8C9ABA-4A57-0DB0-33C6-917CACBF71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B87093-A5EE-5843-F8EC-5846B336C0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828FEC-82F1-3B95-2E5D-85DE81C3A5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40D9C8-F9CE-DBBA-B21B-F83B97583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5705E9-891E-22D8-96F2-4AB9F6DAAD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63AC6D-D9EE-E028-FB15-2BE375B89F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EC51EA-9FE9-C183-32DE-46335885E8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245A6A-DA48-8BB2-9407-53A5C354A1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6E73B4-55C6-B646-6193-77D9F630B3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DECC5F-641B-D8D9-62E9-89A8473A0E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E07802-0449-1AFC-1E99-9250745A2D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106AA0-1415-DF7C-6CD5-7521FFE055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BFFFEF-DC45-0E65-95DF-D5CF3EB78B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6A1695-1841-170B-CF60-3EC9B4FCA0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77D001-71B0-F2D7-DCF6-9F53770F18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7CB39339-F418-3984-7A45-A7A6D46C24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B23678A4-7FD8-95EE-847E-09E17E0086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1A402-5FE0-98DD-FF49-1E3A682C8B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89785E62-EE3C-6966-460F-74E41A0104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CA9B1632-1283-42C8-2D22-52E879B75C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142A17C6-3D43-45BE-A7C8-C4C4F48E9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77B7C1E9-702B-9B1E-3BAE-90C4C48ECA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28EB3486-5ADB-9CA2-F587-D1A087554D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41ACE22A-B6FD-47A0-6A93-7BEBC06054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B8CE8168-1721-A9BD-FE96-E8533B5624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B8ABAF4B-0F78-A8C3-7AA5-EF2A4B21F2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FE4BBB61-42C3-6A08-E651-B870558D83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1F3E36E6-5620-6F7F-6C67-D383C1FBA8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DB1611-617E-D066-21A1-F14558C73A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52122-6C56-7C6F-038B-A10F07F1A9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0B9902-A3D9-5DF4-3701-2010AC75C7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0BCE8E-4016-AEEB-E232-AF7C92BD16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5F09C0-D20C-597C-00CC-0B954EC822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8BDF5D-131D-B574-18CF-CAE6937D9E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4DF9B-B9A9-4A77-8B4F-DCB2ABB09F9E}">
  <dimension ref="A1:O55"/>
  <sheetViews>
    <sheetView topLeftCell="A45" workbookViewId="0">
      <selection activeCell="A55" sqref="A55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3</v>
      </c>
      <c r="H4" t="s">
        <v>1</v>
      </c>
    </row>
    <row r="5" spans="1:15" x14ac:dyDescent="0.25">
      <c r="B5" t="s">
        <v>4</v>
      </c>
      <c r="H5" t="s">
        <v>1</v>
      </c>
    </row>
    <row r="6" spans="1:15" x14ac:dyDescent="0.25">
      <c r="A6" t="s">
        <v>5</v>
      </c>
      <c r="B6" t="s">
        <v>5</v>
      </c>
      <c r="C6" s="2">
        <v>8245.4599999999991</v>
      </c>
      <c r="D6" s="2">
        <v>9894.56</v>
      </c>
      <c r="E6" s="2">
        <v>9894.56</v>
      </c>
      <c r="F6" s="2">
        <v>9696.67</v>
      </c>
      <c r="G6" s="2">
        <v>9696.67</v>
      </c>
      <c r="H6" t="s">
        <v>1</v>
      </c>
    </row>
    <row r="7" spans="1:15" x14ac:dyDescent="0.25">
      <c r="B7" t="s">
        <v>6</v>
      </c>
      <c r="C7" s="2">
        <v>8245.4599999999991</v>
      </c>
      <c r="D7" s="2">
        <v>9894.56</v>
      </c>
      <c r="E7" s="2">
        <v>9894.56</v>
      </c>
      <c r="F7" s="2">
        <v>9696.67</v>
      </c>
      <c r="G7" s="2">
        <v>9696.67</v>
      </c>
      <c r="H7" t="s">
        <v>1</v>
      </c>
    </row>
    <row r="8" spans="1:15" x14ac:dyDescent="0.25">
      <c r="A8" t="s">
        <v>90</v>
      </c>
      <c r="B8" t="s">
        <v>7</v>
      </c>
      <c r="C8" s="2">
        <v>95318.01</v>
      </c>
      <c r="D8" s="2">
        <v>101461.65</v>
      </c>
      <c r="E8" s="2">
        <v>108944.6</v>
      </c>
      <c r="F8" s="2">
        <v>116041.8</v>
      </c>
      <c r="G8" s="2">
        <v>125677.07</v>
      </c>
      <c r="H8" t="s">
        <v>1</v>
      </c>
    </row>
    <row r="9" spans="1:15" x14ac:dyDescent="0.25">
      <c r="B9" t="s">
        <v>8</v>
      </c>
      <c r="C9" s="2">
        <v>95318.01</v>
      </c>
      <c r="D9" s="2">
        <v>101461.65</v>
      </c>
      <c r="E9" s="2">
        <v>108944.6</v>
      </c>
      <c r="F9" s="2">
        <v>116041.8</v>
      </c>
      <c r="G9" s="2">
        <v>125677.07</v>
      </c>
      <c r="H9" t="s">
        <v>1</v>
      </c>
    </row>
    <row r="10" spans="1:15" x14ac:dyDescent="0.25">
      <c r="B10" t="s">
        <v>9</v>
      </c>
      <c r="C10" s="2">
        <v>103563.47</v>
      </c>
      <c r="D10" s="2">
        <v>111356.21</v>
      </c>
      <c r="E10" s="2">
        <v>118839.16</v>
      </c>
      <c r="F10" s="2">
        <v>125738.47</v>
      </c>
      <c r="G10" s="2">
        <v>135373.74</v>
      </c>
      <c r="H10" t="s">
        <v>1</v>
      </c>
    </row>
    <row r="11" spans="1:15" x14ac:dyDescent="0.25">
      <c r="A11" t="s">
        <v>10</v>
      </c>
      <c r="B11" t="s">
        <v>10</v>
      </c>
      <c r="C11" s="2">
        <v>947.77</v>
      </c>
      <c r="D11" s="2">
        <v>2908.2</v>
      </c>
      <c r="E11" s="2">
        <v>3317.19</v>
      </c>
      <c r="F11" s="2">
        <v>3523.71</v>
      </c>
      <c r="G11">
        <v>3760.41</v>
      </c>
      <c r="H11" t="s">
        <v>1</v>
      </c>
    </row>
    <row r="12" spans="1:15" x14ac:dyDescent="0.25">
      <c r="B12" t="s">
        <v>11</v>
      </c>
      <c r="H12" t="s">
        <v>1</v>
      </c>
    </row>
    <row r="13" spans="1:15" x14ac:dyDescent="0.25">
      <c r="A13" t="s">
        <v>91</v>
      </c>
      <c r="B13" t="s">
        <v>12</v>
      </c>
      <c r="C13" s="2">
        <v>116775.81</v>
      </c>
      <c r="D13" s="2">
        <v>147063.71</v>
      </c>
      <c r="E13" s="2">
        <v>176020.02</v>
      </c>
      <c r="F13" s="2">
        <v>181271.91</v>
      </c>
      <c r="G13" s="2">
        <v>181871.19</v>
      </c>
      <c r="H13" t="s">
        <v>1</v>
      </c>
    </row>
    <row r="14" spans="1:15" x14ac:dyDescent="0.25">
      <c r="A14" t="s">
        <v>91</v>
      </c>
      <c r="B14" t="s">
        <v>13</v>
      </c>
      <c r="C14" s="2">
        <v>10401.629999999999</v>
      </c>
      <c r="D14" s="2">
        <v>3928.11</v>
      </c>
      <c r="E14" s="2">
        <v>8715.42</v>
      </c>
      <c r="F14" s="2">
        <v>9887.82</v>
      </c>
      <c r="G14" s="2">
        <v>10951.67</v>
      </c>
      <c r="H14" t="s">
        <v>1</v>
      </c>
    </row>
    <row r="15" spans="1:15" x14ac:dyDescent="0.25">
      <c r="A15" t="s">
        <v>92</v>
      </c>
      <c r="B15" t="s">
        <v>14</v>
      </c>
      <c r="C15" s="2">
        <v>2210.62</v>
      </c>
      <c r="D15" s="2">
        <v>2026.01</v>
      </c>
      <c r="E15" s="2">
        <v>3023.68</v>
      </c>
      <c r="F15" s="2">
        <v>4165.74</v>
      </c>
      <c r="G15" s="2">
        <v>4033.84</v>
      </c>
      <c r="H15" t="s">
        <v>1</v>
      </c>
    </row>
    <row r="16" spans="1:15" x14ac:dyDescent="0.25">
      <c r="A16" t="s">
        <v>93</v>
      </c>
      <c r="B16" t="s">
        <v>15</v>
      </c>
      <c r="C16" s="2">
        <v>480.9</v>
      </c>
      <c r="D16" s="2">
        <v>1141.73</v>
      </c>
      <c r="E16" s="2">
        <v>1085.02</v>
      </c>
      <c r="F16" s="2">
        <v>1042.3900000000001</v>
      </c>
      <c r="G16">
        <v>1655.19</v>
      </c>
      <c r="H16" t="s">
        <v>1</v>
      </c>
    </row>
    <row r="17" spans="1:8" x14ac:dyDescent="0.25">
      <c r="B17" t="s">
        <v>16</v>
      </c>
      <c r="C17" s="2">
        <v>129868.96</v>
      </c>
      <c r="D17" s="2">
        <v>154159.56</v>
      </c>
      <c r="E17" s="2">
        <v>188844.14</v>
      </c>
      <c r="F17" s="2">
        <v>196367.86</v>
      </c>
      <c r="G17" s="2">
        <v>198511.89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6680.38</v>
      </c>
      <c r="D19" s="2">
        <v>17368.849999999999</v>
      </c>
      <c r="E19" s="2">
        <v>16556.23</v>
      </c>
      <c r="F19" s="2">
        <v>15964.62</v>
      </c>
      <c r="G19" s="2">
        <v>27684.07</v>
      </c>
      <c r="H19" t="s">
        <v>1</v>
      </c>
    </row>
    <row r="20" spans="1:8" x14ac:dyDescent="0.25">
      <c r="A20" t="s">
        <v>92</v>
      </c>
      <c r="B20" t="s">
        <v>19</v>
      </c>
      <c r="C20" s="2">
        <v>6707.55</v>
      </c>
      <c r="D20" s="2">
        <v>8614.32</v>
      </c>
      <c r="E20" s="2">
        <v>10108.58</v>
      </c>
      <c r="F20" s="2">
        <v>8726.2800000000007</v>
      </c>
      <c r="G20" s="2">
        <v>11277.32</v>
      </c>
      <c r="H20" t="s">
        <v>1</v>
      </c>
    </row>
    <row r="21" spans="1:8" x14ac:dyDescent="0.25">
      <c r="A21" t="s">
        <v>92</v>
      </c>
      <c r="B21" t="s">
        <v>20</v>
      </c>
      <c r="C21" s="2">
        <v>26341.759999999998</v>
      </c>
      <c r="D21" s="2">
        <v>44945.61</v>
      </c>
      <c r="E21" s="2">
        <v>33448.080000000002</v>
      </c>
      <c r="F21" s="2">
        <v>40531.67</v>
      </c>
      <c r="G21" s="2">
        <v>32033.61</v>
      </c>
      <c r="H21" t="s">
        <v>1</v>
      </c>
    </row>
    <row r="22" spans="1:8" x14ac:dyDescent="0.25">
      <c r="A22" t="s">
        <v>93</v>
      </c>
      <c r="B22" t="s">
        <v>21</v>
      </c>
      <c r="C22" s="2">
        <v>8251.7800000000007</v>
      </c>
      <c r="D22" s="2">
        <v>7308.41</v>
      </c>
      <c r="E22" s="2">
        <v>7372.06</v>
      </c>
      <c r="F22" s="2">
        <v>8113.6</v>
      </c>
      <c r="G22" s="2">
        <v>7875.69</v>
      </c>
      <c r="H22" t="s">
        <v>1</v>
      </c>
    </row>
    <row r="23" spans="1:8" x14ac:dyDescent="0.25">
      <c r="B23" t="s">
        <v>22</v>
      </c>
      <c r="C23" s="2">
        <v>47981.47</v>
      </c>
      <c r="D23" s="2">
        <v>78237.19</v>
      </c>
      <c r="E23" s="2">
        <v>67484.95</v>
      </c>
      <c r="F23" s="2">
        <v>73336.17</v>
      </c>
      <c r="G23" s="2">
        <v>78870.69</v>
      </c>
      <c r="H23" t="s">
        <v>1</v>
      </c>
    </row>
    <row r="24" spans="1:8" x14ac:dyDescent="0.25">
      <c r="B24" t="s">
        <v>23</v>
      </c>
      <c r="C24" s="2">
        <v>282361.67</v>
      </c>
      <c r="D24" s="2">
        <v>346661.16</v>
      </c>
      <c r="E24" s="2">
        <v>378485.44</v>
      </c>
      <c r="F24" s="2">
        <v>398966.21</v>
      </c>
      <c r="G24" s="2">
        <v>416516.73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127913.66</v>
      </c>
      <c r="D27" s="2">
        <v>150555.42000000001</v>
      </c>
      <c r="E27" s="2">
        <v>187176.46</v>
      </c>
      <c r="F27" s="2">
        <v>202598.05</v>
      </c>
      <c r="G27" s="2">
        <v>316049.28000000003</v>
      </c>
      <c r="H27" t="s">
        <v>1</v>
      </c>
    </row>
    <row r="28" spans="1:8" x14ac:dyDescent="0.25">
      <c r="A28" t="s">
        <v>29</v>
      </c>
      <c r="B28" t="s">
        <v>27</v>
      </c>
      <c r="C28">
        <v>331.76</v>
      </c>
      <c r="D28">
        <v>429.11</v>
      </c>
      <c r="E28">
        <v>626.33000000000004</v>
      </c>
      <c r="F28">
        <v>647.13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82916.740000000005</v>
      </c>
      <c r="D29" s="2">
        <v>117998.23</v>
      </c>
      <c r="E29" s="2">
        <v>98210.94</v>
      </c>
      <c r="F29" s="2">
        <v>97404.160000000003</v>
      </c>
      <c r="G29" s="2">
        <v>0</v>
      </c>
      <c r="H29" t="s">
        <v>1</v>
      </c>
    </row>
    <row r="30" spans="1:8" x14ac:dyDescent="0.25">
      <c r="B30" t="s">
        <v>29</v>
      </c>
      <c r="C30" s="2">
        <v>211631.52</v>
      </c>
      <c r="D30" s="2">
        <v>269381.39</v>
      </c>
      <c r="E30" s="2">
        <v>286311.26</v>
      </c>
      <c r="F30" s="2">
        <v>300751.21000000002</v>
      </c>
      <c r="G30" s="2">
        <v>316049.28000000003</v>
      </c>
      <c r="H30" t="s">
        <v>1</v>
      </c>
    </row>
    <row r="31" spans="1:8" x14ac:dyDescent="0.25">
      <c r="A31" t="s">
        <v>94</v>
      </c>
      <c r="B31" t="s">
        <v>30</v>
      </c>
      <c r="C31" s="2">
        <v>8875.61</v>
      </c>
      <c r="D31" s="2">
        <v>8132.31</v>
      </c>
      <c r="E31" s="2">
        <v>9306.59</v>
      </c>
      <c r="F31" s="2">
        <v>10089.26</v>
      </c>
      <c r="G31" s="2">
        <v>10626.24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 s="2">
        <v>0</v>
      </c>
      <c r="E32" s="2">
        <v>1096.5999999999999</v>
      </c>
      <c r="F32">
        <v>1075.8900000000001</v>
      </c>
      <c r="G32">
        <v>995.7</v>
      </c>
      <c r="H32" t="s">
        <v>1</v>
      </c>
    </row>
    <row r="33" spans="1:8" x14ac:dyDescent="0.25">
      <c r="A33" t="s">
        <v>95</v>
      </c>
      <c r="B33" t="s">
        <v>32</v>
      </c>
      <c r="C33">
        <v>454.67</v>
      </c>
      <c r="D33">
        <v>476.13</v>
      </c>
      <c r="E33">
        <v>511.08</v>
      </c>
      <c r="F33">
        <v>554.97</v>
      </c>
      <c r="G33">
        <v>559.80999999999995</v>
      </c>
      <c r="H33" t="s">
        <v>1</v>
      </c>
    </row>
    <row r="34" spans="1:8" x14ac:dyDescent="0.25">
      <c r="A34" t="s">
        <v>95</v>
      </c>
      <c r="B34" t="s">
        <v>33</v>
      </c>
      <c r="C34" s="2">
        <v>13390.8</v>
      </c>
      <c r="D34" s="2">
        <v>16796.919999999998</v>
      </c>
      <c r="E34" s="2">
        <v>15298.93</v>
      </c>
      <c r="F34" s="2">
        <v>18124.349999999999</v>
      </c>
      <c r="G34" s="2">
        <v>16891.84</v>
      </c>
      <c r="H34" t="s">
        <v>1</v>
      </c>
    </row>
    <row r="35" spans="1:8" x14ac:dyDescent="0.25">
      <c r="B35" t="s">
        <v>34</v>
      </c>
      <c r="C35" s="2">
        <v>234352.6</v>
      </c>
      <c r="D35" s="2">
        <v>294786.75</v>
      </c>
      <c r="E35" s="2">
        <v>312524.46000000002</v>
      </c>
      <c r="F35" s="2">
        <v>330595.68</v>
      </c>
      <c r="G35" s="2">
        <v>345122.87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0</v>
      </c>
      <c r="D37">
        <v>0</v>
      </c>
      <c r="E37">
        <v>0</v>
      </c>
      <c r="F37">
        <v>499.99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 s="2">
        <v>6140.29</v>
      </c>
      <c r="D38" s="2">
        <v>8251.6200000000008</v>
      </c>
      <c r="E38" s="2">
        <v>11138.54</v>
      </c>
      <c r="F38" s="2">
        <v>9809.6</v>
      </c>
      <c r="G38" s="2">
        <v>10139.290000000001</v>
      </c>
      <c r="H38" t="s">
        <v>1</v>
      </c>
    </row>
    <row r="39" spans="1:8" x14ac:dyDescent="0.25">
      <c r="A39" t="s">
        <v>96</v>
      </c>
      <c r="B39" t="s">
        <v>38</v>
      </c>
      <c r="C39" s="2">
        <v>8812.19</v>
      </c>
      <c r="D39" s="2">
        <v>12363.52</v>
      </c>
      <c r="E39" s="2">
        <v>20314.59</v>
      </c>
      <c r="F39" s="2">
        <v>17718.07</v>
      </c>
      <c r="G39" s="2">
        <v>27342.080000000002</v>
      </c>
      <c r="H39" t="s">
        <v>1</v>
      </c>
    </row>
    <row r="40" spans="1:8" x14ac:dyDescent="0.25">
      <c r="A40" t="s">
        <v>96</v>
      </c>
      <c r="B40" t="s">
        <v>39</v>
      </c>
      <c r="C40" s="2">
        <v>4387.6000000000004</v>
      </c>
      <c r="D40" s="2">
        <v>2933.43</v>
      </c>
      <c r="E40" s="2">
        <v>3214.29</v>
      </c>
      <c r="F40" s="2">
        <v>4387.8</v>
      </c>
      <c r="G40" s="2">
        <v>4458.08</v>
      </c>
      <c r="H40" t="s">
        <v>1</v>
      </c>
    </row>
    <row r="41" spans="1:8" x14ac:dyDescent="0.25">
      <c r="A41" t="s">
        <v>95</v>
      </c>
      <c r="B41" t="s">
        <v>40</v>
      </c>
      <c r="C41">
        <v>238.43</v>
      </c>
      <c r="D41">
        <v>248.16</v>
      </c>
      <c r="E41">
        <v>252.67</v>
      </c>
      <c r="F41">
        <v>259.13</v>
      </c>
      <c r="G41">
        <v>270.37</v>
      </c>
      <c r="H41" t="s">
        <v>1</v>
      </c>
    </row>
    <row r="42" spans="1:8" x14ac:dyDescent="0.25">
      <c r="A42" t="s">
        <v>95</v>
      </c>
      <c r="B42" t="s">
        <v>41</v>
      </c>
      <c r="C42" s="2">
        <v>28430.560000000001</v>
      </c>
      <c r="D42" s="2">
        <v>28077.68</v>
      </c>
      <c r="E42" s="2">
        <v>31040.89</v>
      </c>
      <c r="F42" s="2">
        <v>35695.94</v>
      </c>
      <c r="G42" s="2">
        <v>29184.04</v>
      </c>
      <c r="H42" t="s">
        <v>1</v>
      </c>
    </row>
    <row r="43" spans="1:8" x14ac:dyDescent="0.25">
      <c r="B43" t="s">
        <v>42</v>
      </c>
      <c r="C43" s="2">
        <v>48009.07</v>
      </c>
      <c r="D43" s="2">
        <v>51874.41</v>
      </c>
      <c r="E43" s="2">
        <v>65960.98</v>
      </c>
      <c r="F43" s="2">
        <v>68370.53</v>
      </c>
      <c r="G43" s="2">
        <v>71393.86</v>
      </c>
      <c r="H43" t="s">
        <v>1</v>
      </c>
    </row>
    <row r="44" spans="1:8" x14ac:dyDescent="0.25">
      <c r="B44" t="s">
        <v>43</v>
      </c>
      <c r="C44" s="2">
        <v>282361.67</v>
      </c>
      <c r="D44" s="2">
        <v>346661.16</v>
      </c>
      <c r="E44" s="2">
        <v>378485.44</v>
      </c>
      <c r="F44" s="2">
        <v>398966.21</v>
      </c>
      <c r="G44" s="2">
        <v>416516.73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87949.67</v>
      </c>
      <c r="D47" s="2">
        <v>110196.01</v>
      </c>
      <c r="E47" s="2">
        <v>114256.83</v>
      </c>
      <c r="F47" s="2">
        <v>126940.73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0</v>
      </c>
      <c r="D49" s="2">
        <v>1649.09</v>
      </c>
      <c r="E49" s="2">
        <v>1649.09</v>
      </c>
      <c r="F49" s="2">
        <v>1616.11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104.88</v>
      </c>
      <c r="D51">
        <v>88.14</v>
      </c>
      <c r="E51">
        <v>46.5</v>
      </c>
      <c r="F51">
        <v>93.3</v>
      </c>
      <c r="G51">
        <v>0</v>
      </c>
      <c r="H51" t="s">
        <v>1</v>
      </c>
    </row>
    <row r="52" spans="2:8" x14ac:dyDescent="0.25">
      <c r="B52" t="s">
        <v>51</v>
      </c>
      <c r="C52">
        <v>1.4</v>
      </c>
      <c r="D52">
        <v>3.78</v>
      </c>
      <c r="E52">
        <v>3.78</v>
      </c>
      <c r="F52">
        <v>3.78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>
        <v>0</v>
      </c>
      <c r="E55">
        <v>0</v>
      </c>
      <c r="F55">
        <v>499.99</v>
      </c>
      <c r="G55">
        <v>0</v>
      </c>
      <c r="H55" t="s">
        <v>1</v>
      </c>
    </row>
  </sheetData>
  <hyperlinks>
    <hyperlink ref="F1" location="Index_Data!A1" tooltip="Hi click here To return Index page" display="Index_Data!A1" xr:uid="{B036520B-B2B0-41AD-8E2C-F2E1CF47B36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7BCBE-845C-425D-8701-DC4E0EC19DB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149</v>
      </c>
      <c r="C5" s="43"/>
      <c r="D5" s="43"/>
      <c r="E5" s="43"/>
      <c r="F5" s="43"/>
      <c r="G5" s="43"/>
    </row>
    <row r="6" spans="2:15" ht="18.75" x14ac:dyDescent="0.25">
      <c r="B6" s="12" t="str">
        <f>Balance_Sheet!B13</f>
        <v>Net Worth</v>
      </c>
      <c r="C6" s="13">
        <f>Balance_Sheet!C13</f>
        <v>103563.47</v>
      </c>
      <c r="D6" s="13">
        <f>Balance_Sheet!D13</f>
        <v>178022.0925519249</v>
      </c>
      <c r="E6" s="13">
        <f>Balance_Sheet!E13</f>
        <v>246037.93921654287</v>
      </c>
      <c r="F6" s="13">
        <f>Balance_Sheet!F13</f>
        <v>313577.77530674246</v>
      </c>
      <c r="G6" s="13">
        <f>Balance_Sheet!G13</f>
        <v>329518.95283174899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5253.0480086049756</v>
      </c>
      <c r="D7" s="13">
        <f>Income_Statement!D61</f>
        <v>5460.5016108517793</v>
      </c>
      <c r="E7" s="13">
        <f>Income_Statement!E61</f>
        <v>5717.6463887181644</v>
      </c>
      <c r="F7" s="13">
        <f>Income_Statement!F61</f>
        <v>4884.5857393466413</v>
      </c>
      <c r="G7" s="13">
        <f>Income_Statement!G61</f>
        <v>937.71632500038504</v>
      </c>
    </row>
    <row r="8" spans="2:15" ht="18.75" x14ac:dyDescent="0.25">
      <c r="B8" s="14" t="s">
        <v>150</v>
      </c>
      <c r="C8" s="14">
        <f>ROUND(C6/C7, 2)</f>
        <v>19.71</v>
      </c>
      <c r="D8" s="14">
        <f t="shared" ref="D8:G8" si="0">ROUND(D6/D7, 2)</f>
        <v>32.6</v>
      </c>
      <c r="E8" s="14">
        <f t="shared" si="0"/>
        <v>43.03</v>
      </c>
      <c r="F8" s="14">
        <f t="shared" si="0"/>
        <v>64.2</v>
      </c>
      <c r="G8" s="14">
        <f t="shared" si="0"/>
        <v>351.41</v>
      </c>
    </row>
  </sheetData>
  <mergeCells count="1">
    <mergeCell ref="B5:G5"/>
  </mergeCells>
  <hyperlinks>
    <hyperlink ref="F1" location="Index_Data!A1" tooltip="Hi click here To return Index page" display="Index_Data!A1" xr:uid="{4946D193-1A7C-4ADE-8CB1-05B1E1A0A4B0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69AAD-CE2B-4EBC-A199-2F702599949D}"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151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4040.28</v>
      </c>
      <c r="D6" s="13">
        <f>Income_Statement!D51</f>
        <v>3019.88</v>
      </c>
      <c r="E6" s="13">
        <f>Income_Statement!E51</f>
        <v>494.73</v>
      </c>
      <c r="F6" s="13">
        <f>Income_Statement!F51</f>
        <v>5531.06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5253.0480086049756</v>
      </c>
      <c r="D7" s="13">
        <f>Income_Statement!D61</f>
        <v>5460.5016108517793</v>
      </c>
      <c r="E7" s="13">
        <f>Income_Statement!E61</f>
        <v>5717.6463887181644</v>
      </c>
      <c r="F7" s="13">
        <f>Income_Statement!F61</f>
        <v>4884.5857393466413</v>
      </c>
      <c r="G7" s="13">
        <f>Income_Statement!G61</f>
        <v>937.71632500038504</v>
      </c>
    </row>
    <row r="8" spans="2:15" ht="18.75" x14ac:dyDescent="0.25">
      <c r="B8" s="12" t="s">
        <v>148</v>
      </c>
      <c r="C8" s="13">
        <f>ROUND(C6/C7, 2)</f>
        <v>0.77</v>
      </c>
      <c r="D8" s="13">
        <f t="shared" ref="D8:G8" si="0">ROUND(D6/D7, 2)</f>
        <v>0.55000000000000004</v>
      </c>
      <c r="E8" s="13">
        <f t="shared" si="0"/>
        <v>0.09</v>
      </c>
      <c r="F8" s="13">
        <f t="shared" si="0"/>
        <v>1.1299999999999999</v>
      </c>
      <c r="G8" s="13">
        <f t="shared" si="0"/>
        <v>0</v>
      </c>
    </row>
    <row r="9" spans="2:15" ht="18.75" x14ac:dyDescent="0.25">
      <c r="B9" s="12" t="str">
        <f>Income_Statement!B49</f>
        <v>Reported Net Profit(PAT)</v>
      </c>
      <c r="C9" s="13">
        <f>Income_Statement!C49</f>
        <v>57783.528094654728</v>
      </c>
      <c r="D9" s="13">
        <f>Income_Statement!D49</f>
        <v>76447.022551924907</v>
      </c>
      <c r="E9" s="13">
        <f>Income_Statement!E49</f>
        <v>68611.756664617977</v>
      </c>
      <c r="F9" s="13">
        <f>Income_Statement!F49</f>
        <v>73268.786090199617</v>
      </c>
      <c r="G9" s="13">
        <f>Income_Statement!G49</f>
        <v>15941.177525006546</v>
      </c>
    </row>
    <row r="10" spans="2:15" ht="18.75" x14ac:dyDescent="0.25">
      <c r="B10" s="12" t="str">
        <f>Income_Statement!B61</f>
        <v>Total Shares Outstanding(cr)</v>
      </c>
      <c r="C10" s="13">
        <f>Income_Statement!C61</f>
        <v>5253.0480086049756</v>
      </c>
      <c r="D10" s="13">
        <f>Income_Statement!D61</f>
        <v>5460.5016108517793</v>
      </c>
      <c r="E10" s="13">
        <f>Income_Statement!E61</f>
        <v>5717.6463887181644</v>
      </c>
      <c r="F10" s="13">
        <f>Income_Statement!F61</f>
        <v>4884.5857393466413</v>
      </c>
      <c r="G10" s="13">
        <f>Income_Statement!G61</f>
        <v>937.71632500038504</v>
      </c>
    </row>
    <row r="11" spans="2:15" ht="18.75" x14ac:dyDescent="0.25">
      <c r="B11" s="12" t="s">
        <v>146</v>
      </c>
      <c r="C11" s="13">
        <f>C9/C10</f>
        <v>11</v>
      </c>
      <c r="D11" s="13">
        <f t="shared" ref="D11:G11" si="1">D9/D10</f>
        <v>14</v>
      </c>
      <c r="E11" s="13">
        <f t="shared" si="1"/>
        <v>12</v>
      </c>
      <c r="F11" s="13">
        <f t="shared" si="1"/>
        <v>15</v>
      </c>
      <c r="G11" s="13">
        <f t="shared" si="1"/>
        <v>17</v>
      </c>
    </row>
    <row r="12" spans="2:15" ht="18.75" x14ac:dyDescent="0.25">
      <c r="B12" s="14" t="s">
        <v>152</v>
      </c>
      <c r="C12" s="14">
        <f>ROUND(C8/C11, 2)</f>
        <v>7.0000000000000007E-2</v>
      </c>
      <c r="D12" s="14">
        <f t="shared" ref="D12:G12" si="2">ROUND(D8/D11, 2)</f>
        <v>0.04</v>
      </c>
      <c r="E12" s="14">
        <f t="shared" si="2"/>
        <v>0.01</v>
      </c>
      <c r="F12" s="14">
        <f t="shared" si="2"/>
        <v>0.08</v>
      </c>
      <c r="G12" s="14">
        <f t="shared" si="2"/>
        <v>0</v>
      </c>
    </row>
  </sheetData>
  <mergeCells count="1">
    <mergeCell ref="B5:G5"/>
  </mergeCells>
  <hyperlinks>
    <hyperlink ref="F1" location="Index_Data!A1" tooltip="Hi click here To return Index page" display="Index_Data!A1" xr:uid="{C15828F4-F05A-4BA7-A247-FB9B709F816A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81854-8501-4170-8BBD-42D10F635E37}"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5" width="11.5703125" bestFit="1" customWidth="1"/>
    <col min="6" max="6" width="11.85546875" bestFit="1" customWidth="1"/>
    <col min="7" max="7" width="12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153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4040.28</v>
      </c>
      <c r="D6" s="13">
        <f>Income_Statement!D51</f>
        <v>3019.88</v>
      </c>
      <c r="E6" s="13">
        <f>Income_Statement!E51</f>
        <v>494.73</v>
      </c>
      <c r="F6" s="13">
        <f>Income_Statement!F51</f>
        <v>5531.06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5253.0480086049756</v>
      </c>
      <c r="D7" s="13">
        <f>Income_Statement!D61</f>
        <v>5460.5016108517793</v>
      </c>
      <c r="E7" s="13">
        <f>Income_Statement!E61</f>
        <v>5717.6463887181644</v>
      </c>
      <c r="F7" s="13">
        <f>Income_Statement!F61</f>
        <v>4884.5857393466413</v>
      </c>
      <c r="G7" s="13">
        <f>Income_Statement!G61</f>
        <v>937.71632500038504</v>
      </c>
    </row>
    <row r="8" spans="2:15" ht="18.75" x14ac:dyDescent="0.25">
      <c r="B8" s="12" t="s">
        <v>154</v>
      </c>
      <c r="C8" s="13">
        <f>ROUND(C6/C7, 2)</f>
        <v>0.77</v>
      </c>
      <c r="D8" s="13">
        <f t="shared" ref="D8:G8" si="0">ROUND(D6/D7, 2)</f>
        <v>0.55000000000000004</v>
      </c>
      <c r="E8" s="13">
        <f t="shared" si="0"/>
        <v>0.09</v>
      </c>
      <c r="F8" s="13">
        <f t="shared" si="0"/>
        <v>1.1299999999999999</v>
      </c>
      <c r="G8" s="13">
        <f t="shared" si="0"/>
        <v>0</v>
      </c>
    </row>
    <row r="9" spans="2:15" ht="18.75" x14ac:dyDescent="0.25">
      <c r="B9" s="14" t="s">
        <v>155</v>
      </c>
      <c r="C9" s="15">
        <f>1-C8</f>
        <v>0.22999999999999998</v>
      </c>
      <c r="D9" s="15">
        <f t="shared" ref="D9:G9" si="1">1-D8</f>
        <v>0.44999999999999996</v>
      </c>
      <c r="E9" s="15">
        <f t="shared" si="1"/>
        <v>0.91</v>
      </c>
      <c r="F9" s="15">
        <f t="shared" si="1"/>
        <v>-0.12999999999999989</v>
      </c>
      <c r="G9" s="15">
        <f t="shared" si="1"/>
        <v>1</v>
      </c>
    </row>
  </sheetData>
  <mergeCells count="1">
    <mergeCell ref="B5:G5"/>
  </mergeCells>
  <hyperlinks>
    <hyperlink ref="F1" location="Index_Data!A1" tooltip="Hi click here To return Index page" display="Index_Data!A1" xr:uid="{1FFA721F-7E02-403E-874E-36C045FBAA6B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48C63-17B0-45C4-8D69-5C0361320802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156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0</v>
      </c>
      <c r="D7" s="13">
        <f>Income_Statement!D17</f>
        <v>0</v>
      </c>
      <c r="E7" s="13">
        <f>Income_Statement!E17</f>
        <v>0</v>
      </c>
      <c r="F7" s="13">
        <f>Income_Statement!F17</f>
        <v>0</v>
      </c>
      <c r="G7" s="13">
        <f>Income_Statement!G17</f>
        <v>0</v>
      </c>
    </row>
    <row r="8" spans="2:15" ht="18.75" x14ac:dyDescent="0.25">
      <c r="B8" s="14" t="s">
        <v>157</v>
      </c>
      <c r="C8" s="16">
        <f>ROUND(C6- C7, 2)</f>
        <v>86118.25</v>
      </c>
      <c r="D8" s="16">
        <f t="shared" ref="D8:G8" si="0">ROUND(D6- D7, 2)</f>
        <v>99615</v>
      </c>
      <c r="E8" s="16">
        <f t="shared" si="0"/>
        <v>109078.63</v>
      </c>
      <c r="F8" s="16">
        <f t="shared" si="0"/>
        <v>111267.88</v>
      </c>
      <c r="G8" s="16">
        <f t="shared" si="0"/>
        <v>132669.28</v>
      </c>
    </row>
  </sheetData>
  <mergeCells count="1">
    <mergeCell ref="B5:G5"/>
  </mergeCells>
  <hyperlinks>
    <hyperlink ref="F1" location="Index_Data!A1" tooltip="Hi click here To return Index page" display="Index_Data!A1" xr:uid="{E656C2FA-48E1-4FC5-A88F-08298E2C32A9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C065C-F341-4F1D-867A-77523E0A69D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158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Income_Statement!B25</f>
        <v>Total Expenditure</v>
      </c>
      <c r="C7" s="13">
        <f>Income_Statement!C25</f>
        <v>12346.560000000001</v>
      </c>
      <c r="D7" s="13">
        <f>Income_Statement!D25</f>
        <v>13921.77</v>
      </c>
      <c r="E7" s="13">
        <f>Income_Statement!E25</f>
        <v>15555.89</v>
      </c>
      <c r="F7" s="13">
        <f>Income_Statement!F25</f>
        <v>16408.64</v>
      </c>
      <c r="G7" s="13">
        <f>Income_Statement!G25</f>
        <v>92389.72</v>
      </c>
    </row>
    <row r="8" spans="2:15" ht="18.75" x14ac:dyDescent="0.25">
      <c r="B8" s="14" t="s">
        <v>159</v>
      </c>
      <c r="C8" s="16">
        <f>ROUND(C6- C7, 2)</f>
        <v>73771.69</v>
      </c>
      <c r="D8" s="16">
        <f t="shared" ref="D8:G8" si="0">ROUND(D6- D7, 2)</f>
        <v>85693.23</v>
      </c>
      <c r="E8" s="16">
        <f t="shared" si="0"/>
        <v>93522.74</v>
      </c>
      <c r="F8" s="16">
        <f t="shared" si="0"/>
        <v>94859.24</v>
      </c>
      <c r="G8" s="16">
        <f t="shared" si="0"/>
        <v>40279.56</v>
      </c>
    </row>
  </sheetData>
  <mergeCells count="1">
    <mergeCell ref="B5:G5"/>
  </mergeCells>
  <hyperlinks>
    <hyperlink ref="F1" location="Index_Data!A1" tooltip="Hi click here To return Index page" display="Index_Data!A1" xr:uid="{4DBC5233-E23B-460E-8E4F-55F436781EBE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EE08B-068E-441F-AC19-C9BE30915E7E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160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57783.528094654728</v>
      </c>
      <c r="D6" s="13">
        <f>Income_Statement!D49</f>
        <v>76447.022551924907</v>
      </c>
      <c r="E6" s="13">
        <f>Income_Statement!E49</f>
        <v>68611.756664617977</v>
      </c>
      <c r="F6" s="13">
        <f>Income_Statement!F49</f>
        <v>73268.786090199617</v>
      </c>
      <c r="G6" s="13">
        <f>Income_Statement!G49</f>
        <v>15941.177525006546</v>
      </c>
    </row>
    <row r="7" spans="2:15" ht="18.75" x14ac:dyDescent="0.25">
      <c r="B7" s="12" t="str">
        <f>Balance_Sheet!B74</f>
        <v>Total Assets</v>
      </c>
      <c r="C7" s="13">
        <f>Balance_Sheet!C74</f>
        <v>282361.67</v>
      </c>
      <c r="D7" s="13">
        <f>Balance_Sheet!D74</f>
        <v>413327.04255192488</v>
      </c>
      <c r="E7" s="13">
        <f>Balance_Sheet!E74</f>
        <v>505684.2192165429</v>
      </c>
      <c r="F7" s="13">
        <f>Balance_Sheet!F74</f>
        <v>586805.51530674251</v>
      </c>
      <c r="G7" s="13">
        <f>Balance_Sheet!G74</f>
        <v>610661.9428317491</v>
      </c>
    </row>
    <row r="8" spans="2:15" ht="18.75" x14ac:dyDescent="0.25">
      <c r="B8" s="14" t="s">
        <v>161</v>
      </c>
      <c r="C8" s="15">
        <f>ROUND(C6/ C7, 2)</f>
        <v>0.2</v>
      </c>
      <c r="D8" s="15">
        <f t="shared" ref="D8:G8" si="0">ROUND(D6/ D7, 2)</f>
        <v>0.18</v>
      </c>
      <c r="E8" s="15">
        <f t="shared" si="0"/>
        <v>0.14000000000000001</v>
      </c>
      <c r="F8" s="15">
        <f t="shared" si="0"/>
        <v>0.12</v>
      </c>
      <c r="G8" s="15">
        <f t="shared" si="0"/>
        <v>0.03</v>
      </c>
    </row>
  </sheetData>
  <mergeCells count="1">
    <mergeCell ref="B5:G5"/>
  </mergeCells>
  <hyperlinks>
    <hyperlink ref="F1" location="Index_Data!A1" tooltip="Hi click here To return Index page" display="Index_Data!A1" xr:uid="{6E1DD3ED-FF5A-46FE-984D-822BB78ED80F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EC26B-2EB5-4E97-99DE-B3E6853235C3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67871.058094654727</v>
      </c>
      <c r="D6" s="13">
        <f>Income_Statement!D33</f>
        <v>79271.732551924899</v>
      </c>
      <c r="E6" s="13">
        <f>Income_Statement!E33</f>
        <v>86076.146664617991</v>
      </c>
      <c r="F6" s="13">
        <f>Income_Statement!F33</f>
        <v>86425.646090199618</v>
      </c>
      <c r="G6" s="13">
        <f>Income_Statement!G33</f>
        <v>28817.777525006546</v>
      </c>
    </row>
    <row r="7" spans="2:15" ht="18.75" x14ac:dyDescent="0.25">
      <c r="B7" s="12" t="str">
        <f>Balance_Sheet!B21</f>
        <v>Total Debt</v>
      </c>
      <c r="C7" s="13">
        <f>Balance_Sheet!C21</f>
        <v>133857.82</v>
      </c>
      <c r="D7" s="13">
        <f>Balance_Sheet!D21</f>
        <v>168360.66999999998</v>
      </c>
      <c r="E7" s="13">
        <f>Balance_Sheet!E21</f>
        <v>201291.67</v>
      </c>
      <c r="F7" s="13">
        <f>Balance_Sheet!F21</f>
        <v>207124.35</v>
      </c>
      <c r="G7" s="13">
        <f>Balance_Sheet!G21</f>
        <v>220506.93000000002</v>
      </c>
    </row>
    <row r="8" spans="2:15" ht="18.75" x14ac:dyDescent="0.25">
      <c r="B8" s="12" t="str">
        <f>Balance_Sheet!B13</f>
        <v>Net Worth</v>
      </c>
      <c r="C8" s="13">
        <f>Balance_Sheet!C13</f>
        <v>103563.47</v>
      </c>
      <c r="D8" s="13">
        <f>Balance_Sheet!D13</f>
        <v>178022.0925519249</v>
      </c>
      <c r="E8" s="13">
        <f>Balance_Sheet!E13</f>
        <v>246037.93921654287</v>
      </c>
      <c r="F8" s="13">
        <f>Balance_Sheet!F13</f>
        <v>313577.77530674246</v>
      </c>
      <c r="G8" s="13">
        <f>Balance_Sheet!G13</f>
        <v>329518.95283174899</v>
      </c>
    </row>
    <row r="9" spans="2:15" ht="18.75" x14ac:dyDescent="0.25">
      <c r="B9" s="14" t="s">
        <v>163</v>
      </c>
      <c r="C9" s="15">
        <f>ROUND(C6/ (C7+ C7), 2)</f>
        <v>0.25</v>
      </c>
      <c r="D9" s="15">
        <f t="shared" ref="D9:G9" si="0">ROUND(D6/ (D7+ D7), 2)</f>
        <v>0.24</v>
      </c>
      <c r="E9" s="15">
        <f t="shared" si="0"/>
        <v>0.21</v>
      </c>
      <c r="F9" s="15">
        <f t="shared" si="0"/>
        <v>0.21</v>
      </c>
      <c r="G9" s="15">
        <f t="shared" si="0"/>
        <v>7.0000000000000007E-2</v>
      </c>
    </row>
  </sheetData>
  <mergeCells count="1">
    <mergeCell ref="B5:G5"/>
  </mergeCells>
  <hyperlinks>
    <hyperlink ref="F1" location="Index_Data!A1" tooltip="Hi click here To return Index page" display="Index_Data!A1" xr:uid="{8E4A13EF-3BC4-463D-9332-0BA1FC723CB5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FF587-6E87-4FE5-8C0E-59293E7CAD6D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164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57783.528094654728</v>
      </c>
      <c r="D6" s="13">
        <f>Income_Statement!D49</f>
        <v>76447.022551924907</v>
      </c>
      <c r="E6" s="13">
        <f>Income_Statement!E49</f>
        <v>68611.756664617977</v>
      </c>
      <c r="F6" s="13">
        <f>Income_Statement!F49</f>
        <v>73268.786090199617</v>
      </c>
      <c r="G6" s="13">
        <f>Income_Statement!G49</f>
        <v>15941.177525006546</v>
      </c>
    </row>
    <row r="7" spans="2:15" ht="18.75" x14ac:dyDescent="0.25">
      <c r="B7" s="12" t="str">
        <f>Balance_Sheet!B13</f>
        <v>Net Worth</v>
      </c>
      <c r="C7" s="13">
        <f>Balance_Sheet!C13</f>
        <v>103563.47</v>
      </c>
      <c r="D7" s="13">
        <f>Balance_Sheet!D13</f>
        <v>178022.0925519249</v>
      </c>
      <c r="E7" s="13">
        <f>Balance_Sheet!E13</f>
        <v>246037.93921654287</v>
      </c>
      <c r="F7" s="13">
        <f>Balance_Sheet!F13</f>
        <v>313577.77530674246</v>
      </c>
      <c r="G7" s="13">
        <f>Balance_Sheet!G13</f>
        <v>329518.95283174899</v>
      </c>
    </row>
    <row r="8" spans="2:15" ht="18.75" x14ac:dyDescent="0.25">
      <c r="B8" s="14" t="s">
        <v>165</v>
      </c>
      <c r="C8" s="15">
        <f>ROUND(C6/ (C7+ C7), 2)</f>
        <v>0.28000000000000003</v>
      </c>
      <c r="D8" s="15">
        <f t="shared" ref="D8:G8" si="0">ROUND(D6/ (D7+ D7), 2)</f>
        <v>0.21</v>
      </c>
      <c r="E8" s="15">
        <f t="shared" si="0"/>
        <v>0.14000000000000001</v>
      </c>
      <c r="F8" s="15">
        <f t="shared" si="0"/>
        <v>0.12</v>
      </c>
      <c r="G8" s="15">
        <f t="shared" si="0"/>
        <v>0.02</v>
      </c>
    </row>
  </sheetData>
  <mergeCells count="1">
    <mergeCell ref="B5:G5"/>
  </mergeCells>
  <hyperlinks>
    <hyperlink ref="F1" location="Index_Data!A1" tooltip="Hi click here To return Index page" display="Index_Data!A1" xr:uid="{CE5900BD-8550-4474-85EC-A8894DE5A4CF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349AA-C747-4BAC-9365-DCD3C4C19176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166</v>
      </c>
      <c r="C5" s="43"/>
      <c r="D5" s="43"/>
      <c r="E5" s="43"/>
      <c r="F5" s="43"/>
      <c r="G5" s="43"/>
    </row>
    <row r="6" spans="2:15" ht="18.75" x14ac:dyDescent="0.25">
      <c r="B6" s="12" t="str">
        <f>Balance_Sheet!B21</f>
        <v>Total Debt</v>
      </c>
      <c r="C6" s="13">
        <f>Balance_Sheet!C21</f>
        <v>133857.82</v>
      </c>
      <c r="D6" s="13">
        <f>Balance_Sheet!D21</f>
        <v>168360.66999999998</v>
      </c>
      <c r="E6" s="13">
        <f>Balance_Sheet!E21</f>
        <v>201291.67</v>
      </c>
      <c r="F6" s="13">
        <f>Balance_Sheet!F21</f>
        <v>207124.35</v>
      </c>
      <c r="G6" s="13">
        <f>Balance_Sheet!G21</f>
        <v>220506.93000000002</v>
      </c>
    </row>
    <row r="7" spans="2:15" ht="18.75" x14ac:dyDescent="0.25">
      <c r="B7" s="12" t="str">
        <f>Balance_Sheet!B13</f>
        <v>Net Worth</v>
      </c>
      <c r="C7" s="13">
        <f>Balance_Sheet!C13</f>
        <v>103563.47</v>
      </c>
      <c r="D7" s="13">
        <f>Balance_Sheet!D13</f>
        <v>178022.0925519249</v>
      </c>
      <c r="E7" s="13">
        <f>Balance_Sheet!E13</f>
        <v>246037.93921654287</v>
      </c>
      <c r="F7" s="13">
        <f>Balance_Sheet!F13</f>
        <v>313577.77530674246</v>
      </c>
      <c r="G7" s="13">
        <f>Balance_Sheet!G13</f>
        <v>329518.95283174899</v>
      </c>
    </row>
    <row r="8" spans="2:15" ht="18.75" x14ac:dyDescent="0.25">
      <c r="B8" s="14" t="s">
        <v>167</v>
      </c>
      <c r="C8" s="14">
        <f>ROUND(C6/ C7, 2)</f>
        <v>1.29</v>
      </c>
      <c r="D8" s="14">
        <f t="shared" ref="D8:G8" si="0">ROUND(D6/ D7, 2)</f>
        <v>0.95</v>
      </c>
      <c r="E8" s="14">
        <f t="shared" si="0"/>
        <v>0.82</v>
      </c>
      <c r="F8" s="14">
        <f t="shared" si="0"/>
        <v>0.66</v>
      </c>
      <c r="G8" s="14">
        <f t="shared" si="0"/>
        <v>0.67</v>
      </c>
    </row>
  </sheetData>
  <mergeCells count="1">
    <mergeCell ref="B5:G5"/>
  </mergeCells>
  <hyperlinks>
    <hyperlink ref="F1" location="Index_Data!A1" tooltip="Hi click here To return Index page" display="Index_Data!A1" xr:uid="{3F15B948-D238-48D3-A7D7-C44BB7FAE1DE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15078-0286-4659-A342-3C1C8FD91DA8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168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61854.54</v>
      </c>
      <c r="D6" s="13">
        <f>Balance_Sheet!D72</f>
        <v>144881.0025519249</v>
      </c>
      <c r="E6" s="13">
        <f>Balance_Sheet!E72</f>
        <v>229389.0892165429</v>
      </c>
      <c r="F6" s="13">
        <f>Balance_Sheet!F72</f>
        <v>307042.42530674255</v>
      </c>
      <c r="G6" s="13">
        <f>Balance_Sheet!G72</f>
        <v>329249.75283174904</v>
      </c>
    </row>
    <row r="7" spans="2:15" ht="18.75" x14ac:dyDescent="0.25">
      <c r="B7" s="12" t="str">
        <f>Balance_Sheet!B33</f>
        <v>Total Current Liabilities</v>
      </c>
      <c r="C7" s="13">
        <f>Balance_Sheet!C33</f>
        <v>43992.61</v>
      </c>
      <c r="D7" s="13">
        <f>Balance_Sheet!D33</f>
        <v>64036.08</v>
      </c>
      <c r="E7" s="13">
        <f>Balance_Sheet!E33</f>
        <v>55037.42</v>
      </c>
      <c r="F7" s="13">
        <f>Balance_Sheet!F33</f>
        <v>62579.68</v>
      </c>
      <c r="G7" s="13">
        <f>Balance_Sheet!G33</f>
        <v>56875.65</v>
      </c>
    </row>
    <row r="8" spans="2:15" ht="18.75" x14ac:dyDescent="0.25">
      <c r="B8" s="14" t="s">
        <v>169</v>
      </c>
      <c r="C8" s="14">
        <f>ROUND(C6/ C7, 2)</f>
        <v>1.41</v>
      </c>
      <c r="D8" s="14">
        <f t="shared" ref="D8:G8" si="0">ROUND(D6/ D7, 2)</f>
        <v>2.2599999999999998</v>
      </c>
      <c r="E8" s="14">
        <f t="shared" si="0"/>
        <v>4.17</v>
      </c>
      <c r="F8" s="14">
        <f t="shared" si="0"/>
        <v>4.91</v>
      </c>
      <c r="G8" s="14">
        <f t="shared" si="0"/>
        <v>5.79</v>
      </c>
    </row>
  </sheetData>
  <mergeCells count="1">
    <mergeCell ref="B5:G5"/>
  </mergeCells>
  <hyperlinks>
    <hyperlink ref="F1" location="Index_Data!A1" tooltip="Hi click here To return Index page" display="Index_Data!A1" xr:uid="{49CDDB51-CE4D-4D10-9F4A-78B1B1586E73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EB327-B97E-4E57-B767-DB178692D287}">
  <dimension ref="A1:O41"/>
  <sheetViews>
    <sheetView topLeftCell="A23" workbookViewId="0">
      <selection activeCell="A41" sqref="A41"/>
    </sheetView>
  </sheetViews>
  <sheetFormatPr defaultRowHeight="15" x14ac:dyDescent="0.25"/>
  <sheetData>
    <row r="1" spans="1:15" x14ac:dyDescent="0.25">
      <c r="F1" s="44" t="s">
        <v>271</v>
      </c>
      <c r="O1" s="45"/>
    </row>
    <row r="2" spans="1:15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15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15" x14ac:dyDescent="0.25">
      <c r="B4" t="s">
        <v>56</v>
      </c>
      <c r="H4" t="s">
        <v>1</v>
      </c>
    </row>
    <row r="5" spans="1:15" x14ac:dyDescent="0.25">
      <c r="A5" t="s">
        <v>97</v>
      </c>
      <c r="B5" t="s">
        <v>97</v>
      </c>
      <c r="C5" s="2">
        <v>86118.25</v>
      </c>
      <c r="D5" s="2">
        <v>99615</v>
      </c>
      <c r="E5" s="2">
        <v>109078.63</v>
      </c>
      <c r="F5" s="2">
        <v>111267.88</v>
      </c>
      <c r="G5" s="2">
        <v>132669.28</v>
      </c>
      <c r="H5" t="s">
        <v>1</v>
      </c>
    </row>
    <row r="6" spans="1:15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15" x14ac:dyDescent="0.25">
      <c r="B7" t="s">
        <v>57</v>
      </c>
      <c r="C7" s="2">
        <v>86118.25</v>
      </c>
      <c r="D7" s="2">
        <v>99615</v>
      </c>
      <c r="E7" s="2">
        <v>109078.63</v>
      </c>
      <c r="F7" s="2">
        <v>111267.88</v>
      </c>
      <c r="G7" s="2">
        <v>132669.28</v>
      </c>
      <c r="H7" t="s">
        <v>1</v>
      </c>
    </row>
    <row r="8" spans="1:15" x14ac:dyDescent="0.25">
      <c r="B8" t="s">
        <v>58</v>
      </c>
      <c r="C8" s="2">
        <v>88083.31</v>
      </c>
      <c r="D8" s="2">
        <v>100286.54</v>
      </c>
      <c r="E8" s="2">
        <v>109464.04</v>
      </c>
      <c r="F8" s="2">
        <v>111531.15</v>
      </c>
      <c r="G8" s="2">
        <v>132669.28</v>
      </c>
      <c r="H8" t="s">
        <v>1</v>
      </c>
    </row>
    <row r="9" spans="1:15" x14ac:dyDescent="0.25">
      <c r="A9" t="s">
        <v>59</v>
      </c>
      <c r="B9" t="s">
        <v>59</v>
      </c>
      <c r="C9" s="2">
        <v>1558.28</v>
      </c>
      <c r="D9" s="2">
        <v>2246.5100000000002</v>
      </c>
      <c r="E9" s="2">
        <v>2908.54</v>
      </c>
      <c r="F9" s="2">
        <v>4015.68</v>
      </c>
      <c r="G9" s="2">
        <v>2325.0300000000002</v>
      </c>
      <c r="H9" t="s">
        <v>1</v>
      </c>
    </row>
    <row r="10" spans="1:15" x14ac:dyDescent="0.25">
      <c r="B10" t="s">
        <v>60</v>
      </c>
      <c r="C10" s="2">
        <v>89641.59</v>
      </c>
      <c r="D10" s="2">
        <v>102533.05</v>
      </c>
      <c r="E10" s="2">
        <v>112372.58</v>
      </c>
      <c r="F10" s="2">
        <v>115546.83</v>
      </c>
      <c r="G10" s="2">
        <v>134994.31</v>
      </c>
      <c r="H10" t="s">
        <v>1</v>
      </c>
    </row>
    <row r="11" spans="1:15" x14ac:dyDescent="0.25">
      <c r="B11" t="s">
        <v>61</v>
      </c>
      <c r="H11" t="s">
        <v>1</v>
      </c>
    </row>
    <row r="12" spans="1:15" x14ac:dyDescent="0.25">
      <c r="A12" t="s">
        <v>99</v>
      </c>
      <c r="B12" t="s">
        <v>62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</v>
      </c>
    </row>
    <row r="13" spans="1:15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15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15" x14ac:dyDescent="0.25">
      <c r="B15" t="s">
        <v>65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1</v>
      </c>
    </row>
    <row r="16" spans="1:15" x14ac:dyDescent="0.25">
      <c r="A16" t="s">
        <v>99</v>
      </c>
      <c r="B16" t="s">
        <v>66</v>
      </c>
      <c r="C16" s="2">
        <v>4791.97</v>
      </c>
      <c r="D16" s="2">
        <v>5816.65</v>
      </c>
      <c r="E16" s="2">
        <v>5830.48</v>
      </c>
      <c r="F16" s="2">
        <v>5953.93</v>
      </c>
      <c r="G16" s="2">
        <v>6310.09</v>
      </c>
      <c r="H16" t="s">
        <v>1</v>
      </c>
    </row>
    <row r="17" spans="1:8" x14ac:dyDescent="0.25">
      <c r="A17" t="s">
        <v>100</v>
      </c>
      <c r="B17" t="s">
        <v>67</v>
      </c>
      <c r="C17" s="2">
        <v>4434.59</v>
      </c>
      <c r="D17" s="2">
        <v>5604.65</v>
      </c>
      <c r="E17" s="2">
        <v>8116.85</v>
      </c>
      <c r="F17" s="2">
        <v>9224.14</v>
      </c>
      <c r="G17" s="2">
        <v>9315.98</v>
      </c>
      <c r="H17" t="s">
        <v>1</v>
      </c>
    </row>
    <row r="18" spans="1:8" x14ac:dyDescent="0.25">
      <c r="A18" t="s">
        <v>101</v>
      </c>
      <c r="B18" t="s">
        <v>68</v>
      </c>
      <c r="C18" s="2">
        <v>7459.93</v>
      </c>
      <c r="D18" s="2">
        <v>8669.0300000000007</v>
      </c>
      <c r="E18" s="2">
        <v>10356.16</v>
      </c>
      <c r="F18" s="2">
        <v>12450.31</v>
      </c>
      <c r="G18" s="2">
        <v>13787.83</v>
      </c>
      <c r="H18" t="s">
        <v>1</v>
      </c>
    </row>
    <row r="19" spans="1:8" x14ac:dyDescent="0.25">
      <c r="A19" t="s">
        <v>99</v>
      </c>
      <c r="B19" t="s">
        <v>69</v>
      </c>
      <c r="C19" s="2">
        <v>7554.59</v>
      </c>
      <c r="D19" s="2">
        <v>8105.12</v>
      </c>
      <c r="E19" s="2">
        <v>9725.41</v>
      </c>
      <c r="F19" s="2">
        <v>10454.709999999999</v>
      </c>
      <c r="G19" s="2">
        <v>86079.63</v>
      </c>
      <c r="H19" t="s">
        <v>1</v>
      </c>
    </row>
    <row r="20" spans="1:8" x14ac:dyDescent="0.25">
      <c r="B20" t="s">
        <v>70</v>
      </c>
      <c r="C20" s="2">
        <v>77557.37</v>
      </c>
      <c r="D20" s="2">
        <v>87879.35</v>
      </c>
      <c r="E20" s="2">
        <v>96400.47</v>
      </c>
      <c r="F20" s="2">
        <v>99231.77</v>
      </c>
      <c r="G20" s="2">
        <v>115493.53</v>
      </c>
      <c r="H20" t="s">
        <v>1</v>
      </c>
    </row>
    <row r="21" spans="1:8" x14ac:dyDescent="0.25">
      <c r="B21" t="s">
        <v>71</v>
      </c>
      <c r="C21" s="2">
        <v>12084.22</v>
      </c>
      <c r="D21" s="2">
        <v>14653.7</v>
      </c>
      <c r="E21" s="2">
        <v>15972.11</v>
      </c>
      <c r="F21" s="2">
        <v>16315.06</v>
      </c>
      <c r="G21" s="2">
        <v>19500.78</v>
      </c>
      <c r="H21" t="s">
        <v>1</v>
      </c>
    </row>
    <row r="22" spans="1:8" x14ac:dyDescent="0.25">
      <c r="A22" t="s">
        <v>102</v>
      </c>
      <c r="B22" t="s">
        <v>72</v>
      </c>
      <c r="C22" s="2">
        <v>0</v>
      </c>
      <c r="D22" s="2">
        <v>0</v>
      </c>
      <c r="E22">
        <v>0</v>
      </c>
      <c r="F22">
        <v>-1512.19</v>
      </c>
      <c r="G22">
        <v>1486.48</v>
      </c>
      <c r="H22" t="s">
        <v>1</v>
      </c>
    </row>
    <row r="23" spans="1:8" x14ac:dyDescent="0.25">
      <c r="B23" t="s">
        <v>73</v>
      </c>
      <c r="C23" s="2">
        <v>12084.22</v>
      </c>
      <c r="D23" s="2">
        <v>14653.7</v>
      </c>
      <c r="E23" s="2">
        <v>15972.11</v>
      </c>
      <c r="F23" s="2">
        <v>14802.87</v>
      </c>
      <c r="G23" s="2">
        <v>20987.26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2616.16</v>
      </c>
      <c r="D25" s="2">
        <v>3391.25</v>
      </c>
      <c r="E25" s="2">
        <v>2782.89</v>
      </c>
      <c r="F25" s="2">
        <v>2958.8</v>
      </c>
      <c r="G25" s="2">
        <v>5047.1000000000004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3988.08</v>
      </c>
      <c r="D27" s="2">
        <v>-6067.38</v>
      </c>
      <c r="E27" s="2">
        <v>3821.01</v>
      </c>
      <c r="F27" s="2">
        <v>1329.47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5652.94</v>
      </c>
      <c r="D29" s="2">
        <v>-2779.94</v>
      </c>
      <c r="E29" s="2">
        <v>9347.5400000000009</v>
      </c>
      <c r="F29" s="2">
        <v>2420.5300000000002</v>
      </c>
      <c r="G29" s="2">
        <v>5047.1000000000004</v>
      </c>
      <c r="H29" t="s">
        <v>1</v>
      </c>
    </row>
    <row r="30" spans="1:8" x14ac:dyDescent="0.25">
      <c r="B30" t="s">
        <v>80</v>
      </c>
      <c r="C30" s="2">
        <v>6431.28</v>
      </c>
      <c r="D30" s="2">
        <v>17433.64</v>
      </c>
      <c r="E30" s="2">
        <v>6624.57</v>
      </c>
      <c r="F30" s="2">
        <v>12382.34</v>
      </c>
      <c r="G30" s="2">
        <v>15940.16</v>
      </c>
      <c r="H30" t="s">
        <v>1</v>
      </c>
    </row>
    <row r="31" spans="1:8" x14ac:dyDescent="0.25">
      <c r="B31" t="s">
        <v>81</v>
      </c>
      <c r="C31" s="2">
        <v>10056.450000000001</v>
      </c>
      <c r="D31" s="2">
        <v>13362.32</v>
      </c>
      <c r="E31" s="2">
        <v>11496.58</v>
      </c>
      <c r="F31" s="2">
        <v>14285.53</v>
      </c>
      <c r="G31" s="2">
        <v>15940.16</v>
      </c>
      <c r="H31" t="s">
        <v>1</v>
      </c>
    </row>
    <row r="32" spans="1:8" x14ac:dyDescent="0.25">
      <c r="B32" t="s">
        <v>82</v>
      </c>
      <c r="C32" s="2">
        <v>10056.450000000001</v>
      </c>
      <c r="D32" s="2">
        <v>13362.32</v>
      </c>
      <c r="E32" s="2">
        <v>11496.58</v>
      </c>
      <c r="F32" s="2">
        <v>14285.53</v>
      </c>
      <c r="G32" s="2">
        <v>15940.16</v>
      </c>
      <c r="H32" t="s">
        <v>1</v>
      </c>
    </row>
    <row r="33" spans="1:8" x14ac:dyDescent="0.25">
      <c r="B33" t="s">
        <v>10</v>
      </c>
      <c r="C33">
        <v>42.45</v>
      </c>
      <c r="D33">
        <v>-297.81</v>
      </c>
      <c r="E33">
        <v>-301.75</v>
      </c>
      <c r="F33">
        <v>-334.77</v>
      </c>
      <c r="G33">
        <v>-284.39</v>
      </c>
      <c r="H33" t="s">
        <v>1</v>
      </c>
    </row>
    <row r="34" spans="1:8" x14ac:dyDescent="0.25">
      <c r="B34" t="s">
        <v>83</v>
      </c>
      <c r="C34" s="2">
        <v>10543.95</v>
      </c>
      <c r="D34" s="2">
        <v>13736.68</v>
      </c>
      <c r="E34" s="2">
        <v>11600.23</v>
      </c>
      <c r="F34" s="2">
        <v>14634.63</v>
      </c>
      <c r="G34" s="2">
        <v>16675.900000000001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11</v>
      </c>
      <c r="D37">
        <v>14</v>
      </c>
      <c r="E37">
        <v>12</v>
      </c>
      <c r="F37">
        <v>15</v>
      </c>
      <c r="G37">
        <v>17</v>
      </c>
      <c r="H37" t="s">
        <v>1</v>
      </c>
    </row>
    <row r="38" spans="1:8" x14ac:dyDescent="0.25">
      <c r="B38" t="s">
        <v>86</v>
      </c>
      <c r="C38">
        <v>11</v>
      </c>
      <c r="D38">
        <v>14</v>
      </c>
      <c r="E38">
        <v>12</v>
      </c>
      <c r="F38">
        <v>15</v>
      </c>
      <c r="G38">
        <v>17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4040.28</v>
      </c>
      <c r="D40" s="2">
        <v>3019.88</v>
      </c>
      <c r="E40">
        <v>494.73</v>
      </c>
      <c r="F40" s="2">
        <v>5531.06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826.57</v>
      </c>
      <c r="D41">
        <v>617.62</v>
      </c>
      <c r="E41">
        <v>101.18</v>
      </c>
      <c r="F41">
        <v>0</v>
      </c>
      <c r="G41">
        <v>0</v>
      </c>
      <c r="H41" t="s">
        <v>1</v>
      </c>
    </row>
  </sheetData>
  <hyperlinks>
    <hyperlink ref="F1" location="Index_Data!A1" tooltip="Hi click here To return Index page" display="Index_Data!A1" xr:uid="{9F6E4E58-F61E-4423-8910-6622ECAB23FA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E88F6-82D9-4D6A-AFE8-C8681B52A1A8}"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170</v>
      </c>
      <c r="C5" s="43"/>
      <c r="D5" s="43"/>
      <c r="E5" s="43"/>
      <c r="F5" s="43"/>
      <c r="G5" s="43"/>
    </row>
    <row r="6" spans="2:15" ht="18.75" x14ac:dyDescent="0.25">
      <c r="B6" s="12" t="str">
        <f>Balance_Sheet!B72</f>
        <v>Total Current Assets</v>
      </c>
      <c r="C6" s="13">
        <f>Balance_Sheet!C72</f>
        <v>61854.54</v>
      </c>
      <c r="D6" s="13">
        <f>Balance_Sheet!D72</f>
        <v>144881.0025519249</v>
      </c>
      <c r="E6" s="13">
        <f>Balance_Sheet!E72</f>
        <v>229389.0892165429</v>
      </c>
      <c r="F6" s="13">
        <f>Balance_Sheet!F72</f>
        <v>307042.42530674255</v>
      </c>
      <c r="G6" s="13">
        <f>Balance_Sheet!G72</f>
        <v>329249.75283174904</v>
      </c>
    </row>
    <row r="7" spans="2:15" ht="18.75" x14ac:dyDescent="0.25">
      <c r="B7" s="12" t="str">
        <f>Balance_Sheet!B66</f>
        <v>Inventories</v>
      </c>
      <c r="C7" s="13">
        <f>Balance_Sheet!C66</f>
        <v>6140.29</v>
      </c>
      <c r="D7" s="13">
        <f>Balance_Sheet!D66</f>
        <v>8251.6200000000008</v>
      </c>
      <c r="E7" s="13">
        <f>Balance_Sheet!E66</f>
        <v>11138.54</v>
      </c>
      <c r="F7" s="13">
        <f>Balance_Sheet!F66</f>
        <v>9809.6</v>
      </c>
      <c r="G7" s="13">
        <f>Balance_Sheet!G66</f>
        <v>10139.290000000001</v>
      </c>
    </row>
    <row r="8" spans="2:15" ht="18.75" x14ac:dyDescent="0.25">
      <c r="B8" s="12" t="str">
        <f>Balance_Sheet!B33</f>
        <v>Total Current Liabilities</v>
      </c>
      <c r="C8" s="13">
        <f>Balance_Sheet!C33</f>
        <v>43992.61</v>
      </c>
      <c r="D8" s="13">
        <f>Balance_Sheet!D33</f>
        <v>64036.08</v>
      </c>
      <c r="E8" s="13">
        <f>Balance_Sheet!E33</f>
        <v>55037.42</v>
      </c>
      <c r="F8" s="13">
        <f>Balance_Sheet!F33</f>
        <v>62579.68</v>
      </c>
      <c r="G8" s="13">
        <f>Balance_Sheet!G33</f>
        <v>56875.65</v>
      </c>
    </row>
    <row r="9" spans="2:15" ht="18.75" x14ac:dyDescent="0.25">
      <c r="B9" s="14" t="s">
        <v>171</v>
      </c>
      <c r="C9" s="14">
        <f>ROUND((C6-C7)/ C8, 2)</f>
        <v>1.27</v>
      </c>
      <c r="D9" s="14">
        <f t="shared" ref="D9:G9" si="0">ROUND((D6-D7)/ D8, 2)</f>
        <v>2.13</v>
      </c>
      <c r="E9" s="14">
        <f t="shared" si="0"/>
        <v>3.97</v>
      </c>
      <c r="F9" s="14">
        <f t="shared" si="0"/>
        <v>4.75</v>
      </c>
      <c r="G9" s="14">
        <f t="shared" si="0"/>
        <v>5.61</v>
      </c>
    </row>
  </sheetData>
  <mergeCells count="1">
    <mergeCell ref="B5:G5"/>
  </mergeCells>
  <hyperlinks>
    <hyperlink ref="F1" location="Index_Data!A1" tooltip="Hi click here To return Index page" display="Index_Data!A1" xr:uid="{37C7F794-2A30-4267-ADC5-C14618845047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7650F-98CB-4053-B366-94B3CEEA5F00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172</v>
      </c>
      <c r="C5" s="43"/>
      <c r="D5" s="43"/>
      <c r="E5" s="43"/>
      <c r="F5" s="43"/>
      <c r="G5" s="43"/>
    </row>
    <row r="6" spans="2:15" ht="18.75" x14ac:dyDescent="0.25">
      <c r="B6" s="12" t="str">
        <f>Income_Statement!B33</f>
        <v>PBIT</v>
      </c>
      <c r="C6" s="13">
        <f>Income_Statement!C33</f>
        <v>67871.058094654727</v>
      </c>
      <c r="D6" s="13">
        <f>Income_Statement!D33</f>
        <v>79271.732551924899</v>
      </c>
      <c r="E6" s="13">
        <f>Income_Statement!E33</f>
        <v>86076.146664617991</v>
      </c>
      <c r="F6" s="13">
        <f>Income_Statement!F33</f>
        <v>86425.646090199618</v>
      </c>
      <c r="G6" s="13">
        <f>Income_Statement!G33</f>
        <v>28817.777525006546</v>
      </c>
    </row>
    <row r="7" spans="2:15" ht="18.75" x14ac:dyDescent="0.25">
      <c r="B7" s="12" t="str">
        <f>Income_Statement!B35</f>
        <v>Finance Costs</v>
      </c>
      <c r="C7" s="13">
        <f>Income_Statement!C35</f>
        <v>4434.59</v>
      </c>
      <c r="D7" s="13">
        <f>Income_Statement!D35</f>
        <v>5604.65</v>
      </c>
      <c r="E7" s="13">
        <f>Income_Statement!E35</f>
        <v>8116.85</v>
      </c>
      <c r="F7" s="13">
        <f>Income_Statement!F35</f>
        <v>9224.14</v>
      </c>
      <c r="G7" s="13">
        <f>Income_Statement!G35</f>
        <v>9315.98</v>
      </c>
    </row>
    <row r="8" spans="2:15" ht="18.75" x14ac:dyDescent="0.25">
      <c r="B8" s="14" t="s">
        <v>173</v>
      </c>
      <c r="C8" s="14">
        <f>ROUND(C6/C7, 2)</f>
        <v>15.3</v>
      </c>
      <c r="D8" s="14">
        <f t="shared" ref="D8:G8" si="0">ROUND(D6/D7, 2)</f>
        <v>14.14</v>
      </c>
      <c r="E8" s="14">
        <f t="shared" si="0"/>
        <v>10.6</v>
      </c>
      <c r="F8" s="14">
        <f t="shared" si="0"/>
        <v>9.3699999999999992</v>
      </c>
      <c r="G8" s="14">
        <f t="shared" si="0"/>
        <v>3.09</v>
      </c>
    </row>
  </sheetData>
  <mergeCells count="1">
    <mergeCell ref="B5:G5"/>
  </mergeCells>
  <hyperlinks>
    <hyperlink ref="F1" location="Index_Data!A1" tooltip="Hi click here To return Index page" display="Index_Data!A1" xr:uid="{BC7D953F-2696-4F1D-B5A0-0A2339337344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1553D-EB1A-49FA-8285-88A1506F73CC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174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0</v>
      </c>
      <c r="D6" s="13">
        <f>Income_Statement!D17</f>
        <v>0</v>
      </c>
      <c r="E6" s="13">
        <f>Income_Statement!E17</f>
        <v>0</v>
      </c>
      <c r="F6" s="13">
        <f>Income_Statement!F17</f>
        <v>0</v>
      </c>
      <c r="G6" s="13">
        <f>Income_Statement!G17</f>
        <v>0</v>
      </c>
    </row>
    <row r="7" spans="2:15" ht="18.75" x14ac:dyDescent="0.25">
      <c r="B7" s="12" t="str">
        <f>Income_Statement!B9</f>
        <v>Net Sales</v>
      </c>
      <c r="C7" s="13">
        <f>Income_Statement!C9</f>
        <v>86118.25</v>
      </c>
      <c r="D7" s="13">
        <f>Income_Statement!D9</f>
        <v>99615</v>
      </c>
      <c r="E7" s="13">
        <f>Income_Statement!E9</f>
        <v>109078.63</v>
      </c>
      <c r="F7" s="13">
        <f>Income_Statement!F9</f>
        <v>111267.88</v>
      </c>
      <c r="G7" s="13">
        <f>Income_Statement!G9</f>
        <v>132669.28</v>
      </c>
    </row>
    <row r="8" spans="2:15" ht="18.75" x14ac:dyDescent="0.25">
      <c r="B8" s="14" t="s">
        <v>175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D36B5081-45B4-4B6E-9272-F55B0DC2DF6C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76427-E157-46AB-9726-68B87C22654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176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4387.6000000000004</v>
      </c>
      <c r="D6" s="13">
        <f>Balance_Sheet!D70</f>
        <v>78666.972551924904</v>
      </c>
      <c r="E6" s="13">
        <f>Balance_Sheet!E70</f>
        <v>149735.78921654291</v>
      </c>
      <c r="F6" s="13">
        <f>Balance_Sheet!F70</f>
        <v>223804.47530674253</v>
      </c>
      <c r="G6" s="13">
        <f>Balance_Sheet!G70</f>
        <v>243866.62283174906</v>
      </c>
    </row>
    <row r="7" spans="2:15" ht="18.75" x14ac:dyDescent="0.25">
      <c r="B7" s="12" t="str">
        <f>Income_Statement!B17</f>
        <v>Cost Of Materials Consumed</v>
      </c>
      <c r="C7" s="13">
        <f>Income_Statement!C17</f>
        <v>0</v>
      </c>
      <c r="D7" s="13">
        <f>Income_Statement!D17</f>
        <v>0</v>
      </c>
      <c r="E7" s="13">
        <f>Income_Statement!E17</f>
        <v>0</v>
      </c>
      <c r="F7" s="13">
        <f>Income_Statement!F17</f>
        <v>0</v>
      </c>
      <c r="G7" s="13">
        <f>Income_Statement!G17</f>
        <v>0</v>
      </c>
    </row>
    <row r="8" spans="2:15" ht="18.75" x14ac:dyDescent="0.25">
      <c r="B8" s="14" t="s">
        <v>177</v>
      </c>
      <c r="C8" s="14" t="e">
        <f>ROUND(C6/C7*365, 2)</f>
        <v>#DIV/0!</v>
      </c>
      <c r="D8" s="14" t="e">
        <f t="shared" ref="D8:G8" si="0">ROUND(D6/D7*365,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hyperlinks>
    <hyperlink ref="F1" location="Index_Data!A1" tooltip="Hi click here To return Index page" display="Index_Data!A1" xr:uid="{C5FC183D-D39B-48D3-A308-57097FB08F27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5630D-364C-4EDF-8226-CE9EEE27692B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1.5703125" bestFit="1" customWidth="1"/>
    <col min="4" max="4" width="14" bestFit="1" customWidth="1"/>
    <col min="5" max="7" width="15.5703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178</v>
      </c>
      <c r="C5" s="43"/>
      <c r="D5" s="43"/>
      <c r="E5" s="43"/>
      <c r="F5" s="43"/>
      <c r="G5" s="43"/>
    </row>
    <row r="6" spans="2:15" ht="18.75" x14ac:dyDescent="0.25">
      <c r="B6" s="12" t="str">
        <f>Balance_Sheet!B70</f>
        <v>Cash And Cash Equivalents</v>
      </c>
      <c r="C6" s="13">
        <f>Balance_Sheet!C70</f>
        <v>4387.6000000000004</v>
      </c>
      <c r="D6" s="13">
        <f>Balance_Sheet!D70</f>
        <v>78666.972551924904</v>
      </c>
      <c r="E6" s="13">
        <f>Balance_Sheet!E70</f>
        <v>149735.78921654291</v>
      </c>
      <c r="F6" s="13">
        <f>Balance_Sheet!F70</f>
        <v>223804.47530674253</v>
      </c>
      <c r="G6" s="13">
        <f>Balance_Sheet!G70</f>
        <v>243866.62283174906</v>
      </c>
    </row>
    <row r="7" spans="2:15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15" ht="18.75" x14ac:dyDescent="0.25">
      <c r="B8" s="14" t="s">
        <v>180</v>
      </c>
      <c r="C8" s="14">
        <f>ROUND(C6/C7*365, 2)</f>
        <v>4387.6000000000004</v>
      </c>
      <c r="D8" s="14">
        <f t="shared" ref="D8:G8" si="0">ROUND(D6/D7*365, 2)</f>
        <v>78666.97</v>
      </c>
      <c r="E8" s="14">
        <f t="shared" si="0"/>
        <v>149735.79</v>
      </c>
      <c r="F8" s="14">
        <f t="shared" si="0"/>
        <v>223804.48</v>
      </c>
      <c r="G8" s="14">
        <f t="shared" si="0"/>
        <v>243866.62</v>
      </c>
    </row>
  </sheetData>
  <mergeCells count="1">
    <mergeCell ref="B5:G5"/>
  </mergeCells>
  <hyperlinks>
    <hyperlink ref="F1" location="Index_Data!A1" tooltip="Hi click here To return Index page" display="Index_Data!A1" xr:uid="{61F8407B-5E18-440B-BB65-75F75536607A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BB1AC-BAF4-43AB-A03B-81BFC7A046D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Balance_Sheet!B74</f>
        <v>Total Assets</v>
      </c>
      <c r="C7" s="13">
        <f>Balance_Sheet!C74</f>
        <v>282361.67</v>
      </c>
      <c r="D7" s="13">
        <f>Balance_Sheet!D74</f>
        <v>413327.04255192488</v>
      </c>
      <c r="E7" s="13">
        <f>Balance_Sheet!E74</f>
        <v>505684.2192165429</v>
      </c>
      <c r="F7" s="13">
        <f>Balance_Sheet!F74</f>
        <v>586805.51530674251</v>
      </c>
      <c r="G7" s="13">
        <f>Balance_Sheet!G74</f>
        <v>610661.9428317491</v>
      </c>
    </row>
    <row r="8" spans="2:15" ht="18.75" x14ac:dyDescent="0.25">
      <c r="B8" s="14" t="s">
        <v>182</v>
      </c>
      <c r="C8" s="14">
        <f>ROUND(C6/C7, 2)</f>
        <v>0.3</v>
      </c>
      <c r="D8" s="14">
        <f t="shared" ref="D8:G8" si="0">ROUND(D6/D7, 2)</f>
        <v>0.24</v>
      </c>
      <c r="E8" s="14">
        <f t="shared" si="0"/>
        <v>0.22</v>
      </c>
      <c r="F8" s="14">
        <f t="shared" si="0"/>
        <v>0.19</v>
      </c>
      <c r="G8" s="14">
        <f t="shared" si="0"/>
        <v>0.22</v>
      </c>
    </row>
  </sheetData>
  <mergeCells count="1">
    <mergeCell ref="B5:G5"/>
  </mergeCells>
  <hyperlinks>
    <hyperlink ref="F1" location="Index_Data!A1" tooltip="Hi click here To return Index page" display="Index_Data!A1" xr:uid="{241D07AC-7F14-4DB1-836A-192706538CB8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48E9-BCCD-45F6-B098-899BFB8BD6EF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183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Balance_Sheet!B66</f>
        <v>Inventories</v>
      </c>
      <c r="C7" s="13">
        <f>Balance_Sheet!C66</f>
        <v>6140.29</v>
      </c>
      <c r="D7" s="13">
        <f>Balance_Sheet!D66</f>
        <v>8251.6200000000008</v>
      </c>
      <c r="E7" s="13">
        <f>Balance_Sheet!E66</f>
        <v>11138.54</v>
      </c>
      <c r="F7" s="13">
        <f>Balance_Sheet!F66</f>
        <v>9809.6</v>
      </c>
      <c r="G7" s="13">
        <f>Balance_Sheet!G66</f>
        <v>10139.290000000001</v>
      </c>
    </row>
    <row r="8" spans="2:15" ht="18.75" x14ac:dyDescent="0.25">
      <c r="B8" s="14" t="s">
        <v>184</v>
      </c>
      <c r="C8" s="14">
        <f>ROUND(C6/C7, 2)</f>
        <v>14.03</v>
      </c>
      <c r="D8" s="14">
        <f t="shared" ref="D8:G8" si="0">ROUND(D6/D7, 2)</f>
        <v>12.07</v>
      </c>
      <c r="E8" s="14">
        <f t="shared" si="0"/>
        <v>9.7899999999999991</v>
      </c>
      <c r="F8" s="14">
        <f t="shared" si="0"/>
        <v>11.34</v>
      </c>
      <c r="G8" s="14">
        <f t="shared" si="0"/>
        <v>13.08</v>
      </c>
    </row>
  </sheetData>
  <mergeCells count="1">
    <mergeCell ref="B5:G5"/>
  </mergeCells>
  <hyperlinks>
    <hyperlink ref="F1" location="Index_Data!A1" tooltip="Hi click here To return Index page" display="Index_Data!A1" xr:uid="{A19EF11B-488C-4E10-B57E-515928C6B66C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0FAD-1FE2-444D-9848-8F723A01F104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Balance_Sheet!B68</f>
        <v>Trade Receivables</v>
      </c>
      <c r="C7" s="13">
        <f>Balance_Sheet!C68</f>
        <v>8812.19</v>
      </c>
      <c r="D7" s="13">
        <f>Balance_Sheet!D68</f>
        <v>12363.52</v>
      </c>
      <c r="E7" s="13">
        <f>Balance_Sheet!E68</f>
        <v>20314.59</v>
      </c>
      <c r="F7" s="13">
        <f>Balance_Sheet!F68</f>
        <v>17718.07</v>
      </c>
      <c r="G7" s="13">
        <f>Balance_Sheet!G68</f>
        <v>27342.080000000002</v>
      </c>
    </row>
    <row r="8" spans="2:15" ht="18.75" x14ac:dyDescent="0.25">
      <c r="B8" s="14" t="s">
        <v>186</v>
      </c>
      <c r="C8" s="14">
        <f>ROUND(C6/C7, 2)</f>
        <v>9.77</v>
      </c>
      <c r="D8" s="14">
        <f t="shared" ref="D8:G8" si="0">ROUND(D6/D7, 2)</f>
        <v>8.06</v>
      </c>
      <c r="E8" s="14">
        <f t="shared" si="0"/>
        <v>5.37</v>
      </c>
      <c r="F8" s="14">
        <f t="shared" si="0"/>
        <v>6.28</v>
      </c>
      <c r="G8" s="14">
        <f t="shared" si="0"/>
        <v>4.8499999999999996</v>
      </c>
    </row>
  </sheetData>
  <mergeCells count="1">
    <mergeCell ref="B5:G5"/>
  </mergeCells>
  <hyperlinks>
    <hyperlink ref="F1" location="Index_Data!A1" tooltip="Hi click here To return Index page" display="Index_Data!A1" xr:uid="{E4B0B77F-EA54-457C-B7F9-6EED16185E2A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D2863-E86C-4619-A760-5CDAD505EDBA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Balance_Sheet!B40</f>
        <v>Tangible Assets</v>
      </c>
      <c r="C7" s="13">
        <f>Balance_Sheet!C40</f>
        <v>127913.66</v>
      </c>
      <c r="D7" s="13">
        <f>Balance_Sheet!D40</f>
        <v>150555.42000000001</v>
      </c>
      <c r="E7" s="13">
        <f>Balance_Sheet!E40</f>
        <v>187176.46</v>
      </c>
      <c r="F7" s="13">
        <f>Balance_Sheet!F40</f>
        <v>202598.05</v>
      </c>
      <c r="G7" s="13">
        <f>Balance_Sheet!G40</f>
        <v>316049.28000000003</v>
      </c>
    </row>
    <row r="8" spans="2:15" ht="18.75" x14ac:dyDescent="0.25">
      <c r="B8" s="14" t="s">
        <v>188</v>
      </c>
      <c r="C8" s="14">
        <f>ROUND(C6/C7, 2)</f>
        <v>0.67</v>
      </c>
      <c r="D8" s="14">
        <f t="shared" ref="D8:G8" si="0">ROUND(D6/D7, 2)</f>
        <v>0.66</v>
      </c>
      <c r="E8" s="14">
        <f t="shared" si="0"/>
        <v>0.57999999999999996</v>
      </c>
      <c r="F8" s="14">
        <f t="shared" si="0"/>
        <v>0.55000000000000004</v>
      </c>
      <c r="G8" s="14">
        <f t="shared" si="0"/>
        <v>0.42</v>
      </c>
    </row>
  </sheetData>
  <mergeCells count="1">
    <mergeCell ref="B5:G5"/>
  </mergeCells>
  <hyperlinks>
    <hyperlink ref="F1" location="Index_Data!A1" tooltip="Hi click here To return Index page" display="Index_Data!A1" xr:uid="{C33B229B-7C3C-48EC-BB04-D3053569E4CB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596FA-2BA0-4D4E-B44C-384470633B81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189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0</v>
      </c>
      <c r="D6" s="13">
        <f>Income_Statement!D17</f>
        <v>0</v>
      </c>
      <c r="E6" s="13">
        <f>Income_Statement!E17</f>
        <v>0</v>
      </c>
      <c r="F6" s="13">
        <f>Income_Statement!F17</f>
        <v>0</v>
      </c>
      <c r="G6" s="13">
        <f>Income_Statement!G17</f>
        <v>0</v>
      </c>
    </row>
    <row r="7" spans="2:15" ht="18.75" x14ac:dyDescent="0.25">
      <c r="B7" s="12" t="str">
        <f>Balance_Sheet!B33</f>
        <v>Total Current Liabilities</v>
      </c>
      <c r="C7" s="13">
        <f>Balance_Sheet!C33</f>
        <v>43992.61</v>
      </c>
      <c r="D7" s="13">
        <f>Balance_Sheet!D33</f>
        <v>64036.08</v>
      </c>
      <c r="E7" s="13">
        <f>Balance_Sheet!E33</f>
        <v>55037.42</v>
      </c>
      <c r="F7" s="13">
        <f>Balance_Sheet!F33</f>
        <v>62579.68</v>
      </c>
      <c r="G7" s="13">
        <f>Balance_Sheet!G33</f>
        <v>56875.65</v>
      </c>
    </row>
    <row r="8" spans="2:15" ht="18.75" x14ac:dyDescent="0.25">
      <c r="B8" s="14" t="s">
        <v>190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36924412-8E6E-42AC-B072-DD7EEBE279A6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D4DA6-60BF-4AF9-886D-A77381AF56C2}">
  <dimension ref="A1:A48"/>
  <sheetViews>
    <sheetView showGridLines="0" tabSelected="1" topLeftCell="A34" workbookViewId="0">
      <selection activeCell="A48" sqref="A48"/>
    </sheetView>
  </sheetViews>
  <sheetFormatPr defaultRowHeight="15" x14ac:dyDescent="0.25"/>
  <cols>
    <col min="1" max="1" width="33.140625" bestFit="1" customWidth="1"/>
  </cols>
  <sheetData>
    <row r="1" spans="1:1" x14ac:dyDescent="0.25">
      <c r="A1" s="46" t="s">
        <v>270</v>
      </c>
    </row>
    <row r="2" spans="1:1" x14ac:dyDescent="0.25">
      <c r="A2" s="46" t="s">
        <v>272</v>
      </c>
    </row>
    <row r="3" spans="1:1" x14ac:dyDescent="0.25">
      <c r="A3" s="47"/>
    </row>
    <row r="4" spans="1:1" x14ac:dyDescent="0.25">
      <c r="A4" s="46" t="s">
        <v>120</v>
      </c>
    </row>
    <row r="5" spans="1:1" x14ac:dyDescent="0.25">
      <c r="A5" s="46" t="s">
        <v>128</v>
      </c>
    </row>
    <row r="6" spans="1:1" x14ac:dyDescent="0.25">
      <c r="A6" s="46" t="s">
        <v>143</v>
      </c>
    </row>
    <row r="7" spans="1:1" x14ac:dyDescent="0.25">
      <c r="A7" s="46" t="s">
        <v>273</v>
      </c>
    </row>
    <row r="8" spans="1:1" x14ac:dyDescent="0.25">
      <c r="A8" s="46" t="s">
        <v>146</v>
      </c>
    </row>
    <row r="9" spans="1:1" x14ac:dyDescent="0.25">
      <c r="A9" s="46" t="s">
        <v>148</v>
      </c>
    </row>
    <row r="10" spans="1:1" x14ac:dyDescent="0.25">
      <c r="A10" s="46" t="s">
        <v>150</v>
      </c>
    </row>
    <row r="11" spans="1:1" x14ac:dyDescent="0.25">
      <c r="A11" s="46" t="s">
        <v>152</v>
      </c>
    </row>
    <row r="12" spans="1:1" x14ac:dyDescent="0.25">
      <c r="A12" s="46" t="s">
        <v>155</v>
      </c>
    </row>
    <row r="13" spans="1:1" x14ac:dyDescent="0.25">
      <c r="A13" s="46" t="s">
        <v>157</v>
      </c>
    </row>
    <row r="14" spans="1:1" x14ac:dyDescent="0.25">
      <c r="A14" s="46" t="s">
        <v>159</v>
      </c>
    </row>
    <row r="15" spans="1:1" x14ac:dyDescent="0.25">
      <c r="A15" s="46" t="s">
        <v>161</v>
      </c>
    </row>
    <row r="16" spans="1:1" x14ac:dyDescent="0.25">
      <c r="A16" s="46" t="s">
        <v>163</v>
      </c>
    </row>
    <row r="17" spans="1:1" x14ac:dyDescent="0.25">
      <c r="A17" s="46" t="s">
        <v>165</v>
      </c>
    </row>
    <row r="18" spans="1:1" x14ac:dyDescent="0.25">
      <c r="A18" s="46" t="s">
        <v>167</v>
      </c>
    </row>
    <row r="19" spans="1:1" x14ac:dyDescent="0.25">
      <c r="A19" s="46" t="s">
        <v>169</v>
      </c>
    </row>
    <row r="20" spans="1:1" x14ac:dyDescent="0.25">
      <c r="A20" s="46" t="s">
        <v>171</v>
      </c>
    </row>
    <row r="21" spans="1:1" x14ac:dyDescent="0.25">
      <c r="A21" s="46" t="s">
        <v>173</v>
      </c>
    </row>
    <row r="22" spans="1:1" x14ac:dyDescent="0.25">
      <c r="A22" s="46" t="s">
        <v>175</v>
      </c>
    </row>
    <row r="23" spans="1:1" x14ac:dyDescent="0.25">
      <c r="A23" s="46" t="s">
        <v>177</v>
      </c>
    </row>
    <row r="24" spans="1:1" x14ac:dyDescent="0.25">
      <c r="A24" s="46" t="s">
        <v>180</v>
      </c>
    </row>
    <row r="25" spans="1:1" x14ac:dyDescent="0.25">
      <c r="A25" s="46" t="s">
        <v>182</v>
      </c>
    </row>
    <row r="26" spans="1:1" x14ac:dyDescent="0.25">
      <c r="A26" s="46" t="s">
        <v>184</v>
      </c>
    </row>
    <row r="27" spans="1:1" x14ac:dyDescent="0.25">
      <c r="A27" s="46" t="s">
        <v>186</v>
      </c>
    </row>
    <row r="28" spans="1:1" x14ac:dyDescent="0.25">
      <c r="A28" s="46" t="s">
        <v>188</v>
      </c>
    </row>
    <row r="29" spans="1:1" x14ac:dyDescent="0.25">
      <c r="A29" s="46" t="s">
        <v>190</v>
      </c>
    </row>
    <row r="30" spans="1:1" x14ac:dyDescent="0.25">
      <c r="A30" s="46" t="s">
        <v>192</v>
      </c>
    </row>
    <row r="31" spans="1:1" x14ac:dyDescent="0.25">
      <c r="A31" s="46" t="s">
        <v>194</v>
      </c>
    </row>
    <row r="32" spans="1:1" x14ac:dyDescent="0.25">
      <c r="A32" s="46" t="s">
        <v>196</v>
      </c>
    </row>
    <row r="33" spans="1:1" x14ac:dyDescent="0.25">
      <c r="A33" s="46" t="s">
        <v>198</v>
      </c>
    </row>
    <row r="34" spans="1:1" x14ac:dyDescent="0.25">
      <c r="A34" s="46" t="s">
        <v>201</v>
      </c>
    </row>
    <row r="35" spans="1:1" x14ac:dyDescent="0.25">
      <c r="A35" s="46" t="s">
        <v>274</v>
      </c>
    </row>
    <row r="36" spans="1:1" x14ac:dyDescent="0.25">
      <c r="A36" s="46" t="s">
        <v>275</v>
      </c>
    </row>
    <row r="37" spans="1:1" x14ac:dyDescent="0.25">
      <c r="A37" s="46" t="s">
        <v>276</v>
      </c>
    </row>
    <row r="38" spans="1:1" x14ac:dyDescent="0.25">
      <c r="A38" s="46" t="s">
        <v>278</v>
      </c>
    </row>
    <row r="39" spans="1:1" x14ac:dyDescent="0.25">
      <c r="A39" s="46" t="s">
        <v>279</v>
      </c>
    </row>
    <row r="40" spans="1:1" x14ac:dyDescent="0.25">
      <c r="A40" s="46" t="s">
        <v>280</v>
      </c>
    </row>
    <row r="41" spans="1:1" x14ac:dyDescent="0.25">
      <c r="A41" s="46" t="s">
        <v>281</v>
      </c>
    </row>
    <row r="42" spans="1:1" x14ac:dyDescent="0.25">
      <c r="A42" s="46" t="s">
        <v>282</v>
      </c>
    </row>
    <row r="43" spans="1:1" x14ac:dyDescent="0.25">
      <c r="A43" s="46" t="s">
        <v>283</v>
      </c>
    </row>
    <row r="44" spans="1:1" x14ac:dyDescent="0.25">
      <c r="A44" s="46" t="s">
        <v>284</v>
      </c>
    </row>
    <row r="45" spans="1:1" x14ac:dyDescent="0.25">
      <c r="A45" s="46" t="s">
        <v>277</v>
      </c>
    </row>
    <row r="46" spans="1:1" x14ac:dyDescent="0.25">
      <c r="A46" s="46" t="s">
        <v>285</v>
      </c>
    </row>
    <row r="47" spans="1:1" x14ac:dyDescent="0.25">
      <c r="A47" s="46" t="s">
        <v>286</v>
      </c>
    </row>
    <row r="48" spans="1:1" x14ac:dyDescent="0.25">
      <c r="A48" s="46" t="s">
        <v>287</v>
      </c>
    </row>
  </sheetData>
  <hyperlinks>
    <hyperlink ref="A1" location="BSInput!A1" tooltip="Hi click here to view the sheet" display="BSInput!A1" xr:uid="{D2EDE062-2FA9-4C13-BE2D-CD2BE70F13C1}"/>
    <hyperlink ref="A2" location="ISMInput!A1" tooltip="Hi click here to view the sheet" display="ISMInput!A1" xr:uid="{3918FA0F-C631-4A3E-8DA5-77F2743AF438}"/>
    <hyperlink ref="A4" location="Income_Statement!A1" tooltip="Hi click here to view the sheet" display="Income_Statement!A1" xr:uid="{C85E93A8-BB34-4ED8-81AD-5979D6C1DC96}"/>
    <hyperlink ref="A5" location="Balance_Sheet!A1" tooltip="Hi click here to view the sheet" display="Balance_Sheet!A1" xr:uid="{7B80481D-B7E9-4F8A-B3BE-B76B6E121144}"/>
    <hyperlink ref="A6" location="CashFlow_Statement!A1" tooltip="Hi click here to view the sheet" display="CashFlow_Statement!A1" xr:uid="{6DCF4D05-BC41-46B5-93D7-DB0857BF7083}"/>
    <hyperlink ref="A7" location="Ratios!A1" tooltip="Hi click here to view the sheet" display="Ratios!A1" xr:uid="{02FE9EB2-FD11-4E4B-B734-BC107FE67F6A}"/>
    <hyperlink ref="A8" location="Earning__Per_Share!A1" tooltip="Hi click here to view the sheet" display="Earning__Per_Share!A1" xr:uid="{565B5536-A8CA-4DD4-B77D-2EE283AD271C}"/>
    <hyperlink ref="A9" location="Equity_Dividend_Per_Share!A1" tooltip="Hi click here to view the sheet" display="Equity_Dividend_Per_Share!A1" xr:uid="{741A1949-F549-410E-85D4-3E2479F295D9}"/>
    <hyperlink ref="A10" location="Book_Value__Per_Share!A1" tooltip="Hi click here to view the sheet" display="Book_Value__Per_Share!A1" xr:uid="{9D43B07F-A7B6-4335-A52E-D9B2102CC17A}"/>
    <hyperlink ref="A11" location="Dividend_Pay_Out_Ratio!A1" tooltip="Hi click here to view the sheet" display="Dividend_Pay_Out_Ratio!A1" xr:uid="{F1128265-3D52-4578-AA95-66616A9FDAF5}"/>
    <hyperlink ref="A12" location="Dividend_Retention_Ratio!A1" tooltip="Hi click here to view the sheet" display="Dividend_Retention_Ratio!A1" xr:uid="{FC35E052-37D3-4866-B4E7-59A9D321E584}"/>
    <hyperlink ref="A13" location="Gross_Profit!A1" tooltip="Hi click here to view the sheet" display="Gross_Profit!A1" xr:uid="{33AEABBF-7275-45D0-8E7D-A8556F7DD299}"/>
    <hyperlink ref="A14" location="Net_Profit!A1" tooltip="Hi click here to view the sheet" display="Net_Profit!A1" xr:uid="{97CB7E58-95BF-4A55-95AD-71E63769324B}"/>
    <hyperlink ref="A15" location="Return_On_Assets!A1" tooltip="Hi click here to view the sheet" display="Return_On_Assets!A1" xr:uid="{81DA7686-526D-4B94-B6EB-2DC9AB694077}"/>
    <hyperlink ref="A16" location="Return_On_Capital_Employeed!A1" tooltip="Hi click here to view the sheet" display="Return_On_Capital_Employeed!A1" xr:uid="{B80D8ACD-1A28-4161-B3AF-E003AEFA6784}"/>
    <hyperlink ref="A17" location="Return_On_Equity!A1" tooltip="Hi click here to view the sheet" display="Return_On_Equity!A1" xr:uid="{B225F3F0-6D6B-4006-A488-40EFC0723276}"/>
    <hyperlink ref="A18" location="Debt_Equity_Ratio!A1" tooltip="Hi click here to view the sheet" display="Debt_Equity_Ratio!A1" xr:uid="{6C5F41AE-59E0-4112-811F-F389BF259FBF}"/>
    <hyperlink ref="A19" location="Current_Ratio!A1" tooltip="Hi click here to view the sheet" display="Current_Ratio!A1" xr:uid="{785025DB-3721-4E09-9701-75FAD4368660}"/>
    <hyperlink ref="A20" location="Quick_Ratio!A1" tooltip="Hi click here to view the sheet" display="Quick_Ratio!A1" xr:uid="{B5D114F0-887A-4F7B-B736-2D45213A7A85}"/>
    <hyperlink ref="A21" location="Interest_Coverage_Ratio!A1" tooltip="Hi click here to view the sheet" display="Interest_Coverage_Ratio!A1" xr:uid="{F0E66E4C-BB1F-4806-98EC-6816E33DEA89}"/>
    <hyperlink ref="A22" location="Material_Consumed!A1" tooltip="Hi click here to view the sheet" display="Material_Consumed!A1" xr:uid="{BC0E613F-1A88-4F45-956C-83A7CDD55FE7}"/>
    <hyperlink ref="A23" location="Defensive_Interval_Ratio!A1" tooltip="Hi click here to view the sheet" display="Defensive_Interval_Ratio!A1" xr:uid="{0706E174-CAE3-4EAA-A61E-FBE29E9F02A0}"/>
    <hyperlink ref="A24" location="Purchases_Per_Day!A1" tooltip="Hi click here to view the sheet" display="Purchases_Per_Day!A1" xr:uid="{9BF178BF-746F-44E5-827B-2DCD61124101}"/>
    <hyperlink ref="A25" location="Asset_TurnOver_Ratio!A1" tooltip="Hi click here to view the sheet" display="Asset_TurnOver_Ratio!A1" xr:uid="{355AAEB7-D29B-4A35-A403-3268E622D826}"/>
    <hyperlink ref="A26" location="Inventory_TurnOver_Ratio!A1" tooltip="Hi click here to view the sheet" display="Inventory_TurnOver_Ratio!A1" xr:uid="{F81B1C5D-60FC-4C79-A487-0067CA855A1A}"/>
    <hyperlink ref="A27" location="Debtors_TurnOver_Ratio!A1" tooltip="Hi click here to view the sheet" display="Debtors_TurnOver_Ratio!A1" xr:uid="{41FCE387-44BF-4034-B839-4388B17B1CD0}"/>
    <hyperlink ref="A28" location="Fixed_Assets_TurnOver_Ratio!A1" tooltip="Hi click here to view the sheet" display="Fixed_Assets_TurnOver_Ratio!A1" xr:uid="{4F852A51-21D7-4463-9176-EC18A3A83261}"/>
    <hyperlink ref="A29" location="Payable_TurnOver_Ratio!A1" tooltip="Hi click here to view the sheet" display="Payable_TurnOver_Ratio!A1" xr:uid="{5EA56C3C-1685-4523-A045-2E0A78D46CC5}"/>
    <hyperlink ref="A30" location="Inventory_Days!A1" tooltip="Hi click here to view the sheet" display="Inventory_Days!A1" xr:uid="{ADE265DC-9302-4EA6-B3D1-03FC57DF8A44}"/>
    <hyperlink ref="A31" location="Payable_Days!A1" tooltip="Hi click here to view the sheet" display="Payable_Days!A1" xr:uid="{3B0B5A15-08F0-4866-9DD1-E3D55E5885C8}"/>
    <hyperlink ref="A32" location="Receivable_Days!A1" tooltip="Hi click here to view the sheet" display="Receivable_Days!A1" xr:uid="{F12219AA-824C-4800-84DA-8A08FA015C40}"/>
    <hyperlink ref="A33" location="Operating_Cycle!A1" tooltip="Hi click here to view the sheet" display="Operating_Cycle!A1" xr:uid="{736EE4EA-93A6-4A17-B348-4E9290D4DD13}"/>
    <hyperlink ref="A34" location="Cash_Conversion_Cycle_Days!A1" tooltip="Hi click here to view the sheet" display="Cash_Conversion_Cycle_Days!A1" xr:uid="{ACE42F65-D00A-439D-B232-9FA438373632}"/>
    <hyperlink ref="A35" location="NetWorthVsTotalLiabilties!A1" tooltip="Hi click here to view the sheet" display="NetWorthVsTotalLiabilties!A1" xr:uid="{B30244DD-D8E9-49C9-B1F5-535C7EBFC58E}"/>
    <hyperlink ref="A36" location="PBDITvsPBIT!A1" tooltip="Hi click here to view the sheet" display="PBDITvsPBIT!A1" xr:uid="{D2FA7C21-5C3D-415A-B95D-A2BA6002DAB2}"/>
    <hyperlink ref="A37" location="CAvsCL!A1" tooltip="Hi click here to view the sheet" display="CAvsCL!A1" xr:uid="{B8C48CD5-EF72-4281-B6E6-9E2612F73B99}"/>
    <hyperlink ref="A38" location="Long_And_Short_Term_Provisions!A1" tooltip="Hi click here to view the sheet" display="Long_And_Short_Term_Provisions!A1" xr:uid="{E0A52864-1B2A-4CDB-B476-B3E137D0F06B}"/>
    <hyperlink ref="A39" location="MaterialConsumed_DirectExpenses!A1" tooltip="Hi click here to view the sheet" display="MaterialConsumed_DirectExpenses!A1" xr:uid="{DB9FB266-26BF-4C67-801A-46744F9E25CB}"/>
    <hyperlink ref="A40" location="Gross_Sales_In_Total_Income!A1" tooltip="Hi click here to view the sheet" display="Gross_Sales_In_Total_Income!A1" xr:uid="{0074CD3B-DC89-49F0-BA14-2184287A305F}"/>
    <hyperlink ref="A41" location="Total_Debt_In_Liabilities!A1" tooltip="Hi click here to view the sheet" display="Total_Debt_In_Liabilities!A1" xr:uid="{08BE7112-68BF-41C2-AC19-6A2A49434F2D}"/>
    <hyperlink ref="A42" location="Total_CL_In_Liabilities!A1" tooltip="Hi click here to view the sheet" display="Total_CL_In_Liabilities!A1" xr:uid="{9E4F7F4B-A5A7-451B-9A80-F02996540A1E}"/>
    <hyperlink ref="A43" location="Total_NCA_In_Assets!A1" tooltip="Hi click here to view the sheet" display="Total_NCA_In_Assets!A1" xr:uid="{3165BBE9-31A7-4055-AF2C-8A47BD400893}"/>
    <hyperlink ref="A44" location="Total_CA_In_Assets!A1" tooltip="Hi click here to view the sheet" display="Total_CA_In_Assets!A1" xr:uid="{64EDC559-1E38-4DD5-BD64-B146DE4DA37C}"/>
    <hyperlink ref="A45" location="TotalExpenditureVsTotalIncome!A1" tooltip="Hi click here to view the sheet" display="TotalExpenditureVsTotalIncome!A1" xr:uid="{84DBFF6F-632C-43A0-B78F-13D3C7E03BBD}"/>
    <hyperlink ref="A46" location="Net_Profit_CF_To_Balance_Sheet!A1" tooltip="Hi click here to view the sheet" display="Net_Profit_CF_To_Balance_Sheet!A1" xr:uid="{D78EA9A9-F168-40F4-9901-FA944CD72069}"/>
    <hyperlink ref="A47" location="BS_Backup!A1" tooltip="Hi click here to view the sheet" display="BS_Backup!A1" xr:uid="{51886ED9-6A25-4D12-A475-26B9A4875AA3}"/>
    <hyperlink ref="A48" location="ISM_Backup!A1" tooltip="Hi click here to view the sheet" display="ISM_Backup!A1" xr:uid="{F2A35176-A183-43C3-9525-3898AC009F85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FE93F-A7A9-47CA-9827-7A5782F03FD0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191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Balance_Sheet!B66</f>
        <v>Inventories</v>
      </c>
      <c r="C7" s="13">
        <f>Balance_Sheet!C66</f>
        <v>6140.29</v>
      </c>
      <c r="D7" s="13">
        <f>Balance_Sheet!D66</f>
        <v>8251.6200000000008</v>
      </c>
      <c r="E7" s="13">
        <f>Balance_Sheet!E66</f>
        <v>11138.54</v>
      </c>
      <c r="F7" s="13">
        <f>Balance_Sheet!F66</f>
        <v>9809.6</v>
      </c>
      <c r="G7" s="13">
        <f>Balance_Sheet!G66</f>
        <v>10139.290000000001</v>
      </c>
    </row>
    <row r="8" spans="2:15" ht="18.75" x14ac:dyDescent="0.25">
      <c r="B8" s="14" t="s">
        <v>192</v>
      </c>
      <c r="C8" s="14">
        <f>ROUND(365/C6*C7, 2)</f>
        <v>26.02</v>
      </c>
      <c r="D8" s="14">
        <f t="shared" ref="D8:G8" si="0">ROUND(365/D6*D7, 2)</f>
        <v>30.23</v>
      </c>
      <c r="E8" s="14">
        <f t="shared" si="0"/>
        <v>37.270000000000003</v>
      </c>
      <c r="F8" s="14">
        <f t="shared" si="0"/>
        <v>32.18</v>
      </c>
      <c r="G8" s="14">
        <f t="shared" si="0"/>
        <v>27.9</v>
      </c>
    </row>
  </sheetData>
  <mergeCells count="1">
    <mergeCell ref="B5:G5"/>
  </mergeCells>
  <hyperlinks>
    <hyperlink ref="F1" location="Index_Data!A1" tooltip="Hi click here To return Index page" display="Index_Data!A1" xr:uid="{B7B7B2EB-DEAA-46AA-8E65-B6DA3992F3CC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9A7FB-7E57-4729-A3DD-CACC40E6DE05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193</v>
      </c>
      <c r="C5" s="43"/>
      <c r="D5" s="43"/>
      <c r="E5" s="43"/>
      <c r="F5" s="43"/>
      <c r="G5" s="43"/>
    </row>
    <row r="6" spans="2:15" ht="18.75" x14ac:dyDescent="0.25">
      <c r="B6" s="12" t="str">
        <f>Income_Statement!B17</f>
        <v>Cost Of Materials Consumed</v>
      </c>
      <c r="C6" s="13">
        <f>Income_Statement!C17</f>
        <v>0</v>
      </c>
      <c r="D6" s="13">
        <f>Income_Statement!D17</f>
        <v>0</v>
      </c>
      <c r="E6" s="13">
        <f>Income_Statement!E17</f>
        <v>0</v>
      </c>
      <c r="F6" s="13">
        <f>Income_Statement!F17</f>
        <v>0</v>
      </c>
      <c r="G6" s="13">
        <f>Income_Statement!G17</f>
        <v>0</v>
      </c>
    </row>
    <row r="7" spans="2:15" ht="18.75" x14ac:dyDescent="0.25">
      <c r="B7" s="12" t="str">
        <f>Balance_Sheet!B33</f>
        <v>Total Current Liabilities</v>
      </c>
      <c r="C7" s="13">
        <f>Balance_Sheet!C33</f>
        <v>43992.61</v>
      </c>
      <c r="D7" s="13">
        <f>Balance_Sheet!D33</f>
        <v>64036.08</v>
      </c>
      <c r="E7" s="13">
        <f>Balance_Sheet!E33</f>
        <v>55037.42</v>
      </c>
      <c r="F7" s="13">
        <f>Balance_Sheet!F33</f>
        <v>62579.68</v>
      </c>
      <c r="G7" s="13">
        <f>Balance_Sheet!G33</f>
        <v>56875.65</v>
      </c>
    </row>
    <row r="8" spans="2:15" ht="18.75" x14ac:dyDescent="0.25">
      <c r="B8" s="14" t="s">
        <v>194</v>
      </c>
      <c r="C8" s="14" t="e">
        <f>ROUND(365/C6*C7, 2)</f>
        <v>#DIV/0!</v>
      </c>
      <c r="D8" s="14" t="e">
        <f t="shared" ref="D8:G8" si="0">ROUND(365/D6*D7,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hyperlinks>
    <hyperlink ref="F1" location="Index_Data!A1" tooltip="Hi click here To return Index page" display="Index_Data!A1" xr:uid="{1A828120-BCFE-4F80-BB2A-829D8F8B23D0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B773C-E482-4A0D-AB9C-E99256D5D226}"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195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Balance_Sheet!B68</f>
        <v>Trade Receivables</v>
      </c>
      <c r="C7" s="13">
        <f>Balance_Sheet!C68</f>
        <v>8812.19</v>
      </c>
      <c r="D7" s="13">
        <f>Balance_Sheet!D68</f>
        <v>12363.52</v>
      </c>
      <c r="E7" s="13">
        <f>Balance_Sheet!E68</f>
        <v>20314.59</v>
      </c>
      <c r="F7" s="13">
        <f>Balance_Sheet!F68</f>
        <v>17718.07</v>
      </c>
      <c r="G7" s="13">
        <f>Balance_Sheet!G68</f>
        <v>27342.080000000002</v>
      </c>
    </row>
    <row r="8" spans="2:15" ht="18.75" x14ac:dyDescent="0.25">
      <c r="B8" s="14" t="s">
        <v>196</v>
      </c>
      <c r="C8" s="14">
        <f>ROUND(365/C6*C7, 2)</f>
        <v>37.35</v>
      </c>
      <c r="D8" s="14">
        <f t="shared" ref="D8:G8" si="0">ROUND(365/D6*D7, 2)</f>
        <v>45.3</v>
      </c>
      <c r="E8" s="14">
        <f t="shared" si="0"/>
        <v>67.98</v>
      </c>
      <c r="F8" s="14">
        <f t="shared" si="0"/>
        <v>58.12</v>
      </c>
      <c r="G8" s="14">
        <f t="shared" si="0"/>
        <v>75.22</v>
      </c>
    </row>
  </sheetData>
  <mergeCells count="1">
    <mergeCell ref="B5:G5"/>
  </mergeCells>
  <hyperlinks>
    <hyperlink ref="F1" location="Index_Data!A1" tooltip="Hi click here To return Index page" display="Index_Data!A1" xr:uid="{6151C968-E084-4E7B-BD5B-52B98761C5A2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CED8A-1DBB-4F38-AF6D-66DE400D5DCB}"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197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Balance_Sheet!B66</f>
        <v>Inventories</v>
      </c>
      <c r="C7" s="13">
        <f>Balance_Sheet!C66</f>
        <v>6140.29</v>
      </c>
      <c r="D7" s="13">
        <f>Balance_Sheet!D66</f>
        <v>8251.6200000000008</v>
      </c>
      <c r="E7" s="13">
        <f>Balance_Sheet!E66</f>
        <v>11138.54</v>
      </c>
      <c r="F7" s="13">
        <f>Balance_Sheet!F66</f>
        <v>9809.6</v>
      </c>
      <c r="G7" s="13">
        <f>Balance_Sheet!G66</f>
        <v>10139.290000000001</v>
      </c>
    </row>
    <row r="8" spans="2:15" ht="18.75" x14ac:dyDescent="0.25">
      <c r="B8" s="12" t="s">
        <v>192</v>
      </c>
      <c r="C8" s="13">
        <f>ROUND(365/C6*C7, 2)</f>
        <v>26.02</v>
      </c>
      <c r="D8" s="13">
        <f t="shared" ref="D8:G8" si="0">ROUND(365/D6*D7, 2)</f>
        <v>30.23</v>
      </c>
      <c r="E8" s="13">
        <f t="shared" si="0"/>
        <v>37.270000000000003</v>
      </c>
      <c r="F8" s="13">
        <f t="shared" si="0"/>
        <v>32.18</v>
      </c>
      <c r="G8" s="13">
        <f t="shared" si="0"/>
        <v>27.9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0</v>
      </c>
      <c r="D9" s="13">
        <f>Income_Statement!D17</f>
        <v>0</v>
      </c>
      <c r="E9" s="13">
        <f>Income_Statement!E17</f>
        <v>0</v>
      </c>
      <c r="F9" s="13">
        <f>Income_Statement!F17</f>
        <v>0</v>
      </c>
      <c r="G9" s="13">
        <f>Income_Statement!G17</f>
        <v>0</v>
      </c>
    </row>
    <row r="10" spans="2:15" ht="18.75" x14ac:dyDescent="0.25">
      <c r="B10" s="12" t="str">
        <f>Balance_Sheet!B33</f>
        <v>Total Current Liabilities</v>
      </c>
      <c r="C10" s="13">
        <f>Balance_Sheet!C33</f>
        <v>43992.61</v>
      </c>
      <c r="D10" s="13">
        <f>Balance_Sheet!D33</f>
        <v>64036.08</v>
      </c>
      <c r="E10" s="13">
        <f>Balance_Sheet!E33</f>
        <v>55037.42</v>
      </c>
      <c r="F10" s="13">
        <f>Balance_Sheet!F33</f>
        <v>62579.68</v>
      </c>
      <c r="G10" s="13">
        <f>Balance_Sheet!G33</f>
        <v>56875.65</v>
      </c>
    </row>
    <row r="11" spans="2:15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15" ht="18.75" x14ac:dyDescent="0.25">
      <c r="B12" s="14" t="s">
        <v>198</v>
      </c>
      <c r="C12" s="16" t="e">
        <f>ROUND(C11+C8, 2)</f>
        <v>#DIV/0!</v>
      </c>
      <c r="D12" s="16" t="e">
        <f t="shared" ref="D12:G12" si="2">ROUND(D11+D8, 2)</f>
        <v>#DIV/0!</v>
      </c>
      <c r="E12" s="16" t="e">
        <f t="shared" si="2"/>
        <v>#DIV/0!</v>
      </c>
      <c r="F12" s="16" t="e">
        <f t="shared" si="2"/>
        <v>#DIV/0!</v>
      </c>
      <c r="G12" s="16" t="e">
        <f t="shared" si="2"/>
        <v>#DIV/0!</v>
      </c>
    </row>
  </sheetData>
  <mergeCells count="1">
    <mergeCell ref="B5:G5"/>
  </mergeCells>
  <hyperlinks>
    <hyperlink ref="F1" location="Index_Data!A1" tooltip="Hi click here To return Index page" display="Index_Data!A1" xr:uid="{3F87B2B0-63E2-439B-8B62-518068C10155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FA8F6-9C07-4093-9AB4-61E6A160E5E6}"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199</v>
      </c>
      <c r="C5" s="43"/>
      <c r="D5" s="43"/>
      <c r="E5" s="43"/>
      <c r="F5" s="43"/>
      <c r="G5" s="43"/>
    </row>
    <row r="6" spans="2:15" ht="18.75" x14ac:dyDescent="0.25">
      <c r="B6" s="12" t="str">
        <f>Income_Statement!B5</f>
        <v>Gross Sales</v>
      </c>
      <c r="C6" s="13">
        <f>Income_Statement!C5</f>
        <v>86118.25</v>
      </c>
      <c r="D6" s="13">
        <f>Income_Statement!D5</f>
        <v>99615</v>
      </c>
      <c r="E6" s="13">
        <f>Income_Statement!E5</f>
        <v>109078.63</v>
      </c>
      <c r="F6" s="13">
        <f>Income_Statement!F5</f>
        <v>111267.88</v>
      </c>
      <c r="G6" s="13">
        <f>Income_Statement!G5</f>
        <v>132669.28</v>
      </c>
    </row>
    <row r="7" spans="2:15" ht="18.75" x14ac:dyDescent="0.25">
      <c r="B7" s="12" t="str">
        <f>Balance_Sheet!B66</f>
        <v>Inventories</v>
      </c>
      <c r="C7" s="13">
        <f>Balance_Sheet!C66</f>
        <v>6140.29</v>
      </c>
      <c r="D7" s="13">
        <f>Balance_Sheet!D66</f>
        <v>8251.6200000000008</v>
      </c>
      <c r="E7" s="13">
        <f>Balance_Sheet!E66</f>
        <v>11138.54</v>
      </c>
      <c r="F7" s="13">
        <f>Balance_Sheet!F66</f>
        <v>9809.6</v>
      </c>
      <c r="G7" s="13">
        <f>Balance_Sheet!G66</f>
        <v>10139.290000000001</v>
      </c>
    </row>
    <row r="8" spans="2:15" ht="18.75" x14ac:dyDescent="0.25">
      <c r="B8" s="12" t="s">
        <v>192</v>
      </c>
      <c r="C8" s="13">
        <f>ROUND(365/C6*C7, 2)</f>
        <v>26.02</v>
      </c>
      <c r="D8" s="13">
        <f t="shared" ref="D8:G8" si="0">ROUND(365/D6*D7, 2)</f>
        <v>30.23</v>
      </c>
      <c r="E8" s="13">
        <f t="shared" si="0"/>
        <v>37.270000000000003</v>
      </c>
      <c r="F8" s="13">
        <f t="shared" si="0"/>
        <v>32.18</v>
      </c>
      <c r="G8" s="13">
        <f t="shared" si="0"/>
        <v>27.9</v>
      </c>
    </row>
    <row r="9" spans="2:15" ht="18.75" x14ac:dyDescent="0.25">
      <c r="B9" s="12" t="str">
        <f>Income_Statement!B17</f>
        <v>Cost Of Materials Consumed</v>
      </c>
      <c r="C9" s="13">
        <f>Income_Statement!C17</f>
        <v>0</v>
      </c>
      <c r="D9" s="13">
        <f>Income_Statement!D17</f>
        <v>0</v>
      </c>
      <c r="E9" s="13">
        <f>Income_Statement!E17</f>
        <v>0</v>
      </c>
      <c r="F9" s="13">
        <f>Income_Statement!F17</f>
        <v>0</v>
      </c>
      <c r="G9" s="13">
        <f>Income_Statement!G17</f>
        <v>0</v>
      </c>
    </row>
    <row r="10" spans="2:15" ht="18.75" x14ac:dyDescent="0.25">
      <c r="B10" s="12" t="str">
        <f>Balance_Sheet!B33</f>
        <v>Total Current Liabilities</v>
      </c>
      <c r="C10" s="13">
        <f>Balance_Sheet!C33</f>
        <v>43992.61</v>
      </c>
      <c r="D10" s="13">
        <f>Balance_Sheet!D33</f>
        <v>64036.08</v>
      </c>
      <c r="E10" s="13">
        <f>Balance_Sheet!E33</f>
        <v>55037.42</v>
      </c>
      <c r="F10" s="13">
        <f>Balance_Sheet!F33</f>
        <v>62579.68</v>
      </c>
      <c r="G10" s="13">
        <f>Balance_Sheet!G33</f>
        <v>56875.65</v>
      </c>
    </row>
    <row r="11" spans="2:15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15" ht="18.75" x14ac:dyDescent="0.25">
      <c r="B12" s="12" t="s">
        <v>200</v>
      </c>
      <c r="C12" s="13" t="e">
        <f>ROUND(C11+C8, 2)</f>
        <v>#DIV/0!</v>
      </c>
      <c r="D12" s="13" t="e">
        <f t="shared" ref="D12:G12" si="2">ROUND(D11+D8, 2)</f>
        <v>#DIV/0!</v>
      </c>
      <c r="E12" s="13" t="e">
        <f t="shared" si="2"/>
        <v>#DIV/0!</v>
      </c>
      <c r="F12" s="13" t="e">
        <f t="shared" si="2"/>
        <v>#DIV/0!</v>
      </c>
      <c r="G12" s="13" t="e">
        <f t="shared" si="2"/>
        <v>#DIV/0!</v>
      </c>
    </row>
    <row r="13" spans="2:15" ht="18.75" x14ac:dyDescent="0.25">
      <c r="B13" s="12" t="str">
        <f>Income_Statement!B17</f>
        <v>Cost Of Materials Consumed</v>
      </c>
      <c r="C13" s="13">
        <f>Income_Statement!C17</f>
        <v>0</v>
      </c>
      <c r="D13" s="13">
        <f>Income_Statement!D17</f>
        <v>0</v>
      </c>
      <c r="E13" s="13">
        <f>Income_Statement!E17</f>
        <v>0</v>
      </c>
      <c r="F13" s="13">
        <f>Income_Statement!F17</f>
        <v>0</v>
      </c>
      <c r="G13" s="13">
        <f>Income_Statement!G17</f>
        <v>0</v>
      </c>
    </row>
    <row r="14" spans="2:15" ht="18.75" x14ac:dyDescent="0.25">
      <c r="B14" s="12" t="str">
        <f>Balance_Sheet!B33</f>
        <v>Total Current Liabilities</v>
      </c>
      <c r="C14" s="13">
        <f>Balance_Sheet!C33</f>
        <v>43992.61</v>
      </c>
      <c r="D14" s="13">
        <f>Balance_Sheet!D33</f>
        <v>64036.08</v>
      </c>
      <c r="E14" s="13">
        <f>Balance_Sheet!E33</f>
        <v>55037.42</v>
      </c>
      <c r="F14" s="13">
        <f>Balance_Sheet!F33</f>
        <v>62579.68</v>
      </c>
      <c r="G14" s="13">
        <f>Balance_Sheet!G33</f>
        <v>56875.65</v>
      </c>
    </row>
    <row r="15" spans="2:15" ht="18.75" x14ac:dyDescent="0.25">
      <c r="B15" s="12" t="s">
        <v>194</v>
      </c>
      <c r="C15" s="13" t="e">
        <f>ROUND(365/C13*C14, 2)</f>
        <v>#DIV/0!</v>
      </c>
      <c r="D15" s="13" t="e">
        <f t="shared" ref="D15:G15" si="3">ROUND(365/D13*D14, 2)</f>
        <v>#DIV/0!</v>
      </c>
      <c r="E15" s="13" t="e">
        <f t="shared" si="3"/>
        <v>#DIV/0!</v>
      </c>
      <c r="F15" s="13" t="e">
        <f t="shared" si="3"/>
        <v>#DIV/0!</v>
      </c>
      <c r="G15" s="13" t="e">
        <f t="shared" si="3"/>
        <v>#DIV/0!</v>
      </c>
    </row>
    <row r="16" spans="2:15" ht="18.75" x14ac:dyDescent="0.25">
      <c r="B16" s="14" t="s">
        <v>201</v>
      </c>
      <c r="C16" s="16" t="e">
        <f>ROUND(C15-C12, 2)</f>
        <v>#DIV/0!</v>
      </c>
      <c r="D16" s="16" t="e">
        <f t="shared" ref="D16:G16" si="4">ROUND(D15-D12, 2)</f>
        <v>#DIV/0!</v>
      </c>
      <c r="E16" s="16" t="e">
        <f t="shared" si="4"/>
        <v>#DIV/0!</v>
      </c>
      <c r="F16" s="16" t="e">
        <f t="shared" si="4"/>
        <v>#DIV/0!</v>
      </c>
      <c r="G16" s="16" t="e">
        <f t="shared" si="4"/>
        <v>#DIV/0!</v>
      </c>
    </row>
  </sheetData>
  <mergeCells count="1">
    <mergeCell ref="B5:G5"/>
  </mergeCells>
  <hyperlinks>
    <hyperlink ref="F1" location="Index_Data!A1" tooltip="Hi click here To return Index page" display="Index_Data!A1" xr:uid="{8BE78CAE-3D84-4E03-86A3-2176A3D46DDA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4C8AF-1896-46BA-8027-BF75DBC4A909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Balance_Sheet!B13</f>
        <v>Net Worth</v>
      </c>
      <c r="C5" s="13">
        <f>Balance_Sheet!C13</f>
        <v>103563.47</v>
      </c>
      <c r="D5" s="13">
        <f>Balance_Sheet!D13</f>
        <v>178022.0925519249</v>
      </c>
      <c r="E5" s="13">
        <f>Balance_Sheet!E13</f>
        <v>246037.93921654287</v>
      </c>
      <c r="F5" s="13">
        <f>Balance_Sheet!F13</f>
        <v>313577.77530674246</v>
      </c>
      <c r="G5" s="13">
        <f>Balance_Sheet!G13</f>
        <v>329518.95283174899</v>
      </c>
    </row>
    <row r="6" spans="2:15" ht="18.75" x14ac:dyDescent="0.25">
      <c r="B6" s="12" t="str">
        <f>Balance_Sheet!B37</f>
        <v>Total Liabilities</v>
      </c>
      <c r="C6" s="13">
        <f>Balance_Sheet!C37</f>
        <v>282361.67000000004</v>
      </c>
      <c r="D6" s="13">
        <f>Balance_Sheet!D37</f>
        <v>413327.04255192494</v>
      </c>
      <c r="E6" s="13">
        <f>Balance_Sheet!E37</f>
        <v>505684.2192165429</v>
      </c>
      <c r="F6" s="13">
        <f>Balance_Sheet!F37</f>
        <v>586805.51530674251</v>
      </c>
      <c r="G6" s="13">
        <f>Balance_Sheet!G37</f>
        <v>610661.9428317491</v>
      </c>
    </row>
  </sheetData>
  <hyperlinks>
    <hyperlink ref="F1" location="Index_Data!A1" tooltip="Hi click here To return Index page" display="Index_Data!A1" xr:uid="{659A1039-30BB-4DB0-A22E-769289AA59DA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07456-3985-4A62-9A19-1466AFE2EAF5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Income_Statement!B29</f>
        <v>PBDIT</v>
      </c>
      <c r="C5" s="13">
        <f>Income_Statement!C29</f>
        <v>75330.988094654735</v>
      </c>
      <c r="D5" s="13">
        <f>Income_Statement!D29</f>
        <v>87940.762551924898</v>
      </c>
      <c r="E5" s="13">
        <f>Income_Statement!E29</f>
        <v>96432.306664617994</v>
      </c>
      <c r="F5" s="13">
        <f>Income_Statement!F29</f>
        <v>98875.956090199616</v>
      </c>
      <c r="G5" s="13">
        <f>Income_Statement!G29</f>
        <v>42605.607525006548</v>
      </c>
    </row>
    <row r="6" spans="2:15" ht="18.75" x14ac:dyDescent="0.25">
      <c r="B6" s="12" t="str">
        <f>Income_Statement!B33</f>
        <v>PBIT</v>
      </c>
      <c r="C6" s="13">
        <f>Income_Statement!C33</f>
        <v>67871.058094654727</v>
      </c>
      <c r="D6" s="13">
        <f>Income_Statement!D33</f>
        <v>79271.732551924899</v>
      </c>
      <c r="E6" s="13">
        <f>Income_Statement!E33</f>
        <v>86076.146664617991</v>
      </c>
      <c r="F6" s="13">
        <f>Income_Statement!F33</f>
        <v>86425.646090199618</v>
      </c>
      <c r="G6" s="13">
        <f>Income_Statement!G33</f>
        <v>28817.777525006546</v>
      </c>
    </row>
  </sheetData>
  <hyperlinks>
    <hyperlink ref="F1" location="Index_Data!A1" tooltip="Hi click here To return Index page" display="Index_Data!A1" xr:uid="{CD332D62-F6FD-46AF-BEAC-83F880D1B8DC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6936-1CB1-41F4-B2E4-B1CBDCF96696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Balance_Sheet!B72</f>
        <v>Total Current Assets</v>
      </c>
      <c r="C5" s="13">
        <f>Balance_Sheet!C72</f>
        <v>61854.54</v>
      </c>
      <c r="D5" s="13">
        <f>Balance_Sheet!D72</f>
        <v>144881.0025519249</v>
      </c>
      <c r="E5" s="13">
        <f>Balance_Sheet!E72</f>
        <v>229389.0892165429</v>
      </c>
      <c r="F5" s="13">
        <f>Balance_Sheet!F72</f>
        <v>307042.42530674255</v>
      </c>
      <c r="G5" s="13">
        <f>Balance_Sheet!G72</f>
        <v>329249.75283174904</v>
      </c>
    </row>
    <row r="6" spans="2:15" ht="18.75" x14ac:dyDescent="0.25">
      <c r="B6" s="12" t="str">
        <f>Balance_Sheet!B33</f>
        <v>Total Current Liabilities</v>
      </c>
      <c r="C6" s="13">
        <f>Balance_Sheet!C33</f>
        <v>43992.61</v>
      </c>
      <c r="D6" s="13">
        <f>Balance_Sheet!D33</f>
        <v>64036.08</v>
      </c>
      <c r="E6" s="13">
        <f>Balance_Sheet!E33</f>
        <v>55037.42</v>
      </c>
      <c r="F6" s="13">
        <f>Balance_Sheet!F33</f>
        <v>62579.68</v>
      </c>
      <c r="G6" s="13">
        <f>Balance_Sheet!G33</f>
        <v>56875.65</v>
      </c>
    </row>
  </sheetData>
  <hyperlinks>
    <hyperlink ref="F1" location="Index_Data!A1" tooltip="Hi click here To return Index page" display="Index_Data!A1" xr:uid="{3808FD47-A5BC-4F2F-BA5E-EBB80A1D2E26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67857-313E-4719-852D-D6FB2CF7E591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Balance_Sheet!B23</f>
        <v>Long Term Provisions</v>
      </c>
      <c r="C5" s="13">
        <f>Balance_Sheet!C23</f>
        <v>480.9</v>
      </c>
      <c r="D5" s="13">
        <f>Balance_Sheet!D23</f>
        <v>1141.73</v>
      </c>
      <c r="E5" s="13">
        <f>Balance_Sheet!E23</f>
        <v>1085.02</v>
      </c>
      <c r="F5" s="13">
        <f>Balance_Sheet!F23</f>
        <v>1042.3900000000001</v>
      </c>
      <c r="G5" s="13">
        <f>Balance_Sheet!G23</f>
        <v>1655.19</v>
      </c>
    </row>
    <row r="6" spans="2:15" ht="18.75" x14ac:dyDescent="0.25">
      <c r="B6" s="12" t="str">
        <f>Balance_Sheet!B25</f>
        <v>Short Term Provisions</v>
      </c>
      <c r="C6" s="13">
        <f>Balance_Sheet!C25</f>
        <v>8251.7800000000007</v>
      </c>
      <c r="D6" s="13">
        <f>Balance_Sheet!D25</f>
        <v>7308.41</v>
      </c>
      <c r="E6" s="13">
        <f>Balance_Sheet!E25</f>
        <v>7372.06</v>
      </c>
      <c r="F6" s="13">
        <f>Balance_Sheet!F25</f>
        <v>8113.6</v>
      </c>
      <c r="G6" s="13">
        <f>Balance_Sheet!G25</f>
        <v>7875.69</v>
      </c>
    </row>
  </sheetData>
  <hyperlinks>
    <hyperlink ref="F1" location="Index_Data!A1" tooltip="Hi click here To return Index page" display="Index_Data!A1" xr:uid="{BA6F7344-A2F9-48FB-B5F9-177F7FD778FF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47997-B3EA-4A31-9153-E0CCCF9AA56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8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Income_Statement!B17</f>
        <v>Cost Of Materials Consumed</v>
      </c>
      <c r="C5" s="13">
        <f>Income_Statement!C17</f>
        <v>0</v>
      </c>
      <c r="D5" s="13">
        <f>Income_Statement!D17</f>
        <v>0</v>
      </c>
      <c r="E5" s="13">
        <f>Income_Statement!E17</f>
        <v>0</v>
      </c>
      <c r="F5" s="13">
        <f>Income_Statement!F17</f>
        <v>0</v>
      </c>
      <c r="G5" s="13">
        <f>Income_Statement!G17</f>
        <v>0</v>
      </c>
    </row>
    <row r="6" spans="2:15" ht="18.75" x14ac:dyDescent="0.25">
      <c r="B6" s="12" t="str">
        <f>Income_Statement!B19</f>
        <v>Operating And Direct Expenses</v>
      </c>
      <c r="C6" s="13">
        <f>Income_Statement!C19</f>
        <v>0</v>
      </c>
      <c r="D6" s="13">
        <f>Income_Statement!D19</f>
        <v>0</v>
      </c>
      <c r="E6" s="13">
        <f>Income_Statement!E19</f>
        <v>0</v>
      </c>
      <c r="F6" s="13">
        <f>Income_Statement!F19</f>
        <v>0</v>
      </c>
      <c r="G6" s="13">
        <f>Income_Statement!G19</f>
        <v>0</v>
      </c>
    </row>
  </sheetData>
  <hyperlinks>
    <hyperlink ref="F1" location="Index_Data!A1" tooltip="Hi click here To return Index page" display="Index_Data!A1" xr:uid="{A1B00627-3820-42EE-AC62-162C76A2041E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34281-91E0-4950-8F0B-B85D5F1CFF6B}">
  <dimension ref="B1:O65"/>
  <sheetViews>
    <sheetView showGridLines="0" topLeftCell="A49" workbookViewId="0">
      <selection activeCell="H61" sqref="H61:L61"/>
    </sheetView>
  </sheetViews>
  <sheetFormatPr defaultRowHeight="15" x14ac:dyDescent="0.25"/>
  <cols>
    <col min="2" max="2" width="61.85546875" bestFit="1" customWidth="1"/>
    <col min="3" max="6" width="18.85546875" bestFit="1" customWidth="1"/>
    <col min="7" max="7" width="17.140625" bestFit="1" customWidth="1"/>
    <col min="8" max="8" width="18.85546875" bestFit="1" customWidth="1"/>
    <col min="9" max="10" width="17.140625" bestFit="1" customWidth="1"/>
    <col min="11" max="12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97</v>
      </c>
      <c r="C5" s="5">
        <v>86118.25</v>
      </c>
      <c r="D5" s="5">
        <v>99615</v>
      </c>
      <c r="E5" s="5">
        <v>109078.63</v>
      </c>
      <c r="F5" s="5">
        <v>111267.88</v>
      </c>
      <c r="G5" s="5">
        <v>132669.28</v>
      </c>
      <c r="H5" s="24">
        <f>GROWTH(C5:G5,C4:G4,H4)</f>
        <v>142915.25452973536</v>
      </c>
      <c r="I5" s="24">
        <f t="shared" ref="I5:L5" si="0">GROWTH(D5:H5,D4:H4,I4)</f>
        <v>155459.81813432052</v>
      </c>
      <c r="J5" s="24">
        <f t="shared" si="0"/>
        <v>172050.14423134411</v>
      </c>
      <c r="K5" s="24">
        <f t="shared" si="0"/>
        <v>192541.2847208418</v>
      </c>
      <c r="L5" s="24">
        <f t="shared" si="0"/>
        <v>208523.13048434258</v>
      </c>
    </row>
    <row r="6" spans="2:15" x14ac:dyDescent="0.25">
      <c r="B6" s="17" t="s">
        <v>238</v>
      </c>
      <c r="C6" s="18">
        <f>C5/Income_Statement!C5</f>
        <v>1</v>
      </c>
      <c r="D6" s="18">
        <f>D5/Income_Statement!D5</f>
        <v>1</v>
      </c>
      <c r="E6" s="18">
        <f>E5/Income_Statement!E5</f>
        <v>1</v>
      </c>
      <c r="F6" s="18">
        <f>F5/Income_Statement!F5</f>
        <v>1</v>
      </c>
      <c r="G6" s="18">
        <f>G5/Income_Statement!G5</f>
        <v>1</v>
      </c>
      <c r="H6" s="25">
        <f>H5/Income_Statement!H5</f>
        <v>1</v>
      </c>
      <c r="I6" s="25">
        <f>I5/Income_Statement!I5</f>
        <v>1</v>
      </c>
      <c r="J6" s="25">
        <f>J5/Income_Statement!J5</f>
        <v>1</v>
      </c>
      <c r="K6" s="25">
        <f>K5/Income_Statement!K5</f>
        <v>1</v>
      </c>
      <c r="L6" s="25">
        <f>L5/Income_Statement!L5</f>
        <v>1</v>
      </c>
    </row>
    <row r="7" spans="2:15" ht="18.75" x14ac:dyDescent="0.25">
      <c r="B7" s="8" t="s">
        <v>98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26">
        <f>H5*H8</f>
        <v>0</v>
      </c>
      <c r="I7" s="26">
        <f t="shared" ref="I7:L7" si="1">I5*I8</f>
        <v>0</v>
      </c>
      <c r="J7" s="26">
        <f t="shared" si="1"/>
        <v>0</v>
      </c>
      <c r="K7" s="26">
        <f t="shared" si="1"/>
        <v>0</v>
      </c>
      <c r="L7" s="26">
        <f t="shared" si="1"/>
        <v>0</v>
      </c>
    </row>
    <row r="8" spans="2:15" x14ac:dyDescent="0.25">
      <c r="B8" s="17" t="s">
        <v>239</v>
      </c>
      <c r="C8" s="18">
        <f>C7/Income_Statement!C5</f>
        <v>0</v>
      </c>
      <c r="D8" s="18">
        <f>D7/Income_Statement!D5</f>
        <v>0</v>
      </c>
      <c r="E8" s="18">
        <f>E7/Income_Statement!E5</f>
        <v>0</v>
      </c>
      <c r="F8" s="18">
        <f>F7/Income_Statement!F5</f>
        <v>0</v>
      </c>
      <c r="G8" s="18">
        <f>G7/Income_Statement!G5</f>
        <v>0</v>
      </c>
      <c r="H8" s="25">
        <f>G8</f>
        <v>0</v>
      </c>
      <c r="I8" s="25">
        <f t="shared" ref="I8:L8" si="2">H8</f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</row>
    <row r="9" spans="2:15" ht="18.75" x14ac:dyDescent="0.25">
      <c r="B9" s="9" t="s">
        <v>105</v>
      </c>
      <c r="C9" s="7">
        <f>C5 - C7</f>
        <v>86118.25</v>
      </c>
      <c r="D9" s="7">
        <f t="shared" ref="D9:L9" si="3">D5 - D7</f>
        <v>99615</v>
      </c>
      <c r="E9" s="7">
        <f t="shared" si="3"/>
        <v>109078.63</v>
      </c>
      <c r="F9" s="7">
        <f t="shared" si="3"/>
        <v>111267.88</v>
      </c>
      <c r="G9" s="7">
        <f t="shared" si="3"/>
        <v>132669.28</v>
      </c>
      <c r="H9" s="27">
        <f t="shared" si="3"/>
        <v>142915.25452973536</v>
      </c>
      <c r="I9" s="27">
        <f t="shared" si="3"/>
        <v>155459.81813432052</v>
      </c>
      <c r="J9" s="27">
        <f t="shared" si="3"/>
        <v>172050.14423134411</v>
      </c>
      <c r="K9" s="27">
        <f t="shared" si="3"/>
        <v>192541.2847208418</v>
      </c>
      <c r="L9" s="27">
        <f t="shared" si="3"/>
        <v>208523.13048434258</v>
      </c>
    </row>
    <row r="10" spans="2:15" x14ac:dyDescent="0.25">
      <c r="B10" s="19" t="s">
        <v>240</v>
      </c>
      <c r="C10" s="21">
        <f>C9/Income_Statement!C5</f>
        <v>1</v>
      </c>
      <c r="D10" s="21">
        <f>D9/Income_Statement!D5</f>
        <v>1</v>
      </c>
      <c r="E10" s="21">
        <f>E9/Income_Statement!E5</f>
        <v>1</v>
      </c>
      <c r="F10" s="21">
        <f>F9/Income_Statement!F5</f>
        <v>1</v>
      </c>
      <c r="G10" s="21">
        <f>G9/Income_Statement!G5</f>
        <v>1</v>
      </c>
      <c r="H10" s="29">
        <f>H9/Income_Statement!H5</f>
        <v>1</v>
      </c>
      <c r="I10" s="29">
        <f>I9/Income_Statement!I5</f>
        <v>1</v>
      </c>
      <c r="J10" s="29">
        <f>J9/Income_Statement!J5</f>
        <v>1</v>
      </c>
      <c r="K10" s="29">
        <f>K9/Income_Statement!K5</f>
        <v>1</v>
      </c>
      <c r="L10" s="29">
        <f>L9/Income_Statement!L5</f>
        <v>1</v>
      </c>
    </row>
    <row r="11" spans="2:15" ht="18.75" x14ac:dyDescent="0.25">
      <c r="B11" s="8" t="s">
        <v>59</v>
      </c>
      <c r="C11" s="5">
        <v>1558.28</v>
      </c>
      <c r="D11" s="5">
        <v>2246.5100000000002</v>
      </c>
      <c r="E11" s="5">
        <v>2908.54</v>
      </c>
      <c r="F11" s="5">
        <v>4015.68</v>
      </c>
      <c r="G11" s="5">
        <v>2325.0300000000002</v>
      </c>
      <c r="H11" s="24">
        <f>H5*H12</f>
        <v>3223.0140887777525</v>
      </c>
      <c r="I11" s="24">
        <f t="shared" ref="I11:L11" si="4">I5*I12</f>
        <v>3505.9181452284538</v>
      </c>
      <c r="J11" s="24">
        <f t="shared" si="4"/>
        <v>3880.0619336159903</v>
      </c>
      <c r="K11" s="24">
        <f t="shared" si="4"/>
        <v>4342.1765952739879</v>
      </c>
      <c r="L11" s="24">
        <f t="shared" si="4"/>
        <v>4702.597980870155</v>
      </c>
    </row>
    <row r="12" spans="2:15" x14ac:dyDescent="0.25">
      <c r="B12" s="17" t="s">
        <v>241</v>
      </c>
      <c r="C12" s="18">
        <f>C11/Income_Statement!C5</f>
        <v>1.8094654733462417E-2</v>
      </c>
      <c r="D12" s="18">
        <f>D11/Income_Statement!D5</f>
        <v>2.2551924910906993E-2</v>
      </c>
      <c r="E12" s="18">
        <f>E11/Income_Statement!E5</f>
        <v>2.6664617991626772E-2</v>
      </c>
      <c r="F12" s="18">
        <f>F11/Income_Statement!F5</f>
        <v>3.6090199615558413E-2</v>
      </c>
      <c r="G12" s="18">
        <f>G11/Income_Statement!G5</f>
        <v>1.7525006542584692E-2</v>
      </c>
      <c r="H12" s="25">
        <f>MEDIAN(C12:G12)</f>
        <v>2.2551924910906993E-2</v>
      </c>
      <c r="I12" s="25">
        <f t="shared" ref="I12:L12" si="5">H12</f>
        <v>2.2551924910906993E-2</v>
      </c>
      <c r="J12" s="25">
        <f t="shared" si="5"/>
        <v>2.2551924910906993E-2</v>
      </c>
      <c r="K12" s="25">
        <f t="shared" si="5"/>
        <v>2.2551924910906993E-2</v>
      </c>
      <c r="L12" s="25">
        <f t="shared" si="5"/>
        <v>2.2551924910906993E-2</v>
      </c>
    </row>
    <row r="13" spans="2:15" ht="18.75" x14ac:dyDescent="0.25">
      <c r="B13" s="8" t="s">
        <v>106</v>
      </c>
      <c r="C13" s="4"/>
      <c r="D13" s="4"/>
      <c r="E13" s="4"/>
      <c r="F13" s="4"/>
      <c r="G13" s="4"/>
      <c r="H13" s="26">
        <f>H5*H14</f>
        <v>0</v>
      </c>
      <c r="I13" s="26">
        <f t="shared" ref="I13:L13" si="6">I5*I14</f>
        <v>0</v>
      </c>
      <c r="J13" s="26">
        <f t="shared" si="6"/>
        <v>0</v>
      </c>
      <c r="K13" s="26">
        <f t="shared" si="6"/>
        <v>0</v>
      </c>
      <c r="L13" s="26">
        <f t="shared" si="6"/>
        <v>0</v>
      </c>
    </row>
    <row r="14" spans="2:15" x14ac:dyDescent="0.25">
      <c r="B14" s="17" t="s">
        <v>242</v>
      </c>
      <c r="C14" s="18">
        <f>C13/Income_Statement!C5</f>
        <v>0</v>
      </c>
      <c r="D14" s="18">
        <f>D13/Income_Statement!D5</f>
        <v>0</v>
      </c>
      <c r="E14" s="18">
        <f>E13/Income_Statement!E5</f>
        <v>0</v>
      </c>
      <c r="F14" s="18">
        <f>F13/Income_Statement!F5</f>
        <v>0</v>
      </c>
      <c r="G14" s="18">
        <f>G13/Income_Statement!G5</f>
        <v>0</v>
      </c>
      <c r="H14" s="25">
        <f>MEDIAN(C14:G14)</f>
        <v>0</v>
      </c>
      <c r="I14" s="25">
        <f t="shared" ref="I14:L14" si="7">H14</f>
        <v>0</v>
      </c>
      <c r="J14" s="25">
        <f t="shared" si="7"/>
        <v>0</v>
      </c>
      <c r="K14" s="25">
        <f t="shared" si="7"/>
        <v>0</v>
      </c>
      <c r="L14" s="25">
        <f t="shared" si="7"/>
        <v>0</v>
      </c>
    </row>
    <row r="15" spans="2:15" ht="18.75" x14ac:dyDescent="0.25">
      <c r="B15" s="9" t="s">
        <v>107</v>
      </c>
      <c r="C15" s="7">
        <f>SUM(C9:C13)</f>
        <v>87677.548094654732</v>
      </c>
      <c r="D15" s="7">
        <f t="shared" ref="D15:L15" si="8">SUM(D9:D13)</f>
        <v>101862.5325519249</v>
      </c>
      <c r="E15" s="7">
        <f t="shared" si="8"/>
        <v>111988.19666461799</v>
      </c>
      <c r="F15" s="7">
        <f t="shared" si="8"/>
        <v>115284.59609019961</v>
      </c>
      <c r="G15" s="7">
        <f t="shared" si="8"/>
        <v>134995.32752500655</v>
      </c>
      <c r="H15" s="27">
        <f t="shared" si="8"/>
        <v>146139.29117043805</v>
      </c>
      <c r="I15" s="27">
        <f t="shared" si="8"/>
        <v>158966.75883147388</v>
      </c>
      <c r="J15" s="27">
        <f t="shared" si="8"/>
        <v>175931.22871688503</v>
      </c>
      <c r="K15" s="27">
        <f t="shared" si="8"/>
        <v>196884.4838680407</v>
      </c>
      <c r="L15" s="27">
        <f t="shared" si="8"/>
        <v>213226.75101713766</v>
      </c>
    </row>
    <row r="16" spans="2:15" x14ac:dyDescent="0.25">
      <c r="B16" s="19" t="s">
        <v>243</v>
      </c>
      <c r="C16" s="21">
        <f>C15/Income_Statement!C5</f>
        <v>1.0181064767880761</v>
      </c>
      <c r="D16" s="21">
        <f>D15/Income_Statement!D5</f>
        <v>1.0225621899505586</v>
      </c>
      <c r="E16" s="21">
        <f>E15/Income_Statement!E5</f>
        <v>1.0266740301433745</v>
      </c>
      <c r="F16" s="21">
        <f>F15/Income_Statement!F5</f>
        <v>1.0360995112893281</v>
      </c>
      <c r="G16" s="21">
        <f>G15/Income_Statement!G5</f>
        <v>1.0175326761779859</v>
      </c>
      <c r="H16" s="29">
        <f>H15/Income_Statement!H5</f>
        <v>1.0225590798638775</v>
      </c>
      <c r="I16" s="29">
        <f>I15/Income_Statement!I5</f>
        <v>1.0225585025072093</v>
      </c>
      <c r="J16" s="29">
        <f>J15/Income_Statement!J5</f>
        <v>1.02255786824754</v>
      </c>
      <c r="K16" s="29">
        <f>K15/Income_Statement!K5</f>
        <v>1.0225572357299679</v>
      </c>
      <c r="L16" s="29">
        <f>L15/Income_Statement!L5</f>
        <v>1.0225568286926725</v>
      </c>
    </row>
    <row r="17" spans="2:12" ht="18.75" x14ac:dyDescent="0.25">
      <c r="B17" s="8" t="s">
        <v>62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26">
        <f>H5*H18</f>
        <v>0</v>
      </c>
      <c r="I17" s="26">
        <f t="shared" ref="I17:L17" si="9">I5*I18</f>
        <v>0</v>
      </c>
      <c r="J17" s="26">
        <f t="shared" si="9"/>
        <v>0</v>
      </c>
      <c r="K17" s="26">
        <f t="shared" si="9"/>
        <v>0</v>
      </c>
      <c r="L17" s="26">
        <f t="shared" si="9"/>
        <v>0</v>
      </c>
    </row>
    <row r="18" spans="2:12" x14ac:dyDescent="0.25">
      <c r="B18" s="17" t="s">
        <v>244</v>
      </c>
      <c r="C18" s="18">
        <f>C17/Income_Statement!C5</f>
        <v>0</v>
      </c>
      <c r="D18" s="18">
        <f>D17/Income_Statement!D5</f>
        <v>0</v>
      </c>
      <c r="E18" s="18">
        <f>E17/Income_Statement!E5</f>
        <v>0</v>
      </c>
      <c r="F18" s="18">
        <f>F17/Income_Statement!F5</f>
        <v>0</v>
      </c>
      <c r="G18" s="18">
        <f>G17/Income_Statement!G5</f>
        <v>0</v>
      </c>
      <c r="H18" s="25">
        <f>G18</f>
        <v>0</v>
      </c>
      <c r="I18" s="25">
        <f t="shared" ref="I18:L18" si="10">H18</f>
        <v>0</v>
      </c>
      <c r="J18" s="25">
        <f t="shared" si="10"/>
        <v>0</v>
      </c>
      <c r="K18" s="25">
        <f t="shared" si="10"/>
        <v>0</v>
      </c>
      <c r="L18" s="25">
        <f t="shared" si="10"/>
        <v>0</v>
      </c>
    </row>
    <row r="19" spans="2:12" ht="18.75" x14ac:dyDescent="0.25">
      <c r="B19" s="8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6">
        <f>H5*H20</f>
        <v>0</v>
      </c>
      <c r="I19" s="26">
        <f t="shared" ref="I19:L19" si="11">I5*I20</f>
        <v>0</v>
      </c>
      <c r="J19" s="26">
        <f t="shared" si="11"/>
        <v>0</v>
      </c>
      <c r="K19" s="26">
        <f t="shared" si="11"/>
        <v>0</v>
      </c>
      <c r="L19" s="26">
        <f t="shared" si="11"/>
        <v>0</v>
      </c>
    </row>
    <row r="20" spans="2:12" x14ac:dyDescent="0.25">
      <c r="B20" s="17" t="s">
        <v>245</v>
      </c>
      <c r="C20" s="18">
        <f>C19/Income_Statement!C5</f>
        <v>0</v>
      </c>
      <c r="D20" s="18">
        <f>D19/Income_Statement!D5</f>
        <v>0</v>
      </c>
      <c r="E20" s="18">
        <f>E19/Income_Statement!E5</f>
        <v>0</v>
      </c>
      <c r="F20" s="18">
        <f>F19/Income_Statement!F5</f>
        <v>0</v>
      </c>
      <c r="G20" s="18">
        <f>G19/Income_Statement!G5</f>
        <v>0</v>
      </c>
      <c r="H20" s="25">
        <f>G20</f>
        <v>0</v>
      </c>
      <c r="I20" s="25">
        <f t="shared" ref="I20:L20" si="12">H20</f>
        <v>0</v>
      </c>
      <c r="J20" s="25">
        <f t="shared" si="12"/>
        <v>0</v>
      </c>
      <c r="K20" s="25">
        <f t="shared" si="12"/>
        <v>0</v>
      </c>
      <c r="L20" s="25">
        <f t="shared" si="12"/>
        <v>0</v>
      </c>
    </row>
    <row r="21" spans="2:12" ht="18.75" x14ac:dyDescent="0.25">
      <c r="B21" s="8" t="s">
        <v>66</v>
      </c>
      <c r="C21" s="5">
        <v>4791.97</v>
      </c>
      <c r="D21" s="5">
        <v>5816.65</v>
      </c>
      <c r="E21" s="5">
        <v>5830.48</v>
      </c>
      <c r="F21" s="5">
        <v>5953.93</v>
      </c>
      <c r="G21" s="5">
        <v>6310.09</v>
      </c>
      <c r="H21" s="24">
        <f>H5*H22</f>
        <v>6797.4147327515293</v>
      </c>
      <c r="I21" s="24">
        <f t="shared" ref="I21:L21" si="13">I5*I22</f>
        <v>7394.0662360660626</v>
      </c>
      <c r="J21" s="24">
        <f t="shared" si="13"/>
        <v>8183.1445426760602</v>
      </c>
      <c r="K21" s="24">
        <f t="shared" si="13"/>
        <v>9157.7555505248583</v>
      </c>
      <c r="L21" s="24">
        <f t="shared" si="13"/>
        <v>9917.8929774695789</v>
      </c>
    </row>
    <row r="22" spans="2:12" x14ac:dyDescent="0.25">
      <c r="B22" s="17" t="s">
        <v>246</v>
      </c>
      <c r="C22" s="18">
        <f>C21/Income_Statement!C5</f>
        <v>5.5644070798001585E-2</v>
      </c>
      <c r="D22" s="18">
        <f>D21/Income_Statement!D5</f>
        <v>5.8391306530141039E-2</v>
      </c>
      <c r="E22" s="18">
        <f>E21/Income_Statement!E5</f>
        <v>5.3452083144058547E-2</v>
      </c>
      <c r="F22" s="18">
        <f>F21/Income_Statement!F5</f>
        <v>5.3509871851607133E-2</v>
      </c>
      <c r="G22" s="18">
        <f>G21/Income_Statement!G5</f>
        <v>4.7562555551669536E-2</v>
      </c>
      <c r="H22" s="25">
        <f>G22</f>
        <v>4.7562555551669536E-2</v>
      </c>
      <c r="I22" s="25">
        <f t="shared" ref="I22:L22" si="14">H22</f>
        <v>4.7562555551669536E-2</v>
      </c>
      <c r="J22" s="25">
        <f t="shared" si="14"/>
        <v>4.7562555551669536E-2</v>
      </c>
      <c r="K22" s="25">
        <f t="shared" si="14"/>
        <v>4.7562555551669536E-2</v>
      </c>
      <c r="L22" s="25">
        <f t="shared" si="14"/>
        <v>4.7562555551669536E-2</v>
      </c>
    </row>
    <row r="23" spans="2:12" ht="18.75" x14ac:dyDescent="0.25">
      <c r="B23" s="8" t="s">
        <v>69</v>
      </c>
      <c r="C23" s="5">
        <v>7554.59</v>
      </c>
      <c r="D23" s="5">
        <v>8105.12</v>
      </c>
      <c r="E23" s="5">
        <v>9725.41</v>
      </c>
      <c r="F23" s="5">
        <v>10454.709999999999</v>
      </c>
      <c r="G23" s="5">
        <v>86079.63</v>
      </c>
      <c r="H23" s="24">
        <f>H5*H24</f>
        <v>28612.663001535442</v>
      </c>
      <c r="I23" s="24">
        <f t="shared" ref="I23:L23" si="15">I5*I24</f>
        <v>31124.174960845852</v>
      </c>
      <c r="J23" s="24">
        <f t="shared" si="15"/>
        <v>34445.677702185116</v>
      </c>
      <c r="K23" s="24">
        <f t="shared" si="15"/>
        <v>38548.151572258423</v>
      </c>
      <c r="L23" s="24">
        <f t="shared" si="15"/>
        <v>41747.832169534493</v>
      </c>
    </row>
    <row r="24" spans="2:12" x14ac:dyDescent="0.25">
      <c r="B24" s="17" t="s">
        <v>247</v>
      </c>
      <c r="C24" s="18">
        <f>C23/Income_Statement!C5</f>
        <v>8.7723450023659333E-2</v>
      </c>
      <c r="D24" s="18">
        <f>D23/Income_Statement!D5</f>
        <v>8.1364453144606733E-2</v>
      </c>
      <c r="E24" s="18">
        <f>E23/Income_Statement!E5</f>
        <v>8.9159627325719068E-2</v>
      </c>
      <c r="F24" s="18">
        <f>F23/Income_Statement!F5</f>
        <v>9.3959820210468628E-2</v>
      </c>
      <c r="G24" s="18">
        <f>G23/Income_Statement!G5</f>
        <v>0.64882865121450883</v>
      </c>
      <c r="H24" s="25">
        <f>AVERAGE(C24:G24)</f>
        <v>0.20020720038379253</v>
      </c>
      <c r="I24" s="25">
        <f t="shared" ref="I24:L24" si="16">H24</f>
        <v>0.20020720038379253</v>
      </c>
      <c r="J24" s="25">
        <f t="shared" si="16"/>
        <v>0.20020720038379253</v>
      </c>
      <c r="K24" s="25">
        <f t="shared" si="16"/>
        <v>0.20020720038379253</v>
      </c>
      <c r="L24" s="25">
        <f t="shared" si="16"/>
        <v>0.20020720038379253</v>
      </c>
    </row>
    <row r="25" spans="2:12" ht="18.75" x14ac:dyDescent="0.25">
      <c r="B25" s="9" t="s">
        <v>108</v>
      </c>
      <c r="C25" s="7">
        <f>C17+C19+C21+C23</f>
        <v>12346.560000000001</v>
      </c>
      <c r="D25" s="7">
        <f t="shared" ref="D25:L25" si="17">D17+D19+D21+D23</f>
        <v>13921.77</v>
      </c>
      <c r="E25" s="7">
        <f t="shared" si="17"/>
        <v>15555.89</v>
      </c>
      <c r="F25" s="7">
        <f t="shared" si="17"/>
        <v>16408.64</v>
      </c>
      <c r="G25" s="7">
        <f t="shared" si="17"/>
        <v>92389.72</v>
      </c>
      <c r="H25" s="27">
        <f t="shared" si="17"/>
        <v>35410.07773428697</v>
      </c>
      <c r="I25" s="27">
        <f t="shared" si="17"/>
        <v>38518.241196911913</v>
      </c>
      <c r="J25" s="27">
        <f t="shared" si="17"/>
        <v>42628.822244861178</v>
      </c>
      <c r="K25" s="27">
        <f t="shared" si="17"/>
        <v>47705.907122783283</v>
      </c>
      <c r="L25" s="27">
        <f t="shared" si="17"/>
        <v>51665.725147004072</v>
      </c>
    </row>
    <row r="26" spans="2:12" x14ac:dyDescent="0.25">
      <c r="B26" s="19" t="s">
        <v>248</v>
      </c>
      <c r="C26" s="21">
        <f>C25/Income_Statement!C5</f>
        <v>0.14336752082166093</v>
      </c>
      <c r="D26" s="21">
        <f>D25/Income_Statement!D5</f>
        <v>0.13975575967474779</v>
      </c>
      <c r="E26" s="21">
        <f>E25/Income_Statement!E5</f>
        <v>0.14261171046977761</v>
      </c>
      <c r="F26" s="21">
        <f>F25/Income_Statement!F5</f>
        <v>0.14746969206207577</v>
      </c>
      <c r="G26" s="21">
        <f>G25/Income_Statement!G5</f>
        <v>0.69639120676617827</v>
      </c>
      <c r="H26" s="29">
        <f>H25/Income_Statement!H5</f>
        <v>0.24776975593546205</v>
      </c>
      <c r="I26" s="29">
        <f>I25/Income_Statement!I5</f>
        <v>0.24776975593546205</v>
      </c>
      <c r="J26" s="29">
        <f>J25/Income_Statement!J5</f>
        <v>0.24776975593546208</v>
      </c>
      <c r="K26" s="29">
        <f>K25/Income_Statement!K5</f>
        <v>0.24776975593546208</v>
      </c>
      <c r="L26" s="29">
        <f>L25/Income_Statement!L5</f>
        <v>0.24776975593546208</v>
      </c>
    </row>
    <row r="27" spans="2:12" ht="18.75" x14ac:dyDescent="0.25">
      <c r="B27" s="9" t="s">
        <v>109</v>
      </c>
      <c r="C27" s="7">
        <f xml:space="preserve"> C15-C25-C11</f>
        <v>73772.708094654736</v>
      </c>
      <c r="D27" s="7">
        <f t="shared" ref="D27:L27" si="18" xml:space="preserve"> D15-D25-D11</f>
        <v>85694.252551924903</v>
      </c>
      <c r="E27" s="7">
        <f t="shared" si="18"/>
        <v>93523.766664618001</v>
      </c>
      <c r="F27" s="7">
        <f t="shared" si="18"/>
        <v>94860.276090199623</v>
      </c>
      <c r="G27" s="7">
        <f t="shared" si="18"/>
        <v>40280.577525006549</v>
      </c>
      <c r="H27" s="27">
        <f t="shared" si="18"/>
        <v>107506.19934737333</v>
      </c>
      <c r="I27" s="27">
        <f t="shared" si="18"/>
        <v>116942.59948933352</v>
      </c>
      <c r="J27" s="27">
        <f t="shared" si="18"/>
        <v>129422.34453840788</v>
      </c>
      <c r="K27" s="27">
        <f t="shared" si="18"/>
        <v>144836.40014998344</v>
      </c>
      <c r="L27" s="27">
        <f t="shared" si="18"/>
        <v>156858.42788926343</v>
      </c>
    </row>
    <row r="28" spans="2:12" x14ac:dyDescent="0.25">
      <c r="B28" s="19" t="s">
        <v>249</v>
      </c>
      <c r="C28" s="21">
        <f>C27/Income_Statement!C5</f>
        <v>0.85664430123295277</v>
      </c>
      <c r="D28" s="21">
        <f>D27/Income_Statement!D5</f>
        <v>0.86025450536490389</v>
      </c>
      <c r="E28" s="21">
        <f>E27/Income_Statement!E5</f>
        <v>0.85739770168197016</v>
      </c>
      <c r="F28" s="21">
        <f>F27/Income_Statement!F5</f>
        <v>0.852539619611694</v>
      </c>
      <c r="G28" s="21">
        <f>G27/Income_Statement!G5</f>
        <v>0.303616462869223</v>
      </c>
      <c r="H28" s="29">
        <f>H27/Income_Statement!H5</f>
        <v>0.75223739901750852</v>
      </c>
      <c r="I28" s="29">
        <f>I27/Income_Statement!I5</f>
        <v>0.75223682166084016</v>
      </c>
      <c r="J28" s="29">
        <f>J27/Income_Statement!J5</f>
        <v>0.75223618740117104</v>
      </c>
      <c r="K28" s="29">
        <f>K27/Income_Statement!K5</f>
        <v>0.75223555488359894</v>
      </c>
      <c r="L28" s="29">
        <f>L27/Income_Statement!L5</f>
        <v>0.7522351478463033</v>
      </c>
    </row>
    <row r="29" spans="2:12" ht="18.75" x14ac:dyDescent="0.25">
      <c r="B29" s="9" t="s">
        <v>110</v>
      </c>
      <c r="C29" s="7">
        <f xml:space="preserve"> C27+C11</f>
        <v>75330.988094654735</v>
      </c>
      <c r="D29" s="7">
        <f t="shared" ref="D29:L29" si="19" xml:space="preserve"> D27+D11</f>
        <v>87940.762551924898</v>
      </c>
      <c r="E29" s="7">
        <f t="shared" si="19"/>
        <v>96432.306664617994</v>
      </c>
      <c r="F29" s="7">
        <f t="shared" si="19"/>
        <v>98875.956090199616</v>
      </c>
      <c r="G29" s="7">
        <f t="shared" si="19"/>
        <v>42605.607525006548</v>
      </c>
      <c r="H29" s="27">
        <f t="shared" si="19"/>
        <v>110729.21343615108</v>
      </c>
      <c r="I29" s="27">
        <f t="shared" si="19"/>
        <v>120448.51763456197</v>
      </c>
      <c r="J29" s="27">
        <f t="shared" si="19"/>
        <v>133302.40647202387</v>
      </c>
      <c r="K29" s="27">
        <f t="shared" si="19"/>
        <v>149178.57674525742</v>
      </c>
      <c r="L29" s="27">
        <f t="shared" si="19"/>
        <v>161561.0258701336</v>
      </c>
    </row>
    <row r="30" spans="2:12" x14ac:dyDescent="0.25">
      <c r="B30" s="19" t="s">
        <v>250</v>
      </c>
      <c r="C30" s="21">
        <f>C29/Income_Statement!C5</f>
        <v>0.87473895596641515</v>
      </c>
      <c r="D30" s="21">
        <f>D29/Income_Statement!D5</f>
        <v>0.88280643027581085</v>
      </c>
      <c r="E30" s="21">
        <f>E29/Income_Statement!E5</f>
        <v>0.88406231967359683</v>
      </c>
      <c r="F30" s="21">
        <f>F29/Income_Statement!F5</f>
        <v>0.88862981922725237</v>
      </c>
      <c r="G30" s="21">
        <f>G29/Income_Statement!G5</f>
        <v>0.32114146941180766</v>
      </c>
      <c r="H30" s="29">
        <f>H29/Income_Statement!H5</f>
        <v>0.77478932392841549</v>
      </c>
      <c r="I30" s="29">
        <f>I29/Income_Statement!I5</f>
        <v>0.77478874657174723</v>
      </c>
      <c r="J30" s="29">
        <f>J29/Income_Statement!J5</f>
        <v>0.77478811231207811</v>
      </c>
      <c r="K30" s="29">
        <f>K29/Income_Statement!K5</f>
        <v>0.77478747979450591</v>
      </c>
      <c r="L30" s="29">
        <f>L29/Income_Statement!L5</f>
        <v>0.77478707275721037</v>
      </c>
    </row>
    <row r="31" spans="2:12" ht="18.75" x14ac:dyDescent="0.25">
      <c r="B31" s="8" t="s">
        <v>68</v>
      </c>
      <c r="C31" s="5">
        <v>7459.93</v>
      </c>
      <c r="D31" s="5">
        <v>8669.0300000000007</v>
      </c>
      <c r="E31" s="5">
        <v>10356.16</v>
      </c>
      <c r="F31" s="5">
        <v>12450.31</v>
      </c>
      <c r="G31" s="5">
        <v>13787.83</v>
      </c>
      <c r="H31" s="24">
        <f>Balance_Sheet!H40*H62</f>
        <v>24318.682285887149</v>
      </c>
      <c r="I31" s="24">
        <f>Balance_Sheet!I40*I62</f>
        <v>27120.109619192721</v>
      </c>
      <c r="J31" s="24">
        <f>Balance_Sheet!J40*J62</f>
        <v>31339.621739470418</v>
      </c>
      <c r="K31" s="24">
        <f>Balance_Sheet!K40*K62</f>
        <v>36950.212322732717</v>
      </c>
      <c r="L31" s="24">
        <f>Balance_Sheet!L40*L62</f>
        <v>44278.5241877144</v>
      </c>
    </row>
    <row r="32" spans="2:12" x14ac:dyDescent="0.25">
      <c r="B32" s="17" t="s">
        <v>251</v>
      </c>
      <c r="C32" s="18">
        <f>C31/Income_Statement!C5</f>
        <v>8.6624263730393974E-2</v>
      </c>
      <c r="D32" s="18">
        <f>D31/Income_Statement!D5</f>
        <v>8.7025347588214633E-2</v>
      </c>
      <c r="E32" s="18">
        <f>E31/Income_Statement!E5</f>
        <v>9.494215319719361E-2</v>
      </c>
      <c r="F32" s="18">
        <f>F31/Income_Statement!F5</f>
        <v>0.11189491522620902</v>
      </c>
      <c r="G32" s="18">
        <f>G31/Income_Statement!G5</f>
        <v>0.10392631964234675</v>
      </c>
      <c r="H32" s="25">
        <f>H31/Income_Statement!H5</f>
        <v>0.17016155739223299</v>
      </c>
      <c r="I32" s="25">
        <f>I31/Income_Statement!I5</f>
        <v>0.17445092850784363</v>
      </c>
      <c r="J32" s="25">
        <f>J31/Income_Statement!J5</f>
        <v>0.1821539986466397</v>
      </c>
      <c r="K32" s="25">
        <f>K31/Income_Statement!K5</f>
        <v>0.19190799716697335</v>
      </c>
      <c r="L32" s="25">
        <f>L31/Income_Statement!L5</f>
        <v>0.21234346561394613</v>
      </c>
    </row>
    <row r="33" spans="2:12" ht="18.75" x14ac:dyDescent="0.25">
      <c r="B33" s="9" t="s">
        <v>111</v>
      </c>
      <c r="C33" s="7">
        <f xml:space="preserve"> C29-C31</f>
        <v>67871.058094654727</v>
      </c>
      <c r="D33" s="7">
        <f t="shared" ref="D33:L33" si="20" xml:space="preserve"> D29-D31</f>
        <v>79271.732551924899</v>
      </c>
      <c r="E33" s="7">
        <f t="shared" si="20"/>
        <v>86076.146664617991</v>
      </c>
      <c r="F33" s="7">
        <f t="shared" si="20"/>
        <v>86425.646090199618</v>
      </c>
      <c r="G33" s="7">
        <f t="shared" si="20"/>
        <v>28817.777525006546</v>
      </c>
      <c r="H33" s="27">
        <f t="shared" si="20"/>
        <v>86410.531150263938</v>
      </c>
      <c r="I33" s="27">
        <f t="shared" si="20"/>
        <v>93328.408015369248</v>
      </c>
      <c r="J33" s="27">
        <f t="shared" si="20"/>
        <v>101962.78473255345</v>
      </c>
      <c r="K33" s="27">
        <f t="shared" si="20"/>
        <v>112228.3644225247</v>
      </c>
      <c r="L33" s="27">
        <f t="shared" si="20"/>
        <v>117282.5016824192</v>
      </c>
    </row>
    <row r="34" spans="2:12" x14ac:dyDescent="0.25">
      <c r="B34" s="19" t="s">
        <v>252</v>
      </c>
      <c r="C34" s="21">
        <f>C33/Income_Statement!C5</f>
        <v>0.78811469223602115</v>
      </c>
      <c r="D34" s="21">
        <f>D33/Income_Statement!D5</f>
        <v>0.79578108268759629</v>
      </c>
      <c r="E34" s="21">
        <f>E33/Income_Statement!E5</f>
        <v>0.78912016647640315</v>
      </c>
      <c r="F34" s="21">
        <f>F33/Income_Statement!F5</f>
        <v>0.77673490400104339</v>
      </c>
      <c r="G34" s="21">
        <f>G33/Income_Statement!G5</f>
        <v>0.21721514976946091</v>
      </c>
      <c r="H34" s="29">
        <f>H33/Income_Statement!H5</f>
        <v>0.60462776653618255</v>
      </c>
      <c r="I34" s="29">
        <f>I33/Income_Statement!I5</f>
        <v>0.60033781806390352</v>
      </c>
      <c r="J34" s="29">
        <f>J33/Income_Statement!J5</f>
        <v>0.59263411366543839</v>
      </c>
      <c r="K34" s="29">
        <f>K33/Income_Statement!K5</f>
        <v>0.58287948262753253</v>
      </c>
      <c r="L34" s="29">
        <f>L33/Income_Statement!L5</f>
        <v>0.56244360714326425</v>
      </c>
    </row>
    <row r="35" spans="2:12" ht="18.75" x14ac:dyDescent="0.25">
      <c r="B35" s="8" t="s">
        <v>67</v>
      </c>
      <c r="C35" s="5">
        <v>4434.59</v>
      </c>
      <c r="D35" s="5">
        <v>5604.65</v>
      </c>
      <c r="E35" s="5">
        <v>8116.85</v>
      </c>
      <c r="F35" s="5">
        <v>9224.14</v>
      </c>
      <c r="G35" s="5">
        <v>9315.98</v>
      </c>
      <c r="H35" s="24">
        <f>Balance_Sheet!H21*H63</f>
        <v>12449.149375734358</v>
      </c>
      <c r="I35" s="24">
        <f>Balance_Sheet!I21*I63</f>
        <v>13883.247669629249</v>
      </c>
      <c r="J35" s="24">
        <f>Balance_Sheet!J21*J63</f>
        <v>16043.288106306682</v>
      </c>
      <c r="K35" s="24">
        <f>Balance_Sheet!K21*K63</f>
        <v>18915.445022985896</v>
      </c>
      <c r="L35" s="24">
        <f>Balance_Sheet!L21*L63</f>
        <v>22666.933526607983</v>
      </c>
    </row>
    <row r="36" spans="2:12" x14ac:dyDescent="0.25">
      <c r="B36" s="17" t="s">
        <v>253</v>
      </c>
      <c r="C36" s="18">
        <f>C35/Income_Statement!C5</f>
        <v>5.1494195481213333E-2</v>
      </c>
      <c r="D36" s="18">
        <f>D35/Income_Statement!D5</f>
        <v>5.6263112984992217E-2</v>
      </c>
      <c r="E36" s="18">
        <f>E35/Income_Statement!E5</f>
        <v>7.4412834117920254E-2</v>
      </c>
      <c r="F36" s="18">
        <f>F35/Income_Statement!F5</f>
        <v>8.2900294316742618E-2</v>
      </c>
      <c r="G36" s="18">
        <f>G35/Income_Statement!G5</f>
        <v>7.0219571554168372E-2</v>
      </c>
      <c r="H36" s="25">
        <f>H35/Income_Statement!H5</f>
        <v>8.7108611440384426E-2</v>
      </c>
      <c r="I36" s="25">
        <f>I35/Income_Statement!I5</f>
        <v>8.9304412138407577E-2</v>
      </c>
      <c r="J36" s="25">
        <f>J35/Income_Statement!J5</f>
        <v>9.3247745754484024E-2</v>
      </c>
      <c r="K36" s="25">
        <f>K35/Income_Statement!K5</f>
        <v>9.8240982708776833E-2</v>
      </c>
      <c r="L36" s="25">
        <f>L35/Income_Statement!L5</f>
        <v>0.10870225031611053</v>
      </c>
    </row>
    <row r="37" spans="2:12" ht="18.75" x14ac:dyDescent="0.25">
      <c r="B37" s="9" t="s">
        <v>112</v>
      </c>
      <c r="C37" s="7">
        <f xml:space="preserve"> C33-C35</f>
        <v>63436.468094654731</v>
      </c>
      <c r="D37" s="7">
        <f t="shared" ref="D37:L37" si="21" xml:space="preserve"> D33-D35</f>
        <v>73667.082551924905</v>
      </c>
      <c r="E37" s="7">
        <f t="shared" si="21"/>
        <v>77959.296664617985</v>
      </c>
      <c r="F37" s="7">
        <f t="shared" si="21"/>
        <v>77201.506090199618</v>
      </c>
      <c r="G37" s="7">
        <f t="shared" si="21"/>
        <v>19501.797525006546</v>
      </c>
      <c r="H37" s="27">
        <f t="shared" si="21"/>
        <v>73961.381774529582</v>
      </c>
      <c r="I37" s="27">
        <f t="shared" si="21"/>
        <v>79445.160345740005</v>
      </c>
      <c r="J37" s="27">
        <f t="shared" si="21"/>
        <v>85919.496626246779</v>
      </c>
      <c r="K37" s="27">
        <f t="shared" si="21"/>
        <v>93312.919399538805</v>
      </c>
      <c r="L37" s="27">
        <f t="shared" si="21"/>
        <v>94615.568155811212</v>
      </c>
    </row>
    <row r="38" spans="2:12" x14ac:dyDescent="0.25">
      <c r="B38" s="19" t="s">
        <v>254</v>
      </c>
      <c r="C38" s="21">
        <f>C37/Income_Statement!C5</f>
        <v>0.7366204967548079</v>
      </c>
      <c r="D38" s="21">
        <f>D37/Income_Statement!D5</f>
        <v>0.73951796970260408</v>
      </c>
      <c r="E38" s="21">
        <f>E37/Income_Statement!E5</f>
        <v>0.71470733235848283</v>
      </c>
      <c r="F38" s="21">
        <f>F37/Income_Statement!F5</f>
        <v>0.69383460968430077</v>
      </c>
      <c r="G38" s="21">
        <f>G37/Income_Statement!G5</f>
        <v>0.14699557821529255</v>
      </c>
      <c r="H38" s="29">
        <f>H37/Income_Statement!H5</f>
        <v>0.51751915509579816</v>
      </c>
      <c r="I38" s="29">
        <f>I37/Income_Statement!I5</f>
        <v>0.51103340592549606</v>
      </c>
      <c r="J38" s="29">
        <f>J37/Income_Statement!J5</f>
        <v>0.49938636791095442</v>
      </c>
      <c r="K38" s="29">
        <f>K37/Income_Statement!K5</f>
        <v>0.48463849991875568</v>
      </c>
      <c r="L38" s="29">
        <f>L37/Income_Statement!L5</f>
        <v>0.45374135682715366</v>
      </c>
    </row>
    <row r="39" spans="2:12" ht="18.75" x14ac:dyDescent="0.25">
      <c r="B39" s="8" t="s">
        <v>113</v>
      </c>
      <c r="C39" s="4"/>
      <c r="D39" s="4"/>
      <c r="E39" s="4"/>
      <c r="F39" s="4"/>
      <c r="G39" s="4"/>
      <c r="H39" s="26">
        <f>H5*H40</f>
        <v>0</v>
      </c>
      <c r="I39" s="26">
        <f t="shared" ref="I39:L39" si="22">I5*I40</f>
        <v>0</v>
      </c>
      <c r="J39" s="26">
        <f t="shared" si="22"/>
        <v>0</v>
      </c>
      <c r="K39" s="26">
        <f t="shared" si="22"/>
        <v>0</v>
      </c>
      <c r="L39" s="26">
        <f t="shared" si="22"/>
        <v>0</v>
      </c>
    </row>
    <row r="40" spans="2:12" x14ac:dyDescent="0.25">
      <c r="B40" s="17" t="s">
        <v>255</v>
      </c>
      <c r="C40" s="18">
        <f>C39/Income_Statement!C5</f>
        <v>0</v>
      </c>
      <c r="D40" s="18">
        <f>D39/Income_Statement!D5</f>
        <v>0</v>
      </c>
      <c r="E40" s="18">
        <f>E39/Income_Statement!E5</f>
        <v>0</v>
      </c>
      <c r="F40" s="18">
        <f>F39/Income_Statement!F5</f>
        <v>0</v>
      </c>
      <c r="G40" s="18">
        <f>G39/Income_Statement!G5</f>
        <v>0</v>
      </c>
      <c r="H40" s="25">
        <f>G40</f>
        <v>0</v>
      </c>
      <c r="I40" s="25">
        <f t="shared" ref="I40:L40" si="23">H40</f>
        <v>0</v>
      </c>
      <c r="J40" s="25">
        <f t="shared" si="23"/>
        <v>0</v>
      </c>
      <c r="K40" s="25">
        <f t="shared" si="23"/>
        <v>0</v>
      </c>
      <c r="L40" s="25">
        <f t="shared" si="23"/>
        <v>0</v>
      </c>
    </row>
    <row r="41" spans="2:12" ht="18.75" x14ac:dyDescent="0.25">
      <c r="B41" s="9" t="s">
        <v>114</v>
      </c>
      <c r="C41" s="7">
        <f xml:space="preserve"> C37+C39</f>
        <v>63436.468094654731</v>
      </c>
      <c r="D41" s="7">
        <f t="shared" ref="D41:L41" si="24" xml:space="preserve"> D37+D39</f>
        <v>73667.082551924905</v>
      </c>
      <c r="E41" s="7">
        <f t="shared" si="24"/>
        <v>77959.296664617985</v>
      </c>
      <c r="F41" s="7">
        <f t="shared" si="24"/>
        <v>77201.506090199618</v>
      </c>
      <c r="G41" s="7">
        <f t="shared" si="24"/>
        <v>19501.797525006546</v>
      </c>
      <c r="H41" s="27">
        <f t="shared" si="24"/>
        <v>73961.381774529582</v>
      </c>
      <c r="I41" s="27">
        <f t="shared" si="24"/>
        <v>79445.160345740005</v>
      </c>
      <c r="J41" s="27">
        <f t="shared" si="24"/>
        <v>85919.496626246779</v>
      </c>
      <c r="K41" s="27">
        <f t="shared" si="24"/>
        <v>93312.919399538805</v>
      </c>
      <c r="L41" s="27">
        <f t="shared" si="24"/>
        <v>94615.568155811212</v>
      </c>
    </row>
    <row r="42" spans="2:12" x14ac:dyDescent="0.25">
      <c r="B42" s="19" t="s">
        <v>256</v>
      </c>
      <c r="C42" s="21">
        <f>C41/Income_Statement!C5</f>
        <v>0.7366204967548079</v>
      </c>
      <c r="D42" s="21">
        <f>D41/Income_Statement!D5</f>
        <v>0.73951796970260408</v>
      </c>
      <c r="E42" s="21">
        <f>E41/Income_Statement!E5</f>
        <v>0.71470733235848283</v>
      </c>
      <c r="F42" s="21">
        <f>F41/Income_Statement!F5</f>
        <v>0.69383460968430077</v>
      </c>
      <c r="G42" s="21">
        <f>G41/Income_Statement!G5</f>
        <v>0.14699557821529255</v>
      </c>
      <c r="H42" s="29">
        <f>H41/Income_Statement!H5</f>
        <v>0.51751915509579816</v>
      </c>
      <c r="I42" s="29">
        <f>I41/Income_Statement!I5</f>
        <v>0.51103340592549606</v>
      </c>
      <c r="J42" s="29">
        <f>J41/Income_Statement!J5</f>
        <v>0.49938636791095442</v>
      </c>
      <c r="K42" s="29">
        <f>K41/Income_Statement!K5</f>
        <v>0.48463849991875568</v>
      </c>
      <c r="L42" s="29">
        <f>L41/Income_Statement!L5</f>
        <v>0.45374135682715366</v>
      </c>
    </row>
    <row r="43" spans="2:12" ht="18.75" x14ac:dyDescent="0.25">
      <c r="B43" s="8" t="s">
        <v>72</v>
      </c>
      <c r="C43" s="5">
        <v>0</v>
      </c>
      <c r="D43" s="5">
        <v>0</v>
      </c>
      <c r="E43" s="4">
        <v>0</v>
      </c>
      <c r="F43" s="4">
        <v>-1512.19</v>
      </c>
      <c r="G43" s="4">
        <v>1486.48</v>
      </c>
      <c r="H43" s="26">
        <f>H5*H44</f>
        <v>1601.2800216701337</v>
      </c>
      <c r="I43" s="26">
        <f t="shared" ref="I43:L43" si="25">I5*I44</f>
        <v>1741.8343603003254</v>
      </c>
      <c r="J43" s="26">
        <f t="shared" si="25"/>
        <v>1927.7190499338535</v>
      </c>
      <c r="K43" s="26">
        <f t="shared" si="25"/>
        <v>2157.3100337307696</v>
      </c>
      <c r="L43" s="26">
        <f t="shared" si="25"/>
        <v>2336.3770648515283</v>
      </c>
    </row>
    <row r="44" spans="2:12" x14ac:dyDescent="0.25">
      <c r="B44" s="17" t="s">
        <v>257</v>
      </c>
      <c r="C44" s="18">
        <f>C43/Income_Statement!C5</f>
        <v>0</v>
      </c>
      <c r="D44" s="18">
        <f>D43/Income_Statement!D5</f>
        <v>0</v>
      </c>
      <c r="E44" s="18">
        <f>E43/Income_Statement!E5</f>
        <v>0</v>
      </c>
      <c r="F44" s="18">
        <f>F43/Income_Statement!F5</f>
        <v>-1.3590534842579906E-2</v>
      </c>
      <c r="G44" s="18">
        <f>G43/Income_Statement!G5</f>
        <v>1.1204402405741555E-2</v>
      </c>
      <c r="H44" s="25">
        <f>G44</f>
        <v>1.1204402405741555E-2</v>
      </c>
      <c r="I44" s="25">
        <f t="shared" ref="I44:L44" si="26">H44</f>
        <v>1.1204402405741555E-2</v>
      </c>
      <c r="J44" s="25">
        <f t="shared" si="26"/>
        <v>1.1204402405741555E-2</v>
      </c>
      <c r="K44" s="25">
        <f t="shared" si="26"/>
        <v>1.1204402405741555E-2</v>
      </c>
      <c r="L44" s="25">
        <f t="shared" si="26"/>
        <v>1.1204402405741555E-2</v>
      </c>
    </row>
    <row r="45" spans="2:12" ht="18.75" x14ac:dyDescent="0.25">
      <c r="B45" s="9" t="s">
        <v>115</v>
      </c>
      <c r="C45" s="7">
        <f xml:space="preserve"> C41+C43</f>
        <v>63436.468094654731</v>
      </c>
      <c r="D45" s="7">
        <f t="shared" ref="D45:L45" si="27" xml:space="preserve"> D41+D43</f>
        <v>73667.082551924905</v>
      </c>
      <c r="E45" s="7">
        <f t="shared" si="27"/>
        <v>77959.296664617985</v>
      </c>
      <c r="F45" s="7">
        <f t="shared" si="27"/>
        <v>75689.316090199616</v>
      </c>
      <c r="G45" s="7">
        <f t="shared" si="27"/>
        <v>20988.277525006546</v>
      </c>
      <c r="H45" s="27">
        <f t="shared" si="27"/>
        <v>75562.661796199711</v>
      </c>
      <c r="I45" s="27">
        <f t="shared" si="27"/>
        <v>81186.994706040336</v>
      </c>
      <c r="J45" s="27">
        <f t="shared" si="27"/>
        <v>87847.215676180625</v>
      </c>
      <c r="K45" s="27">
        <f t="shared" si="27"/>
        <v>95470.229433269575</v>
      </c>
      <c r="L45" s="27">
        <f t="shared" si="27"/>
        <v>96951.945220662747</v>
      </c>
    </row>
    <row r="46" spans="2:12" x14ac:dyDescent="0.25">
      <c r="B46" s="19" t="s">
        <v>258</v>
      </c>
      <c r="C46" s="21">
        <f>C45/Income_Statement!C5</f>
        <v>0.7366204967548079</v>
      </c>
      <c r="D46" s="21">
        <f>D45/Income_Statement!D5</f>
        <v>0.73951796970260408</v>
      </c>
      <c r="E46" s="21">
        <f>E45/Income_Statement!E5</f>
        <v>0.71470733235848283</v>
      </c>
      <c r="F46" s="21">
        <f>F45/Income_Statement!F5</f>
        <v>0.68024407484172089</v>
      </c>
      <c r="G46" s="21">
        <f>G45/Income_Statement!G5</f>
        <v>0.1581999806210341</v>
      </c>
      <c r="H46" s="29">
        <f>H45/Income_Statement!H5</f>
        <v>0.52872355750153965</v>
      </c>
      <c r="I46" s="29">
        <f>I45/Income_Statement!I5</f>
        <v>0.52223780833123756</v>
      </c>
      <c r="J46" s="29">
        <f>J45/Income_Statement!J5</f>
        <v>0.51059077031669597</v>
      </c>
      <c r="K46" s="29">
        <f>K45/Income_Statement!K5</f>
        <v>0.49584290232449724</v>
      </c>
      <c r="L46" s="29">
        <f>L45/Income_Statement!L5</f>
        <v>0.46494575923289527</v>
      </c>
    </row>
    <row r="47" spans="2:12" ht="18.75" x14ac:dyDescent="0.25">
      <c r="B47" s="8" t="s">
        <v>79</v>
      </c>
      <c r="C47" s="5">
        <v>5652.94</v>
      </c>
      <c r="D47" s="5">
        <v>-2779.94</v>
      </c>
      <c r="E47" s="5">
        <v>9347.5400000000009</v>
      </c>
      <c r="F47" s="5">
        <v>2420.5300000000002</v>
      </c>
      <c r="G47" s="5">
        <v>5047.1000000000004</v>
      </c>
      <c r="H47" s="24">
        <f>H45*H64</f>
        <v>18170.729346284486</v>
      </c>
      <c r="I47" s="24">
        <f t="shared" ref="I47:L47" si="28">I45*I64</f>
        <v>19523.225786044033</v>
      </c>
      <c r="J47" s="24">
        <f t="shared" si="28"/>
        <v>21124.824641326206</v>
      </c>
      <c r="K47" s="24">
        <f t="shared" si="28"/>
        <v>22957.94852143326</v>
      </c>
      <c r="L47" s="24">
        <f t="shared" si="28"/>
        <v>23314.260169287256</v>
      </c>
    </row>
    <row r="48" spans="2:12" x14ac:dyDescent="0.25">
      <c r="B48" s="17" t="s">
        <v>259</v>
      </c>
      <c r="C48" s="18">
        <f>C47/Income_Statement!C5</f>
        <v>6.5641603260632911E-2</v>
      </c>
      <c r="D48" s="18">
        <f>D47/Income_Statement!D5</f>
        <v>-2.790684133915575E-2</v>
      </c>
      <c r="E48" s="18">
        <f>E47/Income_Statement!E5</f>
        <v>8.5695429068003523E-2</v>
      </c>
      <c r="F48" s="18">
        <f>F47/Income_Statement!F5</f>
        <v>2.1754076738048755E-2</v>
      </c>
      <c r="G48" s="18">
        <f>G47/Income_Statement!G5</f>
        <v>3.804271795249059E-2</v>
      </c>
      <c r="H48" s="25">
        <f>H47/Income_Statement!H5</f>
        <v>0.12714338582032775</v>
      </c>
      <c r="I48" s="25">
        <f>I47/Income_Statement!I5</f>
        <v>0.12558374260527927</v>
      </c>
      <c r="J48" s="25">
        <f>J47/Income_Statement!J5</f>
        <v>0.12278295223583825</v>
      </c>
      <c r="K48" s="25">
        <f>K47/Income_Statement!K5</f>
        <v>0.11923649805660697</v>
      </c>
      <c r="L48" s="25">
        <f>L47/Income_Statement!L5</f>
        <v>0.11180659006573786</v>
      </c>
    </row>
    <row r="49" spans="2:12" ht="18.75" x14ac:dyDescent="0.25">
      <c r="B49" s="9" t="s">
        <v>116</v>
      </c>
      <c r="C49" s="7">
        <f xml:space="preserve"> C45-C47</f>
        <v>57783.528094654728</v>
      </c>
      <c r="D49" s="7">
        <f t="shared" ref="D49:L49" si="29" xml:space="preserve"> D45-D47</f>
        <v>76447.022551924907</v>
      </c>
      <c r="E49" s="7">
        <f t="shared" si="29"/>
        <v>68611.756664617977</v>
      </c>
      <c r="F49" s="7">
        <f t="shared" si="29"/>
        <v>73268.786090199617</v>
      </c>
      <c r="G49" s="7">
        <f t="shared" si="29"/>
        <v>15941.177525006546</v>
      </c>
      <c r="H49" s="27">
        <f t="shared" si="29"/>
        <v>57391.932449915228</v>
      </c>
      <c r="I49" s="27">
        <f t="shared" si="29"/>
        <v>61663.768919996306</v>
      </c>
      <c r="J49" s="27">
        <f t="shared" si="29"/>
        <v>66722.391034854416</v>
      </c>
      <c r="K49" s="27">
        <f t="shared" si="29"/>
        <v>72512.280911836307</v>
      </c>
      <c r="L49" s="27">
        <f t="shared" si="29"/>
        <v>73637.685051375491</v>
      </c>
    </row>
    <row r="50" spans="2:12" x14ac:dyDescent="0.25">
      <c r="B50" s="19" t="s">
        <v>260</v>
      </c>
      <c r="C50" s="21">
        <f>C49/Income_Statement!C5</f>
        <v>0.67097889349417494</v>
      </c>
      <c r="D50" s="21">
        <f>D49/Income_Statement!D5</f>
        <v>0.76742481104175986</v>
      </c>
      <c r="E50" s="21">
        <f>E49/Income_Statement!E5</f>
        <v>0.62901190329047929</v>
      </c>
      <c r="F50" s="21">
        <f>F49/Income_Statement!F5</f>
        <v>0.65848999810367215</v>
      </c>
      <c r="G50" s="21">
        <f>G49/Income_Statement!G5</f>
        <v>0.12015726266854351</v>
      </c>
      <c r="H50" s="29">
        <f>H49/Income_Statement!H5</f>
        <v>0.40158017168121191</v>
      </c>
      <c r="I50" s="29">
        <f>I49/Income_Statement!I5</f>
        <v>0.39665406572595835</v>
      </c>
      <c r="J50" s="29">
        <f>J49/Income_Statement!J5</f>
        <v>0.38780781808085762</v>
      </c>
      <c r="K50" s="29">
        <f>K49/Income_Statement!K5</f>
        <v>0.37660640426789027</v>
      </c>
      <c r="L50" s="29">
        <f>L49/Income_Statement!L5</f>
        <v>0.35313916916715743</v>
      </c>
    </row>
    <row r="51" spans="2:12" ht="18.75" x14ac:dyDescent="0.25">
      <c r="B51" s="8" t="s">
        <v>88</v>
      </c>
      <c r="C51" s="4">
        <v>4040.28</v>
      </c>
      <c r="D51" s="5">
        <v>3019.88</v>
      </c>
      <c r="E51" s="4">
        <v>494.73</v>
      </c>
      <c r="F51" s="5">
        <v>5531.06</v>
      </c>
      <c r="G51" s="5">
        <v>0</v>
      </c>
      <c r="H51" s="24">
        <f>H5*H52</f>
        <v>0</v>
      </c>
      <c r="I51" s="24">
        <f t="shared" ref="I51:L51" si="30">I5*I52</f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</row>
    <row r="52" spans="2:12" x14ac:dyDescent="0.25">
      <c r="B52" s="17" t="s">
        <v>261</v>
      </c>
      <c r="C52" s="18">
        <f>C51/Income_Statement!C5</f>
        <v>4.6915491199600555E-2</v>
      </c>
      <c r="D52" s="18">
        <f>D51/Income_Statement!D5</f>
        <v>3.0315514731717112E-2</v>
      </c>
      <c r="E52" s="18">
        <f>E51/Income_Statement!E5</f>
        <v>4.5355355123180407E-3</v>
      </c>
      <c r="F52" s="18">
        <f>F51/Income_Statement!F5</f>
        <v>4.9709404007697459E-2</v>
      </c>
      <c r="G52" s="18">
        <f>G51/Income_Statement!G5</f>
        <v>0</v>
      </c>
      <c r="H52" s="25">
        <f>G52</f>
        <v>0</v>
      </c>
      <c r="I52" s="25">
        <f t="shared" ref="I52:L52" si="31">H52</f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</row>
    <row r="53" spans="2:12" ht="18.75" x14ac:dyDescent="0.25">
      <c r="B53" s="8" t="s">
        <v>89</v>
      </c>
      <c r="C53" s="4">
        <v>826.57</v>
      </c>
      <c r="D53" s="4">
        <v>617.62</v>
      </c>
      <c r="E53" s="4">
        <v>101.18</v>
      </c>
      <c r="F53" s="4">
        <v>0</v>
      </c>
      <c r="G53" s="4">
        <v>0</v>
      </c>
      <c r="H53" s="26">
        <f>H5*H54</f>
        <v>0</v>
      </c>
      <c r="I53" s="26">
        <f t="shared" ref="I53:L53" si="32">I5*I54</f>
        <v>0</v>
      </c>
      <c r="J53" s="26">
        <f t="shared" si="32"/>
        <v>0</v>
      </c>
      <c r="K53" s="26">
        <f t="shared" si="32"/>
        <v>0</v>
      </c>
      <c r="L53" s="26">
        <f t="shared" si="32"/>
        <v>0</v>
      </c>
    </row>
    <row r="54" spans="2:12" x14ac:dyDescent="0.25">
      <c r="B54" s="17" t="s">
        <v>262</v>
      </c>
      <c r="C54" s="18">
        <f>C53/Income_Statement!C5</f>
        <v>9.5980817074197405E-3</v>
      </c>
      <c r="D54" s="18">
        <f>D53/Income_Statement!D5</f>
        <v>6.200070270541585E-3</v>
      </c>
      <c r="E54" s="18">
        <f>E53/Income_Statement!E5</f>
        <v>9.2758774106348793E-4</v>
      </c>
      <c r="F54" s="18">
        <f>F53/Income_Statement!F5</f>
        <v>0</v>
      </c>
      <c r="G54" s="18">
        <f>G53/Income_Statement!G5</f>
        <v>0</v>
      </c>
      <c r="H54" s="25">
        <f>G54</f>
        <v>0</v>
      </c>
      <c r="I54" s="25">
        <f t="shared" ref="I54:L54" si="33">H54</f>
        <v>0</v>
      </c>
      <c r="J54" s="25">
        <f t="shared" si="33"/>
        <v>0</v>
      </c>
      <c r="K54" s="25">
        <f t="shared" si="33"/>
        <v>0</v>
      </c>
      <c r="L54" s="25">
        <f t="shared" si="33"/>
        <v>0</v>
      </c>
    </row>
    <row r="55" spans="2:12" ht="18.75" x14ac:dyDescent="0.25">
      <c r="B55" s="9" t="s">
        <v>117</v>
      </c>
      <c r="C55" s="7">
        <f xml:space="preserve"> C49-C51-C53</f>
        <v>52916.67809465473</v>
      </c>
      <c r="D55" s="7">
        <f t="shared" ref="D55:L55" si="34" xml:space="preserve"> D49-D51-D53</f>
        <v>72809.522551924907</v>
      </c>
      <c r="E55" s="7">
        <f t="shared" si="34"/>
        <v>68015.846664617988</v>
      </c>
      <c r="F55" s="7">
        <f t="shared" si="34"/>
        <v>67737.72609019962</v>
      </c>
      <c r="G55" s="7">
        <f t="shared" si="34"/>
        <v>15941.177525006546</v>
      </c>
      <c r="H55" s="27">
        <f t="shared" si="34"/>
        <v>57391.932449915228</v>
      </c>
      <c r="I55" s="27">
        <f t="shared" si="34"/>
        <v>61663.768919996306</v>
      </c>
      <c r="J55" s="27">
        <f t="shared" si="34"/>
        <v>66722.391034854416</v>
      </c>
      <c r="K55" s="27">
        <f t="shared" si="34"/>
        <v>72512.280911836307</v>
      </c>
      <c r="L55" s="27">
        <f t="shared" si="34"/>
        <v>73637.685051375491</v>
      </c>
    </row>
    <row r="56" spans="2:12" x14ac:dyDescent="0.25">
      <c r="B56" s="19" t="s">
        <v>263</v>
      </c>
      <c r="C56" s="21">
        <f>C55/Income_Statement!C5</f>
        <v>0.61446532058715464</v>
      </c>
      <c r="D56" s="21">
        <f>D55/Income_Statement!D5</f>
        <v>0.73090922603950115</v>
      </c>
      <c r="E56" s="21">
        <f>E55/Income_Statement!E5</f>
        <v>0.62354878003709791</v>
      </c>
      <c r="F56" s="21">
        <f>F55/Income_Statement!F5</f>
        <v>0.60878059409597463</v>
      </c>
      <c r="G56" s="21">
        <f>G55/Income_Statement!G5</f>
        <v>0.12015726266854351</v>
      </c>
      <c r="H56" s="29">
        <f>H55/Income_Statement!H5</f>
        <v>0.40158017168121191</v>
      </c>
      <c r="I56" s="29">
        <f>I55/Income_Statement!I5</f>
        <v>0.39665406572595835</v>
      </c>
      <c r="J56" s="29">
        <f>J55/Income_Statement!J5</f>
        <v>0.38780781808085762</v>
      </c>
      <c r="K56" s="29">
        <f>K55/Income_Statement!K5</f>
        <v>0.37660640426789027</v>
      </c>
      <c r="L56" s="29">
        <f>L55/Income_Statement!L5</f>
        <v>0.35313916916715743</v>
      </c>
    </row>
    <row r="57" spans="2:12" ht="18.75" x14ac:dyDescent="0.25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2:12" ht="18.75" x14ac:dyDescent="0.25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2:12" ht="18.75" x14ac:dyDescent="0.25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2:12" ht="18.75" x14ac:dyDescent="0.25">
      <c r="B60" s="8" t="s">
        <v>85</v>
      </c>
      <c r="C60" s="4">
        <v>11</v>
      </c>
      <c r="D60" s="4">
        <v>14</v>
      </c>
      <c r="E60" s="4">
        <v>12</v>
      </c>
      <c r="F60" s="4">
        <v>15</v>
      </c>
      <c r="G60" s="4">
        <v>17</v>
      </c>
      <c r="H60" s="4"/>
      <c r="I60" s="4"/>
      <c r="J60" s="4"/>
      <c r="K60" s="4"/>
      <c r="L60" s="4"/>
    </row>
    <row r="61" spans="2:12" ht="18.75" x14ac:dyDescent="0.25">
      <c r="B61" s="8" t="s">
        <v>118</v>
      </c>
      <c r="C61" s="4">
        <f>C49/C60</f>
        <v>5253.0480086049756</v>
      </c>
      <c r="D61" s="4">
        <f t="shared" ref="D61:G61" si="35">D49/D60</f>
        <v>5460.5016108517793</v>
      </c>
      <c r="E61" s="4">
        <f t="shared" si="35"/>
        <v>5717.6463887181644</v>
      </c>
      <c r="F61" s="4">
        <f t="shared" si="35"/>
        <v>4884.5857393466413</v>
      </c>
      <c r="G61" s="4">
        <f t="shared" si="35"/>
        <v>937.71632500038504</v>
      </c>
      <c r="H61" s="4"/>
      <c r="I61" s="4"/>
      <c r="J61" s="4"/>
      <c r="K61" s="4"/>
      <c r="L61" s="4"/>
    </row>
    <row r="62" spans="2:12" x14ac:dyDescent="0.25">
      <c r="B62" t="s">
        <v>266</v>
      </c>
      <c r="C62" s="23">
        <f>C31/Balance_Sheet!C40</f>
        <v>5.8320041815705999E-2</v>
      </c>
      <c r="D62" s="23">
        <f>D31/Balance_Sheet!D40</f>
        <v>5.7580324906270394E-2</v>
      </c>
      <c r="E62" s="23">
        <f>E31/Balance_Sheet!E40</f>
        <v>5.5328324940005814E-2</v>
      </c>
      <c r="F62" s="23">
        <f>F31/Balance_Sheet!F40</f>
        <v>6.1453256830458144E-2</v>
      </c>
      <c r="G62" s="23">
        <f>G31/Balance_Sheet!G40</f>
        <v>4.362557003768526E-2</v>
      </c>
      <c r="H62" s="23">
        <f>MEDIAN(C62:G62)</f>
        <v>5.7580324906270394E-2</v>
      </c>
      <c r="I62" s="23">
        <f t="shared" ref="I62:L62" si="36">H62</f>
        <v>5.7580324906270394E-2</v>
      </c>
      <c r="J62" s="23">
        <f t="shared" si="36"/>
        <v>5.7580324906270394E-2</v>
      </c>
      <c r="K62" s="23">
        <f t="shared" si="36"/>
        <v>5.7580324906270394E-2</v>
      </c>
      <c r="L62" s="23">
        <f t="shared" si="36"/>
        <v>5.7580324906270394E-2</v>
      </c>
    </row>
    <row r="63" spans="2:12" x14ac:dyDescent="0.25">
      <c r="B63" t="s">
        <v>267</v>
      </c>
      <c r="C63" s="23">
        <f>C35/Balance_Sheet!C21</f>
        <v>3.3129106689470965E-2</v>
      </c>
      <c r="D63" s="23">
        <f>D35/Balance_Sheet!D21</f>
        <v>3.3289544404877934E-2</v>
      </c>
      <c r="E63" s="23">
        <f>E35/Balance_Sheet!E21</f>
        <v>4.0323824627218799E-2</v>
      </c>
      <c r="F63" s="23">
        <f>F35/Balance_Sheet!F21</f>
        <v>4.4534309944726437E-2</v>
      </c>
      <c r="G63" s="23">
        <f>G35/Balance_Sheet!G21</f>
        <v>4.2248014608883264E-2</v>
      </c>
      <c r="H63" s="23">
        <f>G63</f>
        <v>4.2248014608883264E-2</v>
      </c>
      <c r="I63" s="23">
        <f t="shared" ref="I63:L63" si="37">H63</f>
        <v>4.2248014608883264E-2</v>
      </c>
      <c r="J63" s="23">
        <f t="shared" si="37"/>
        <v>4.2248014608883264E-2</v>
      </c>
      <c r="K63" s="23">
        <f t="shared" si="37"/>
        <v>4.2248014608883264E-2</v>
      </c>
      <c r="L63" s="23">
        <f t="shared" si="37"/>
        <v>4.2248014608883264E-2</v>
      </c>
    </row>
    <row r="64" spans="2:12" x14ac:dyDescent="0.25">
      <c r="B64" t="s">
        <v>268</v>
      </c>
      <c r="C64" s="23">
        <f>C47/Income_Statement!C45</f>
        <v>8.9111833773045865E-2</v>
      </c>
      <c r="D64" s="23">
        <f>D47/Income_Statement!D45</f>
        <v>-3.7736529039826362E-2</v>
      </c>
      <c r="E64" s="23">
        <f>E47/Income_Statement!E45</f>
        <v>0.11990282621729198</v>
      </c>
      <c r="F64" s="23">
        <f>F47/Income_Statement!F45</f>
        <v>3.1979810692376098E-2</v>
      </c>
      <c r="G64" s="23">
        <f>G47/Income_Statement!G45</f>
        <v>0.240472330041692</v>
      </c>
      <c r="H64" s="23">
        <f>G64</f>
        <v>0.240472330041692</v>
      </c>
      <c r="I64" s="23">
        <f t="shared" ref="I64:L64" si="38">H64</f>
        <v>0.240472330041692</v>
      </c>
      <c r="J64" s="23">
        <f t="shared" si="38"/>
        <v>0.240472330041692</v>
      </c>
      <c r="K64" s="23">
        <f t="shared" si="38"/>
        <v>0.240472330041692</v>
      </c>
      <c r="L64" s="23">
        <f t="shared" si="38"/>
        <v>0.240472330041692</v>
      </c>
    </row>
    <row r="65" spans="2:12" x14ac:dyDescent="0.25">
      <c r="B65" t="s">
        <v>269</v>
      </c>
      <c r="C65" s="23">
        <f>C53/Income_Statement!C51</f>
        <v>0.20458235567831934</v>
      </c>
      <c r="D65" s="23">
        <f>D53/Income_Statement!D51</f>
        <v>0.20451806032027761</v>
      </c>
      <c r="E65" s="23">
        <f>E53/Income_Statement!E51</f>
        <v>0.20451559436460293</v>
      </c>
      <c r="F65" s="23">
        <f>F53/Income_Statement!F51</f>
        <v>0</v>
      </c>
      <c r="G65" s="23" t="e">
        <f>G53/Income_Statement!G51</f>
        <v>#DIV/0!</v>
      </c>
      <c r="H65" s="23" t="e">
        <f>G65</f>
        <v>#DIV/0!</v>
      </c>
      <c r="I65" s="23" t="e">
        <f t="shared" ref="I65:L65" si="39">H65</f>
        <v>#DIV/0!</v>
      </c>
      <c r="J65" s="23" t="e">
        <f t="shared" si="39"/>
        <v>#DIV/0!</v>
      </c>
      <c r="K65" s="23" t="e">
        <f t="shared" si="39"/>
        <v>#DIV/0!</v>
      </c>
      <c r="L65" s="23" t="e">
        <f t="shared" si="39"/>
        <v>#DIV/0!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131C5B3D-0054-47F4-9A06-0BC4A793C45E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DF6D4-D1D0-4759-BC14-6B92125F955C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</f>
        <v>Gross Sales</v>
      </c>
      <c r="C5" s="13">
        <f>Income_Statement!C5</f>
        <v>86118.25</v>
      </c>
      <c r="D5" s="13">
        <f>Income_Statement!D5</f>
        <v>99615</v>
      </c>
      <c r="E5" s="13">
        <f>Income_Statement!E5</f>
        <v>109078.63</v>
      </c>
      <c r="F5" s="13">
        <f>Income_Statement!F5</f>
        <v>111267.88</v>
      </c>
      <c r="G5" s="13">
        <f>Income_Statement!G5</f>
        <v>132669.28</v>
      </c>
    </row>
    <row r="6" spans="2:15" ht="18.75" x14ac:dyDescent="0.25">
      <c r="B6" s="12" t="str">
        <f>Income_Statement!B15</f>
        <v>Total Income</v>
      </c>
      <c r="C6" s="13">
        <f>Income_Statement!C15</f>
        <v>87677.548094654732</v>
      </c>
      <c r="D6" s="13">
        <f>Income_Statement!D15</f>
        <v>101862.5325519249</v>
      </c>
      <c r="E6" s="13">
        <f>Income_Statement!E15</f>
        <v>111988.19666461799</v>
      </c>
      <c r="F6" s="13">
        <f>Income_Statement!F15</f>
        <v>115284.59609019961</v>
      </c>
      <c r="G6" s="13">
        <f>Income_Statement!G15</f>
        <v>134995.32752500655</v>
      </c>
    </row>
  </sheetData>
  <hyperlinks>
    <hyperlink ref="F1" location="Index_Data!A1" tooltip="Hi click here To return Index page" display="Index_Data!A1" xr:uid="{21BB86D0-5DB5-4071-95A3-1EE21888AB4A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3DD7B-CBEB-4248-BB14-6F4195F6AC86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282361.67000000004</v>
      </c>
      <c r="D5" s="13">
        <f>Balance_Sheet!D37</f>
        <v>413327.04255192494</v>
      </c>
      <c r="E5" s="13">
        <f>Balance_Sheet!E37</f>
        <v>505684.2192165429</v>
      </c>
      <c r="F5" s="13">
        <f>Balance_Sheet!F37</f>
        <v>586805.51530674251</v>
      </c>
      <c r="G5" s="13">
        <f>Balance_Sheet!G37</f>
        <v>610661.9428317491</v>
      </c>
    </row>
    <row r="6" spans="2:15" ht="18.75" x14ac:dyDescent="0.25">
      <c r="B6" s="12" t="str">
        <f>Balance_Sheet!B21</f>
        <v>Total Debt</v>
      </c>
      <c r="C6" s="13">
        <f>Balance_Sheet!C21</f>
        <v>133857.82</v>
      </c>
      <c r="D6" s="13">
        <f>Balance_Sheet!D21</f>
        <v>168360.66999999998</v>
      </c>
      <c r="E6" s="13">
        <f>Balance_Sheet!E21</f>
        <v>201291.67</v>
      </c>
      <c r="F6" s="13">
        <f>Balance_Sheet!F21</f>
        <v>207124.35</v>
      </c>
      <c r="G6" s="13">
        <f>Balance_Sheet!G21</f>
        <v>220506.93000000002</v>
      </c>
    </row>
  </sheetData>
  <hyperlinks>
    <hyperlink ref="F1" location="Index_Data!A1" tooltip="Hi click here To return Index page" display="Index_Data!A1" xr:uid="{A82DA573-8B41-493E-A861-D614EB973BFC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6F52A-EB6B-464F-847C-DA3D9B882BA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Balance_Sheet!B37</f>
        <v>Total Liabilities</v>
      </c>
      <c r="C5" s="13">
        <f>Balance_Sheet!C37</f>
        <v>282361.67000000004</v>
      </c>
      <c r="D5" s="13">
        <f>Balance_Sheet!D37</f>
        <v>413327.04255192494</v>
      </c>
      <c r="E5" s="13">
        <f>Balance_Sheet!E37</f>
        <v>505684.2192165429</v>
      </c>
      <c r="F5" s="13">
        <f>Balance_Sheet!F37</f>
        <v>586805.51530674251</v>
      </c>
      <c r="G5" s="13">
        <f>Balance_Sheet!G37</f>
        <v>610661.9428317491</v>
      </c>
    </row>
    <row r="6" spans="2:15" ht="18.75" x14ac:dyDescent="0.25">
      <c r="B6" s="12" t="str">
        <f>Balance_Sheet!B33</f>
        <v>Total Current Liabilities</v>
      </c>
      <c r="C6" s="13">
        <f>Balance_Sheet!C33</f>
        <v>43992.61</v>
      </c>
      <c r="D6" s="13">
        <f>Balance_Sheet!D33</f>
        <v>64036.08</v>
      </c>
      <c r="E6" s="13">
        <f>Balance_Sheet!E33</f>
        <v>55037.42</v>
      </c>
      <c r="F6" s="13">
        <f>Balance_Sheet!F33</f>
        <v>62579.68</v>
      </c>
      <c r="G6" s="13">
        <f>Balance_Sheet!G33</f>
        <v>56875.65</v>
      </c>
    </row>
  </sheetData>
  <hyperlinks>
    <hyperlink ref="F1" location="Index_Data!A1" tooltip="Hi click here To return Index page" display="Index_Data!A1" xr:uid="{361870FD-DC22-4A78-AD47-EC451C5D9F10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9DF63-72BA-4C26-8292-2DDC72C22DC9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282361.67</v>
      </c>
      <c r="D5" s="13">
        <f>Balance_Sheet!D74</f>
        <v>413327.04255192488</v>
      </c>
      <c r="E5" s="13">
        <f>Balance_Sheet!E74</f>
        <v>505684.2192165429</v>
      </c>
      <c r="F5" s="13">
        <f>Balance_Sheet!F74</f>
        <v>586805.51530674251</v>
      </c>
      <c r="G5" s="13">
        <f>Balance_Sheet!G74</f>
        <v>610661.9428317491</v>
      </c>
    </row>
    <row r="6" spans="2:15" ht="18.75" x14ac:dyDescent="0.25">
      <c r="B6" s="12" t="str">
        <f>Balance_Sheet!B54</f>
        <v>Total Non Current Assets</v>
      </c>
      <c r="C6" s="13">
        <f>Balance_Sheet!C54</f>
        <v>220507.13</v>
      </c>
      <c r="D6" s="13">
        <f>Balance_Sheet!D54</f>
        <v>268446.03999999998</v>
      </c>
      <c r="E6" s="13">
        <f>Balance_Sheet!E54</f>
        <v>276295.13</v>
      </c>
      <c r="F6" s="13">
        <f>Balance_Sheet!F54</f>
        <v>279763.08999999997</v>
      </c>
      <c r="G6" s="13">
        <f>Balance_Sheet!G54</f>
        <v>281412.19</v>
      </c>
    </row>
  </sheetData>
  <hyperlinks>
    <hyperlink ref="F1" location="Index_Data!A1" tooltip="Hi click here To return Index page" display="Index_Data!A1" xr:uid="{1B7870D7-C61D-4F1C-9CD2-33A89AF8CF34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4C000-4C35-4852-A8E0-015B2DDFBACF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Balance_Sheet!B74</f>
        <v>Total Assets</v>
      </c>
      <c r="C5" s="13">
        <f>Balance_Sheet!C74</f>
        <v>282361.67</v>
      </c>
      <c r="D5" s="13">
        <f>Balance_Sheet!D74</f>
        <v>413327.04255192488</v>
      </c>
      <c r="E5" s="13">
        <f>Balance_Sheet!E74</f>
        <v>505684.2192165429</v>
      </c>
      <c r="F5" s="13">
        <f>Balance_Sheet!F74</f>
        <v>586805.51530674251</v>
      </c>
      <c r="G5" s="13">
        <f>Balance_Sheet!G74</f>
        <v>610661.9428317491</v>
      </c>
    </row>
    <row r="6" spans="2:15" ht="18.75" x14ac:dyDescent="0.25">
      <c r="B6" s="12" t="str">
        <f>Balance_Sheet!B72</f>
        <v>Total Current Assets</v>
      </c>
      <c r="C6" s="13">
        <f>Balance_Sheet!C72</f>
        <v>61854.54</v>
      </c>
      <c r="D6" s="13">
        <f>Balance_Sheet!D72</f>
        <v>144881.0025519249</v>
      </c>
      <c r="E6" s="13">
        <f>Balance_Sheet!E72</f>
        <v>229389.0892165429</v>
      </c>
      <c r="F6" s="13">
        <f>Balance_Sheet!F72</f>
        <v>307042.42530674255</v>
      </c>
      <c r="G6" s="13">
        <f>Balance_Sheet!G72</f>
        <v>329249.75283174904</v>
      </c>
    </row>
  </sheetData>
  <hyperlinks>
    <hyperlink ref="F1" location="Index_Data!A1" tooltip="Hi click here To return Index page" display="Index_Data!A1" xr:uid="{D077D166-E22A-4E11-ADF1-7951E880B36D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EF2B8-C0C4-4A0B-BFE1-A8A55A3E35C2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3" width="13.140625" bestFit="1" customWidth="1"/>
    <col min="4" max="7" width="14.8554687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Income_Statement!B25</f>
        <v>Total Expenditure</v>
      </c>
      <c r="C5" s="13">
        <f>Income_Statement!C25</f>
        <v>12346.560000000001</v>
      </c>
      <c r="D5" s="13">
        <f>Income_Statement!D25</f>
        <v>13921.77</v>
      </c>
      <c r="E5" s="13">
        <f>Income_Statement!E25</f>
        <v>15555.89</v>
      </c>
      <c r="F5" s="13">
        <f>Income_Statement!F25</f>
        <v>16408.64</v>
      </c>
      <c r="G5" s="13">
        <f>Income_Statement!G25</f>
        <v>92389.72</v>
      </c>
    </row>
    <row r="6" spans="2:15" ht="18.75" x14ac:dyDescent="0.25">
      <c r="B6" s="12" t="str">
        <f>Income_Statement!B15</f>
        <v>Total Income</v>
      </c>
      <c r="C6" s="13">
        <f>Income_Statement!C15</f>
        <v>87677.548094654732</v>
      </c>
      <c r="D6" s="13">
        <f>Income_Statement!D15</f>
        <v>101862.5325519249</v>
      </c>
      <c r="E6" s="13">
        <f>Income_Statement!E15</f>
        <v>111988.19666461799</v>
      </c>
      <c r="F6" s="13">
        <f>Income_Statement!F15</f>
        <v>115284.59609019961</v>
      </c>
      <c r="G6" s="13">
        <f>Income_Statement!G15</f>
        <v>134995.32752500655</v>
      </c>
    </row>
  </sheetData>
  <hyperlinks>
    <hyperlink ref="F1" location="Index_Data!A1" tooltip="Hi click here To return Index page" display="Index_Data!A1" xr:uid="{EDE27CE4-8E4A-4DD1-A3EB-5C1A3084A218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FB445-6048-4B5D-828D-613F17C8EF7E}">
  <dimension ref="B1:O6"/>
  <sheetViews>
    <sheetView showGridLines="0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4" spans="2:15" ht="18.75" x14ac:dyDescent="0.25">
      <c r="B4" s="11" t="s">
        <v>202</v>
      </c>
      <c r="C4" s="11">
        <f>Balance_Sheet!C4</f>
        <v>2018</v>
      </c>
      <c r="D4" s="11">
        <f>Balance_Sheet!D4</f>
        <v>2019</v>
      </c>
      <c r="E4" s="11">
        <f>Balance_Sheet!E4</f>
        <v>2020</v>
      </c>
      <c r="F4" s="11">
        <f>Balance_Sheet!F4</f>
        <v>2021</v>
      </c>
      <c r="G4" s="11">
        <f>Balance_Sheet!G4</f>
        <v>2022</v>
      </c>
    </row>
    <row r="5" spans="2:15" ht="18.75" x14ac:dyDescent="0.25">
      <c r="B5" s="12" t="str">
        <f>Income_Statement!B55</f>
        <v>Amount C\F to Balance Sheet</v>
      </c>
      <c r="C5" s="13">
        <f>Income_Statement!C55</f>
        <v>52916.67809465473</v>
      </c>
      <c r="D5" s="13">
        <f>Income_Statement!D55</f>
        <v>72809.522551924907</v>
      </c>
      <c r="E5" s="13">
        <f>Income_Statement!E55</f>
        <v>68015.846664617988</v>
      </c>
      <c r="F5" s="13">
        <f>Income_Statement!F55</f>
        <v>67737.72609019962</v>
      </c>
      <c r="G5" s="13">
        <f>Income_Statement!G55</f>
        <v>15941.177525006546</v>
      </c>
    </row>
    <row r="6" spans="2:15" ht="18.75" x14ac:dyDescent="0.25">
      <c r="B6" s="12" t="str">
        <f>Income_Statement!B49</f>
        <v>Reported Net Profit(PAT)</v>
      </c>
      <c r="C6" s="13">
        <f>Income_Statement!C49</f>
        <v>57783.528094654728</v>
      </c>
      <c r="D6" s="13">
        <f>Income_Statement!D49</f>
        <v>76447.022551924907</v>
      </c>
      <c r="E6" s="13">
        <f>Income_Statement!E49</f>
        <v>68611.756664617977</v>
      </c>
      <c r="F6" s="13">
        <f>Income_Statement!F49</f>
        <v>73268.786090199617</v>
      </c>
      <c r="G6" s="13">
        <f>Income_Statement!G49</f>
        <v>15941.177525006546</v>
      </c>
    </row>
  </sheetData>
  <hyperlinks>
    <hyperlink ref="F1" location="Index_Data!A1" tooltip="Hi click here To return Index page" display="Index_Data!A1" xr:uid="{A5DBB5A6-4CE4-4EEF-921F-DC3FFB065B51}"/>
  </hyperlink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3D1B6-832C-4F2F-BDCB-32374B38FD5F}">
  <dimension ref="B1:O40"/>
  <sheetViews>
    <sheetView showGridLines="0" workbookViewId="0"/>
  </sheetViews>
  <sheetFormatPr defaultRowHeight="15" x14ac:dyDescent="0.25"/>
  <cols>
    <col min="2" max="2" width="46" bestFit="1" customWidth="1"/>
    <col min="3" max="7" width="17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5</v>
      </c>
      <c r="C5" s="5">
        <v>8245.4599999999991</v>
      </c>
      <c r="D5" s="5">
        <v>9894.56</v>
      </c>
      <c r="E5" s="5">
        <v>9894.56</v>
      </c>
      <c r="F5" s="5">
        <v>9696.67</v>
      </c>
      <c r="G5" s="5">
        <v>9696.67</v>
      </c>
    </row>
    <row r="6" spans="2:15" ht="18.75" x14ac:dyDescent="0.25">
      <c r="B6" s="8" t="s">
        <v>121</v>
      </c>
      <c r="C6" s="4"/>
      <c r="D6" s="4"/>
      <c r="E6" s="4"/>
      <c r="F6" s="4"/>
      <c r="G6" s="4"/>
    </row>
    <row r="7" spans="2:15" ht="18.75" x14ac:dyDescent="0.25">
      <c r="B7" s="9" t="s">
        <v>6</v>
      </c>
      <c r="C7" s="7">
        <f>C5+C6</f>
        <v>8245.4599999999991</v>
      </c>
      <c r="D7" s="7">
        <f t="shared" ref="D7:G7" si="0">D5+D6</f>
        <v>9894.56</v>
      </c>
      <c r="E7" s="7">
        <f t="shared" si="0"/>
        <v>9894.56</v>
      </c>
      <c r="F7" s="7">
        <f t="shared" si="0"/>
        <v>9696.67</v>
      </c>
      <c r="G7" s="7">
        <f t="shared" si="0"/>
        <v>9696.67</v>
      </c>
    </row>
    <row r="8" spans="2:15" ht="18.75" x14ac:dyDescent="0.25">
      <c r="B8" s="8" t="s">
        <v>7</v>
      </c>
      <c r="C8" s="5">
        <v>95318.01</v>
      </c>
      <c r="D8" s="5">
        <f>Income_Statement!D55+C8</f>
        <v>168127.5325519249</v>
      </c>
      <c r="E8" s="5">
        <f>Income_Statement!E55+D8</f>
        <v>236143.37921654287</v>
      </c>
      <c r="F8" s="5">
        <f>Income_Statement!F55+E8</f>
        <v>303881.10530674248</v>
      </c>
      <c r="G8" s="5">
        <f>Income_Statement!G55+F8</f>
        <v>319822.28283174901</v>
      </c>
    </row>
    <row r="9" spans="2:15" ht="18.75" x14ac:dyDescent="0.25">
      <c r="B9" s="9" t="s">
        <v>122</v>
      </c>
      <c r="C9" s="7">
        <f>C7+C8</f>
        <v>103563.47</v>
      </c>
      <c r="D9" s="7">
        <f t="shared" ref="D9:G9" si="1">D7+D8</f>
        <v>178022.0925519249</v>
      </c>
      <c r="E9" s="7">
        <f t="shared" si="1"/>
        <v>246037.93921654287</v>
      </c>
      <c r="F9" s="7">
        <f t="shared" si="1"/>
        <v>313577.77530674246</v>
      </c>
      <c r="G9" s="7">
        <f t="shared" si="1"/>
        <v>329518.95283174899</v>
      </c>
    </row>
    <row r="10" spans="2:15" ht="18.75" x14ac:dyDescent="0.25">
      <c r="B10" s="8" t="s">
        <v>12</v>
      </c>
      <c r="C10" s="5">
        <v>116775.81</v>
      </c>
      <c r="D10" s="5">
        <v>147063.71</v>
      </c>
      <c r="E10" s="5">
        <v>176020.02</v>
      </c>
      <c r="F10" s="5">
        <v>181271.91</v>
      </c>
      <c r="G10" s="5">
        <v>181871.19</v>
      </c>
    </row>
    <row r="11" spans="2:15" ht="18.75" x14ac:dyDescent="0.25">
      <c r="B11" s="8" t="s">
        <v>13</v>
      </c>
      <c r="C11" s="5">
        <v>10401.629999999999</v>
      </c>
      <c r="D11" s="5">
        <v>3928.11</v>
      </c>
      <c r="E11" s="5">
        <v>8715.42</v>
      </c>
      <c r="F11" s="5">
        <v>9887.82</v>
      </c>
      <c r="G11" s="5">
        <v>10951.67</v>
      </c>
    </row>
    <row r="12" spans="2:15" ht="18.75" x14ac:dyDescent="0.25">
      <c r="B12" s="8" t="s">
        <v>18</v>
      </c>
      <c r="C12" s="5">
        <v>6680.38</v>
      </c>
      <c r="D12" s="5">
        <v>17368.849999999999</v>
      </c>
      <c r="E12" s="5">
        <v>16556.23</v>
      </c>
      <c r="F12" s="5">
        <v>15964.62</v>
      </c>
      <c r="G12" s="5">
        <v>27684.07</v>
      </c>
    </row>
    <row r="13" spans="2:15" ht="18.75" x14ac:dyDescent="0.25">
      <c r="B13" s="9" t="s">
        <v>123</v>
      </c>
      <c r="C13" s="7">
        <f>C10+C11+C12</f>
        <v>133857.82</v>
      </c>
      <c r="D13" s="7">
        <f t="shared" ref="D13:G13" si="2">D10+D11+D12</f>
        <v>168360.66999999998</v>
      </c>
      <c r="E13" s="7">
        <f t="shared" si="2"/>
        <v>201291.67</v>
      </c>
      <c r="F13" s="7">
        <f t="shared" si="2"/>
        <v>207124.35</v>
      </c>
      <c r="G13" s="7">
        <f t="shared" si="2"/>
        <v>220506.93000000002</v>
      </c>
    </row>
    <row r="14" spans="2:15" ht="18.75" x14ac:dyDescent="0.25">
      <c r="B14" s="8" t="s">
        <v>15</v>
      </c>
      <c r="C14" s="5">
        <v>480.9</v>
      </c>
      <c r="D14" s="5">
        <v>1141.73</v>
      </c>
      <c r="E14" s="5">
        <v>1085.02</v>
      </c>
      <c r="F14" s="5">
        <v>1042.3900000000001</v>
      </c>
      <c r="G14" s="4">
        <v>1655.19</v>
      </c>
    </row>
    <row r="15" spans="2:15" ht="18.75" x14ac:dyDescent="0.25">
      <c r="B15" s="8" t="s">
        <v>21</v>
      </c>
      <c r="C15" s="5">
        <v>8251.7800000000007</v>
      </c>
      <c r="D15" s="5">
        <v>7308.41</v>
      </c>
      <c r="E15" s="5">
        <v>7372.06</v>
      </c>
      <c r="F15" s="5">
        <v>8113.6</v>
      </c>
      <c r="G15" s="5">
        <v>7875.69</v>
      </c>
    </row>
    <row r="16" spans="2:15" ht="18.75" x14ac:dyDescent="0.25">
      <c r="B16" s="8" t="s">
        <v>14</v>
      </c>
      <c r="C16" s="5">
        <v>2210.62</v>
      </c>
      <c r="D16" s="5">
        <v>2026.01</v>
      </c>
      <c r="E16" s="5">
        <v>3023.68</v>
      </c>
      <c r="F16" s="5">
        <v>4165.74</v>
      </c>
      <c r="G16" s="5">
        <v>4033.84</v>
      </c>
    </row>
    <row r="17" spans="2:7" ht="18.75" x14ac:dyDescent="0.25">
      <c r="B17" s="8" t="s">
        <v>19</v>
      </c>
      <c r="C17" s="5">
        <v>6707.55</v>
      </c>
      <c r="D17" s="5">
        <v>8614.32</v>
      </c>
      <c r="E17" s="5">
        <v>10108.58</v>
      </c>
      <c r="F17" s="5">
        <v>8726.2800000000007</v>
      </c>
      <c r="G17" s="5">
        <v>11277.32</v>
      </c>
    </row>
    <row r="18" spans="2:7" ht="18.75" x14ac:dyDescent="0.25">
      <c r="B18" s="8" t="s">
        <v>20</v>
      </c>
      <c r="C18" s="5">
        <v>26341.759999999998</v>
      </c>
      <c r="D18" s="5">
        <v>44945.61</v>
      </c>
      <c r="E18" s="5">
        <v>33448.080000000002</v>
      </c>
      <c r="F18" s="5">
        <v>40531.67</v>
      </c>
      <c r="G18" s="5">
        <v>32033.61</v>
      </c>
    </row>
    <row r="19" spans="2:7" ht="18.75" x14ac:dyDescent="0.25">
      <c r="B19" s="9" t="s">
        <v>22</v>
      </c>
      <c r="C19" s="7">
        <f>C14+C15+C16+C17+C18</f>
        <v>43992.61</v>
      </c>
      <c r="D19" s="7">
        <f t="shared" ref="D19:G19" si="3">D14+D15+D16+D17+D18</f>
        <v>64036.08</v>
      </c>
      <c r="E19" s="7">
        <f t="shared" si="3"/>
        <v>55037.42</v>
      </c>
      <c r="F19" s="7">
        <f t="shared" si="3"/>
        <v>62579.68</v>
      </c>
      <c r="G19" s="7">
        <f t="shared" si="3"/>
        <v>56875.65</v>
      </c>
    </row>
    <row r="20" spans="2:7" ht="18.75" x14ac:dyDescent="0.25">
      <c r="B20" s="8" t="s">
        <v>10</v>
      </c>
      <c r="C20" s="5">
        <v>947.77</v>
      </c>
      <c r="D20" s="5">
        <v>2908.2</v>
      </c>
      <c r="E20" s="5">
        <v>3317.19</v>
      </c>
      <c r="F20" s="5">
        <v>3523.71</v>
      </c>
      <c r="G20" s="4">
        <v>3760.41</v>
      </c>
    </row>
    <row r="21" spans="2:7" ht="18.75" x14ac:dyDescent="0.25">
      <c r="B21" s="9" t="s">
        <v>124</v>
      </c>
      <c r="C21" s="7">
        <f>C9+C13+C19+C20</f>
        <v>282361.67000000004</v>
      </c>
      <c r="D21" s="7">
        <f t="shared" ref="D21:G21" si="4">D9+D13+D19+D20</f>
        <v>413327.04255192494</v>
      </c>
      <c r="E21" s="7">
        <f t="shared" si="4"/>
        <v>505684.2192165429</v>
      </c>
      <c r="F21" s="7">
        <f t="shared" si="4"/>
        <v>586805.51530674251</v>
      </c>
      <c r="G21" s="7">
        <f t="shared" si="4"/>
        <v>610661.9428317491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127913.66</v>
      </c>
      <c r="D23" s="5">
        <v>150555.42000000001</v>
      </c>
      <c r="E23" s="5">
        <v>187176.46</v>
      </c>
      <c r="F23" s="5">
        <v>202598.05</v>
      </c>
      <c r="G23" s="5">
        <v>316049.28000000003</v>
      </c>
    </row>
    <row r="24" spans="2:7" ht="18.75" x14ac:dyDescent="0.25">
      <c r="B24" s="8" t="s">
        <v>27</v>
      </c>
      <c r="C24" s="4">
        <v>331.76</v>
      </c>
      <c r="D24" s="4">
        <v>429.11</v>
      </c>
      <c r="E24" s="4">
        <v>626.33000000000004</v>
      </c>
      <c r="F24" s="4">
        <v>647.13</v>
      </c>
      <c r="G24" s="4">
        <v>0</v>
      </c>
    </row>
    <row r="25" spans="2:7" ht="18.75" x14ac:dyDescent="0.25">
      <c r="B25" s="8" t="s">
        <v>125</v>
      </c>
      <c r="C25" s="4"/>
      <c r="D25" s="5">
        <f>Income_Statement!D31</f>
        <v>8669.0300000000007</v>
      </c>
      <c r="E25" s="5">
        <f>Income_Statement!E31+D25</f>
        <v>19025.190000000002</v>
      </c>
      <c r="F25" s="5">
        <f>Income_Statement!F31+E25</f>
        <v>31475.5</v>
      </c>
      <c r="G25" s="5">
        <f>Income_Statement!G31+F25</f>
        <v>45263.33</v>
      </c>
    </row>
    <row r="26" spans="2:7" ht="18.75" x14ac:dyDescent="0.25">
      <c r="B26" s="9" t="s">
        <v>126</v>
      </c>
      <c r="C26" s="7">
        <f>C23+C24-C25</f>
        <v>128245.42</v>
      </c>
      <c r="D26" s="7">
        <f t="shared" ref="D26:G26" si="5">D23+D24-D25</f>
        <v>142315.5</v>
      </c>
      <c r="E26" s="7">
        <f t="shared" si="5"/>
        <v>168777.59999999998</v>
      </c>
      <c r="F26" s="7">
        <f t="shared" si="5"/>
        <v>171769.68</v>
      </c>
      <c r="G26" s="7">
        <f t="shared" si="5"/>
        <v>270785.95</v>
      </c>
    </row>
    <row r="27" spans="2:7" ht="18.75" x14ac:dyDescent="0.25">
      <c r="B27" s="8" t="s">
        <v>30</v>
      </c>
      <c r="C27" s="5">
        <v>8875.61</v>
      </c>
      <c r="D27" s="5">
        <v>8132.31</v>
      </c>
      <c r="E27" s="5">
        <v>9306.59</v>
      </c>
      <c r="F27" s="5">
        <v>10089.26</v>
      </c>
      <c r="G27" s="5">
        <v>10626.24</v>
      </c>
    </row>
    <row r="28" spans="2:7" ht="18.75" x14ac:dyDescent="0.25">
      <c r="B28" s="8" t="s">
        <v>36</v>
      </c>
      <c r="C28" s="4">
        <v>0</v>
      </c>
      <c r="D28" s="4">
        <v>0</v>
      </c>
      <c r="E28" s="4">
        <v>0</v>
      </c>
      <c r="F28" s="4">
        <v>499.99</v>
      </c>
      <c r="G28" s="4">
        <v>0</v>
      </c>
    </row>
    <row r="29" spans="2:7" ht="18.75" x14ac:dyDescent="0.25">
      <c r="B29" s="8" t="s">
        <v>28</v>
      </c>
      <c r="C29" s="4">
        <v>83386.100000000006</v>
      </c>
      <c r="D29" s="5">
        <v>117998.23</v>
      </c>
      <c r="E29" s="5">
        <v>98210.94</v>
      </c>
      <c r="F29" s="5">
        <v>97404.160000000003</v>
      </c>
      <c r="G29" s="5">
        <v>0</v>
      </c>
    </row>
    <row r="30" spans="2:7" ht="18.75" x14ac:dyDescent="0.25">
      <c r="B30" s="9" t="s">
        <v>127</v>
      </c>
      <c r="C30" s="7">
        <f>C26+C27+C28+C29</f>
        <v>220507.13</v>
      </c>
      <c r="D30" s="7">
        <f t="shared" ref="D30:G30" si="6">D26+D27+D28+D29</f>
        <v>268446.03999999998</v>
      </c>
      <c r="E30" s="7">
        <f t="shared" si="6"/>
        <v>276295.13</v>
      </c>
      <c r="F30" s="7">
        <f t="shared" si="6"/>
        <v>279763.08999999997</v>
      </c>
      <c r="G30" s="7">
        <f t="shared" si="6"/>
        <v>281412.19</v>
      </c>
    </row>
    <row r="31" spans="2:7" ht="18.75" x14ac:dyDescent="0.25">
      <c r="B31" s="8" t="s">
        <v>31</v>
      </c>
      <c r="C31" s="4">
        <v>0</v>
      </c>
      <c r="D31" s="5">
        <v>0</v>
      </c>
      <c r="E31" s="5">
        <v>1096.5999999999999</v>
      </c>
      <c r="F31" s="4">
        <v>1075.8900000000001</v>
      </c>
      <c r="G31" s="4">
        <v>995.7</v>
      </c>
    </row>
    <row r="32" spans="2:7" ht="18.75" x14ac:dyDescent="0.25">
      <c r="B32" s="8" t="s">
        <v>32</v>
      </c>
      <c r="C32" s="4">
        <v>454.67</v>
      </c>
      <c r="D32" s="4">
        <v>476.13</v>
      </c>
      <c r="E32" s="4">
        <v>511.08</v>
      </c>
      <c r="F32" s="4">
        <v>554.97</v>
      </c>
      <c r="G32" s="4">
        <v>559.80999999999995</v>
      </c>
    </row>
    <row r="33" spans="2:7" ht="18.75" x14ac:dyDescent="0.25">
      <c r="B33" s="8" t="s">
        <v>33</v>
      </c>
      <c r="C33" s="5">
        <v>13390.8</v>
      </c>
      <c r="D33" s="5">
        <v>16796.919999999998</v>
      </c>
      <c r="E33" s="5">
        <v>15298.93</v>
      </c>
      <c r="F33" s="5">
        <v>18124.349999999999</v>
      </c>
      <c r="G33" s="5">
        <v>16891.84</v>
      </c>
    </row>
    <row r="34" spans="2:7" ht="18.75" x14ac:dyDescent="0.25">
      <c r="B34" s="8" t="s">
        <v>40</v>
      </c>
      <c r="C34" s="4">
        <v>238.43</v>
      </c>
      <c r="D34" s="4">
        <v>248.16</v>
      </c>
      <c r="E34" s="4">
        <v>252.67</v>
      </c>
      <c r="F34" s="4">
        <v>259.13</v>
      </c>
      <c r="G34" s="4">
        <v>270.37</v>
      </c>
    </row>
    <row r="35" spans="2:7" ht="18.75" x14ac:dyDescent="0.25">
      <c r="B35" s="8" t="s">
        <v>41</v>
      </c>
      <c r="C35" s="5">
        <v>28430.560000000001</v>
      </c>
      <c r="D35" s="5">
        <v>28077.68</v>
      </c>
      <c r="E35" s="5">
        <v>31040.89</v>
      </c>
      <c r="F35" s="5">
        <v>35695.94</v>
      </c>
      <c r="G35" s="5">
        <v>29184.04</v>
      </c>
    </row>
    <row r="36" spans="2:7" ht="18.75" x14ac:dyDescent="0.25">
      <c r="B36" s="8" t="s">
        <v>37</v>
      </c>
      <c r="C36" s="5">
        <v>6140.29</v>
      </c>
      <c r="D36" s="5">
        <v>8251.6200000000008</v>
      </c>
      <c r="E36" s="5">
        <v>11138.54</v>
      </c>
      <c r="F36" s="5">
        <v>9809.6</v>
      </c>
      <c r="G36" s="5">
        <v>10139.290000000001</v>
      </c>
    </row>
    <row r="37" spans="2:7" ht="18.75" x14ac:dyDescent="0.25">
      <c r="B37" s="8" t="s">
        <v>38</v>
      </c>
      <c r="C37" s="5">
        <v>8812.19</v>
      </c>
      <c r="D37" s="5">
        <v>12363.52</v>
      </c>
      <c r="E37" s="5">
        <v>20314.59</v>
      </c>
      <c r="F37" s="5">
        <v>17718.07</v>
      </c>
      <c r="G37" s="5">
        <v>27342.080000000002</v>
      </c>
    </row>
    <row r="38" spans="2:7" ht="18.75" x14ac:dyDescent="0.25">
      <c r="B38" s="8" t="s">
        <v>39</v>
      </c>
      <c r="C38" s="5">
        <v>4387.6000000000004</v>
      </c>
      <c r="D38" s="5">
        <f>CashFlow_Statement!D48+C38</f>
        <v>78666.972551924904</v>
      </c>
      <c r="E38" s="5">
        <f>CashFlow_Statement!E48+D38</f>
        <v>149735.78921654291</v>
      </c>
      <c r="F38" s="5">
        <f>CashFlow_Statement!F48+E38</f>
        <v>223804.47530674253</v>
      </c>
      <c r="G38" s="5">
        <f>CashFlow_Statement!G48+F38</f>
        <v>243866.62283174906</v>
      </c>
    </row>
    <row r="39" spans="2:7" ht="18.75" x14ac:dyDescent="0.25">
      <c r="B39" s="9" t="s">
        <v>42</v>
      </c>
      <c r="C39" s="7">
        <f>C31+C32+C33+C34+C35+C36+C37+C38</f>
        <v>61854.54</v>
      </c>
      <c r="D39" s="7">
        <f t="shared" ref="D39:G39" si="7">D31+D32+D33+D34+D35+D36+D37+D38</f>
        <v>144881.0025519249</v>
      </c>
      <c r="E39" s="7">
        <f t="shared" si="7"/>
        <v>229389.0892165429</v>
      </c>
      <c r="F39" s="7">
        <f t="shared" si="7"/>
        <v>307042.42530674255</v>
      </c>
      <c r="G39" s="7">
        <f t="shared" si="7"/>
        <v>329249.75283174904</v>
      </c>
    </row>
    <row r="40" spans="2:7" ht="18.75" x14ac:dyDescent="0.25">
      <c r="B40" s="9" t="s">
        <v>43</v>
      </c>
      <c r="C40" s="7">
        <f>C30+C39</f>
        <v>282361.67</v>
      </c>
      <c r="D40" s="7">
        <f t="shared" ref="D40:G40" si="8">D30+D39</f>
        <v>413327.04255192488</v>
      </c>
      <c r="E40" s="7">
        <f t="shared" si="8"/>
        <v>505684.2192165429</v>
      </c>
      <c r="F40" s="7">
        <f t="shared" si="8"/>
        <v>586805.51530674251</v>
      </c>
      <c r="G40" s="7">
        <f t="shared" si="8"/>
        <v>610661.9428317491</v>
      </c>
    </row>
  </sheetData>
  <mergeCells count="1">
    <mergeCell ref="B3:G3"/>
  </mergeCells>
  <hyperlinks>
    <hyperlink ref="F1" location="Index_Data!A1" tooltip="Hi click here To return Index page" display="Index_Data!A1" xr:uid="{57F7F72B-20E2-49DB-A175-253C339E53EF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E90B2-C783-45CE-A694-9BF0CEEE45B8}">
  <dimension ref="B1:O35"/>
  <sheetViews>
    <sheetView showGridLines="0" workbookViewId="0"/>
  </sheetViews>
  <sheetFormatPr defaultRowHeight="15" x14ac:dyDescent="0.25"/>
  <cols>
    <col min="2" max="2" width="57.140625" bestFit="1" customWidth="1"/>
    <col min="3" max="7" width="18.8554687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120</v>
      </c>
      <c r="C3" s="31"/>
      <c r="D3" s="31"/>
      <c r="E3" s="31"/>
      <c r="F3" s="31"/>
      <c r="G3" s="31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</row>
    <row r="5" spans="2:15" ht="18.75" x14ac:dyDescent="0.25">
      <c r="B5" s="8" t="s">
        <v>97</v>
      </c>
      <c r="C5" s="5">
        <v>86118.25</v>
      </c>
      <c r="D5" s="5">
        <v>99615</v>
      </c>
      <c r="E5" s="5">
        <v>109078.63</v>
      </c>
      <c r="F5" s="5">
        <v>111267.88</v>
      </c>
      <c r="G5" s="5">
        <v>132669.28</v>
      </c>
    </row>
    <row r="6" spans="2:15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15" ht="18.75" x14ac:dyDescent="0.25">
      <c r="B7" s="9" t="s">
        <v>105</v>
      </c>
      <c r="C7" s="7">
        <f>C5 - C6</f>
        <v>86118.25</v>
      </c>
      <c r="D7" s="7">
        <f t="shared" ref="D7:G7" si="0">D5 - D6</f>
        <v>99615</v>
      </c>
      <c r="E7" s="7">
        <f t="shared" si="0"/>
        <v>109078.63</v>
      </c>
      <c r="F7" s="7">
        <f t="shared" si="0"/>
        <v>111267.88</v>
      </c>
      <c r="G7" s="7">
        <f t="shared" si="0"/>
        <v>132669.28</v>
      </c>
    </row>
    <row r="8" spans="2:15" ht="18.75" x14ac:dyDescent="0.25">
      <c r="B8" s="8" t="s">
        <v>59</v>
      </c>
      <c r="C8" s="5">
        <v>1558.28</v>
      </c>
      <c r="D8" s="5">
        <v>2246.5100000000002</v>
      </c>
      <c r="E8" s="5">
        <v>2908.54</v>
      </c>
      <c r="F8" s="5">
        <v>4015.68</v>
      </c>
      <c r="G8" s="5">
        <v>2325.0300000000002</v>
      </c>
    </row>
    <row r="9" spans="2:15" ht="18.75" x14ac:dyDescent="0.25">
      <c r="B9" s="8" t="s">
        <v>106</v>
      </c>
      <c r="C9" s="4"/>
      <c r="D9" s="4"/>
      <c r="E9" s="4"/>
      <c r="F9" s="4"/>
      <c r="G9" s="4"/>
    </row>
    <row r="10" spans="2:15" ht="18.75" x14ac:dyDescent="0.25">
      <c r="B10" s="9" t="s">
        <v>107</v>
      </c>
      <c r="C10" s="7">
        <f>SUM(C7:C9)</f>
        <v>87676.53</v>
      </c>
      <c r="D10" s="7">
        <f t="shared" ref="D10:G10" si="1">SUM(D7:D9)</f>
        <v>101861.51</v>
      </c>
      <c r="E10" s="7">
        <f t="shared" si="1"/>
        <v>111987.17</v>
      </c>
      <c r="F10" s="7">
        <f t="shared" si="1"/>
        <v>115283.56</v>
      </c>
      <c r="G10" s="7">
        <f t="shared" si="1"/>
        <v>134994.31</v>
      </c>
    </row>
    <row r="11" spans="2:15" ht="18.75" x14ac:dyDescent="0.25">
      <c r="B11" s="8" t="s">
        <v>62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15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15" ht="18.75" x14ac:dyDescent="0.25">
      <c r="B13" s="8" t="s">
        <v>66</v>
      </c>
      <c r="C13" s="5">
        <v>4791.97</v>
      </c>
      <c r="D13" s="5">
        <v>5816.65</v>
      </c>
      <c r="E13" s="5">
        <v>5830.48</v>
      </c>
      <c r="F13" s="5">
        <v>5953.93</v>
      </c>
      <c r="G13" s="5">
        <v>6310.09</v>
      </c>
    </row>
    <row r="14" spans="2:15" ht="18.75" x14ac:dyDescent="0.25">
      <c r="B14" s="8" t="s">
        <v>69</v>
      </c>
      <c r="C14" s="5">
        <v>7554.59</v>
      </c>
      <c r="D14" s="5">
        <v>8105.12</v>
      </c>
      <c r="E14" s="5">
        <v>9725.41</v>
      </c>
      <c r="F14" s="5">
        <v>10454.709999999999</v>
      </c>
      <c r="G14" s="5">
        <v>86079.63</v>
      </c>
    </row>
    <row r="15" spans="2:15" ht="18.75" x14ac:dyDescent="0.25">
      <c r="B15" s="9" t="s">
        <v>108</v>
      </c>
      <c r="C15" s="7">
        <f>C11+C12+C13+C14</f>
        <v>12346.560000000001</v>
      </c>
      <c r="D15" s="7">
        <f t="shared" ref="D15:G15" si="2">D11+D12+D13+D14</f>
        <v>13921.77</v>
      </c>
      <c r="E15" s="7">
        <f t="shared" si="2"/>
        <v>15555.89</v>
      </c>
      <c r="F15" s="7">
        <f t="shared" si="2"/>
        <v>16408.64</v>
      </c>
      <c r="G15" s="7">
        <f t="shared" si="2"/>
        <v>92389.72</v>
      </c>
    </row>
    <row r="16" spans="2:15" ht="18.75" x14ac:dyDescent="0.25">
      <c r="B16" s="9" t="s">
        <v>109</v>
      </c>
      <c r="C16" s="7">
        <f xml:space="preserve"> C10-C15-C8</f>
        <v>73771.69</v>
      </c>
      <c r="D16" s="7">
        <f t="shared" ref="D16:G16" si="3" xml:space="preserve"> D10-D15-D8</f>
        <v>85693.23</v>
      </c>
      <c r="E16" s="7">
        <f t="shared" si="3"/>
        <v>93522.74</v>
      </c>
      <c r="F16" s="7">
        <f t="shared" si="3"/>
        <v>94859.24</v>
      </c>
      <c r="G16" s="7">
        <f t="shared" si="3"/>
        <v>40279.56</v>
      </c>
    </row>
    <row r="17" spans="2:7" ht="18.75" x14ac:dyDescent="0.25">
      <c r="B17" s="9" t="s">
        <v>110</v>
      </c>
      <c r="C17" s="7">
        <f xml:space="preserve"> C16+C8</f>
        <v>75329.97</v>
      </c>
      <c r="D17" s="7">
        <f t="shared" ref="D17:G17" si="4" xml:space="preserve"> D16+D8</f>
        <v>87939.739999999991</v>
      </c>
      <c r="E17" s="7">
        <f t="shared" si="4"/>
        <v>96431.28</v>
      </c>
      <c r="F17" s="7">
        <f t="shared" si="4"/>
        <v>98874.92</v>
      </c>
      <c r="G17" s="7">
        <f t="shared" si="4"/>
        <v>42604.59</v>
      </c>
    </row>
    <row r="18" spans="2:7" ht="18.75" x14ac:dyDescent="0.25">
      <c r="B18" s="8" t="s">
        <v>68</v>
      </c>
      <c r="C18" s="5">
        <v>7459.93</v>
      </c>
      <c r="D18" s="5">
        <v>8669.0300000000007</v>
      </c>
      <c r="E18" s="5">
        <v>10356.16</v>
      </c>
      <c r="F18" s="5">
        <v>12450.31</v>
      </c>
      <c r="G18" s="5">
        <v>13787.83</v>
      </c>
    </row>
    <row r="19" spans="2:7" ht="18.75" x14ac:dyDescent="0.25">
      <c r="B19" s="9" t="s">
        <v>111</v>
      </c>
      <c r="C19" s="7">
        <f xml:space="preserve"> C17-C18</f>
        <v>67870.040000000008</v>
      </c>
      <c r="D19" s="7">
        <f t="shared" ref="D19:G19" si="5" xml:space="preserve"> D17-D18</f>
        <v>79270.709999999992</v>
      </c>
      <c r="E19" s="7">
        <f t="shared" si="5"/>
        <v>86075.12</v>
      </c>
      <c r="F19" s="7">
        <f t="shared" si="5"/>
        <v>86424.61</v>
      </c>
      <c r="G19" s="7">
        <f t="shared" si="5"/>
        <v>28816.759999999995</v>
      </c>
    </row>
    <row r="20" spans="2:7" ht="18.75" x14ac:dyDescent="0.25">
      <c r="B20" s="8" t="s">
        <v>67</v>
      </c>
      <c r="C20" s="5">
        <v>4434.59</v>
      </c>
      <c r="D20" s="5">
        <v>5604.65</v>
      </c>
      <c r="E20" s="5">
        <v>8116.85</v>
      </c>
      <c r="F20" s="5">
        <v>9224.14</v>
      </c>
      <c r="G20" s="5">
        <v>9315.98</v>
      </c>
    </row>
    <row r="21" spans="2:7" ht="18.75" x14ac:dyDescent="0.25">
      <c r="B21" s="9" t="s">
        <v>112</v>
      </c>
      <c r="C21" s="7">
        <f xml:space="preserve"> C19-C20</f>
        <v>63435.450000000012</v>
      </c>
      <c r="D21" s="7">
        <f t="shared" ref="D21:G21" si="6" xml:space="preserve"> D19-D20</f>
        <v>73666.06</v>
      </c>
      <c r="E21" s="7">
        <f t="shared" si="6"/>
        <v>77958.26999999999</v>
      </c>
      <c r="F21" s="7">
        <f t="shared" si="6"/>
        <v>77200.47</v>
      </c>
      <c r="G21" s="7">
        <f t="shared" si="6"/>
        <v>19500.779999999995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63435.450000000012</v>
      </c>
      <c r="D23" s="7">
        <f t="shared" ref="D23:G23" si="7" xml:space="preserve"> D21+D22</f>
        <v>73666.06</v>
      </c>
      <c r="E23" s="7">
        <f t="shared" si="7"/>
        <v>77958.26999999999</v>
      </c>
      <c r="F23" s="7">
        <f t="shared" si="7"/>
        <v>77200.47</v>
      </c>
      <c r="G23" s="7">
        <f t="shared" si="7"/>
        <v>19500.779999999995</v>
      </c>
    </row>
    <row r="24" spans="2:7" ht="18.75" x14ac:dyDescent="0.25">
      <c r="B24" s="8" t="s">
        <v>72</v>
      </c>
      <c r="C24" s="5">
        <v>0</v>
      </c>
      <c r="D24" s="5">
        <v>0</v>
      </c>
      <c r="E24" s="4">
        <v>0</v>
      </c>
      <c r="F24" s="4">
        <v>-1512.19</v>
      </c>
      <c r="G24" s="4">
        <v>1486.48</v>
      </c>
    </row>
    <row r="25" spans="2:7" ht="18.75" x14ac:dyDescent="0.25">
      <c r="B25" s="9" t="s">
        <v>115</v>
      </c>
      <c r="C25" s="7">
        <f xml:space="preserve"> C23+C24</f>
        <v>63435.450000000012</v>
      </c>
      <c r="D25" s="7">
        <f t="shared" ref="D25:G25" si="8" xml:space="preserve"> D23+D24</f>
        <v>73666.06</v>
      </c>
      <c r="E25" s="7">
        <f t="shared" si="8"/>
        <v>77958.26999999999</v>
      </c>
      <c r="F25" s="7">
        <f t="shared" si="8"/>
        <v>75688.28</v>
      </c>
      <c r="G25" s="7">
        <f t="shared" si="8"/>
        <v>20987.259999999995</v>
      </c>
    </row>
    <row r="26" spans="2:7" ht="18.75" x14ac:dyDescent="0.25">
      <c r="B26" s="8" t="s">
        <v>79</v>
      </c>
      <c r="C26" s="5">
        <v>5652.94</v>
      </c>
      <c r="D26" s="5">
        <v>-2779.94</v>
      </c>
      <c r="E26" s="5">
        <v>9347.5400000000009</v>
      </c>
      <c r="F26" s="5">
        <v>2420.5300000000002</v>
      </c>
      <c r="G26" s="5">
        <v>5047.1000000000004</v>
      </c>
    </row>
    <row r="27" spans="2:7" ht="18.75" x14ac:dyDescent="0.25">
      <c r="B27" s="9" t="s">
        <v>116</v>
      </c>
      <c r="C27" s="7">
        <f xml:space="preserve"> C25-C26</f>
        <v>57782.510000000009</v>
      </c>
      <c r="D27" s="7">
        <f t="shared" ref="D27:G27" si="9" xml:space="preserve"> D25-D26</f>
        <v>76446</v>
      </c>
      <c r="E27" s="7">
        <f t="shared" si="9"/>
        <v>68610.729999999981</v>
      </c>
      <c r="F27" s="7">
        <f t="shared" si="9"/>
        <v>73267.75</v>
      </c>
      <c r="G27" s="7">
        <f t="shared" si="9"/>
        <v>15940.159999999994</v>
      </c>
    </row>
    <row r="28" spans="2:7" ht="18.75" x14ac:dyDescent="0.25">
      <c r="B28" s="8" t="s">
        <v>88</v>
      </c>
      <c r="C28" s="4">
        <v>4040.28</v>
      </c>
      <c r="D28" s="5">
        <v>3019.88</v>
      </c>
      <c r="E28" s="4">
        <v>494.73</v>
      </c>
      <c r="F28" s="5">
        <v>5531.06</v>
      </c>
      <c r="G28" s="5">
        <v>0</v>
      </c>
    </row>
    <row r="29" spans="2:7" ht="18.75" x14ac:dyDescent="0.25">
      <c r="B29" s="8" t="s">
        <v>89</v>
      </c>
      <c r="C29" s="4">
        <v>826.57</v>
      </c>
      <c r="D29" s="4">
        <v>617.62</v>
      </c>
      <c r="E29" s="4">
        <v>101.18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52915.660000000011</v>
      </c>
      <c r="D30" s="7">
        <f t="shared" ref="D30:G30" si="10" xml:space="preserve"> D27-D28-D29</f>
        <v>72808.5</v>
      </c>
      <c r="E30" s="7">
        <f t="shared" si="10"/>
        <v>68014.819999999992</v>
      </c>
      <c r="F30" s="7">
        <f t="shared" si="10"/>
        <v>67736.69</v>
      </c>
      <c r="G30" s="7">
        <f t="shared" si="10"/>
        <v>15940.159999999994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11</v>
      </c>
      <c r="D34" s="4">
        <v>14</v>
      </c>
      <c r="E34" s="4">
        <v>12</v>
      </c>
      <c r="F34" s="4">
        <v>15</v>
      </c>
      <c r="G34" s="4">
        <v>17</v>
      </c>
    </row>
    <row r="35" spans="2:7" ht="18.75" x14ac:dyDescent="0.25">
      <c r="B35" s="8" t="s">
        <v>118</v>
      </c>
      <c r="C35" s="4">
        <f>C27/C34</f>
        <v>5252.9554545454557</v>
      </c>
      <c r="D35" s="4">
        <f t="shared" ref="D35:G35" si="11">D27/D34</f>
        <v>5460.4285714285716</v>
      </c>
      <c r="E35" s="4">
        <f t="shared" si="11"/>
        <v>5717.5608333333321</v>
      </c>
      <c r="F35" s="4">
        <f t="shared" si="11"/>
        <v>4884.5166666666664</v>
      </c>
      <c r="G35" s="4">
        <f t="shared" si="11"/>
        <v>937.65647058823492</v>
      </c>
    </row>
  </sheetData>
  <mergeCells count="1">
    <mergeCell ref="B3:G3"/>
  </mergeCells>
  <hyperlinks>
    <hyperlink ref="F1" location="Index_Data!A1" tooltip="Hi click here To return Index page" display="Index_Data!A1" xr:uid="{A5EAFE6A-68C3-45EC-A7C9-BB690A4FEBC4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1130-6786-47A7-AC3E-B10E1AD118FB}">
  <dimension ref="B1:O80"/>
  <sheetViews>
    <sheetView showGridLines="0" topLeftCell="A57" workbookViewId="0">
      <selection activeCell="H75" sqref="H75:L75"/>
    </sheetView>
  </sheetViews>
  <sheetFormatPr defaultRowHeight="15" x14ac:dyDescent="0.25"/>
  <cols>
    <col min="2" max="2" width="47.42578125" bestFit="1" customWidth="1"/>
    <col min="3" max="7" width="17.140625" bestFit="1" customWidth="1"/>
    <col min="8" max="9" width="18.85546875" bestFit="1" customWidth="1"/>
    <col min="10" max="12" width="20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128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5</v>
      </c>
      <c r="C5" s="5">
        <v>8245.4599999999991</v>
      </c>
      <c r="D5" s="5">
        <v>9894.56</v>
      </c>
      <c r="E5" s="5">
        <v>9894.56</v>
      </c>
      <c r="F5" s="5">
        <v>9696.67</v>
      </c>
      <c r="G5" s="5">
        <v>9696.67</v>
      </c>
      <c r="H5" s="24">
        <f>G5</f>
        <v>9696.67</v>
      </c>
      <c r="I5" s="24">
        <f t="shared" ref="I5:L5" si="0">H5</f>
        <v>9696.67</v>
      </c>
      <c r="J5" s="24">
        <f t="shared" si="0"/>
        <v>9696.67</v>
      </c>
      <c r="K5" s="24">
        <f t="shared" si="0"/>
        <v>9696.67</v>
      </c>
      <c r="L5" s="24">
        <f t="shared" si="0"/>
        <v>9696.67</v>
      </c>
    </row>
    <row r="6" spans="2:15" x14ac:dyDescent="0.25">
      <c r="B6" s="17" t="s">
        <v>203</v>
      </c>
      <c r="C6" s="18">
        <f>C5/Balance_Sheet!C74</f>
        <v>2.9201768072840764E-2</v>
      </c>
      <c r="D6" s="18">
        <f>D5/Balance_Sheet!D74</f>
        <v>2.3938815952883073E-2</v>
      </c>
      <c r="E6" s="18">
        <f>E5/Balance_Sheet!E74</f>
        <v>1.9566677432271175E-2</v>
      </c>
      <c r="F6" s="18">
        <f>F5/Balance_Sheet!F74</f>
        <v>1.6524503855304143E-2</v>
      </c>
      <c r="G6" s="18">
        <f>G5/Balance_Sheet!G74</f>
        <v>1.5878949251421824E-2</v>
      </c>
      <c r="H6" s="25">
        <f>G6</f>
        <v>1.5878949251421824E-2</v>
      </c>
      <c r="I6" s="25">
        <f t="shared" ref="I6:L6" si="1">H6</f>
        <v>1.5878949251421824E-2</v>
      </c>
      <c r="J6" s="25">
        <f t="shared" si="1"/>
        <v>1.5878949251421824E-2</v>
      </c>
      <c r="K6" s="25">
        <f t="shared" si="1"/>
        <v>1.5878949251421824E-2</v>
      </c>
      <c r="L6" s="25">
        <f t="shared" si="1"/>
        <v>1.5878949251421824E-2</v>
      </c>
    </row>
    <row r="7" spans="2:15" ht="18.75" x14ac:dyDescent="0.25">
      <c r="B7" s="8" t="s">
        <v>121</v>
      </c>
      <c r="C7" s="4"/>
      <c r="D7" s="4"/>
      <c r="E7" s="4"/>
      <c r="F7" s="4"/>
      <c r="G7" s="4"/>
      <c r="H7" s="26">
        <f>G7</f>
        <v>0</v>
      </c>
      <c r="I7" s="26">
        <f t="shared" ref="I7:L7" si="2">H7</f>
        <v>0</v>
      </c>
      <c r="J7" s="26">
        <f t="shared" si="2"/>
        <v>0</v>
      </c>
      <c r="K7" s="26">
        <f t="shared" si="2"/>
        <v>0</v>
      </c>
      <c r="L7" s="26">
        <f t="shared" si="2"/>
        <v>0</v>
      </c>
    </row>
    <row r="8" spans="2:15" x14ac:dyDescent="0.25">
      <c r="B8" s="17" t="s">
        <v>204</v>
      </c>
      <c r="C8" s="18">
        <f>C7/Balance_Sheet!C74</f>
        <v>0</v>
      </c>
      <c r="D8" s="18">
        <f>D7/Balance_Sheet!D74</f>
        <v>0</v>
      </c>
      <c r="E8" s="18">
        <f>E7/Balance_Sheet!E74</f>
        <v>0</v>
      </c>
      <c r="F8" s="18">
        <f>F7/Balance_Sheet!F74</f>
        <v>0</v>
      </c>
      <c r="G8" s="18">
        <f>G7/Balance_Sheet!G74</f>
        <v>0</v>
      </c>
      <c r="H8" s="25">
        <f>G8</f>
        <v>0</v>
      </c>
      <c r="I8" s="25">
        <f t="shared" ref="I8:L8" si="3">H8</f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</row>
    <row r="9" spans="2:15" ht="18.75" x14ac:dyDescent="0.25">
      <c r="B9" s="9" t="s">
        <v>6</v>
      </c>
      <c r="C9" s="7">
        <f>C5+C7</f>
        <v>8245.4599999999991</v>
      </c>
      <c r="D9" s="7">
        <f t="shared" ref="D9:L9" si="4">D5+D7</f>
        <v>9894.56</v>
      </c>
      <c r="E9" s="7">
        <f t="shared" si="4"/>
        <v>9894.56</v>
      </c>
      <c r="F9" s="7">
        <f t="shared" si="4"/>
        <v>9696.67</v>
      </c>
      <c r="G9" s="7">
        <f t="shared" si="4"/>
        <v>9696.67</v>
      </c>
      <c r="H9" s="27">
        <f t="shared" si="4"/>
        <v>9696.67</v>
      </c>
      <c r="I9" s="27">
        <f t="shared" si="4"/>
        <v>9696.67</v>
      </c>
      <c r="J9" s="27">
        <f t="shared" si="4"/>
        <v>9696.67</v>
      </c>
      <c r="K9" s="27">
        <f t="shared" si="4"/>
        <v>9696.67</v>
      </c>
      <c r="L9" s="27">
        <f t="shared" si="4"/>
        <v>9696.67</v>
      </c>
    </row>
    <row r="10" spans="2:15" x14ac:dyDescent="0.25">
      <c r="B10" s="19" t="s">
        <v>205</v>
      </c>
      <c r="C10" s="20">
        <f>C9/Balance_Sheet!C74</f>
        <v>2.9201768072840764E-2</v>
      </c>
      <c r="D10" s="20">
        <f>D9/Balance_Sheet!D74</f>
        <v>2.3938815952883073E-2</v>
      </c>
      <c r="E10" s="20">
        <f>E9/Balance_Sheet!E74</f>
        <v>1.9566677432271175E-2</v>
      </c>
      <c r="F10" s="20">
        <f>F9/Balance_Sheet!F74</f>
        <v>1.6524503855304143E-2</v>
      </c>
      <c r="G10" s="20">
        <f>G9/Balance_Sheet!G74</f>
        <v>1.5878949251421824E-2</v>
      </c>
      <c r="H10" s="28">
        <f>H9/Balance_Sheet!H74</f>
        <v>1.1882576988486387E-2</v>
      </c>
      <c r="I10" s="28">
        <f>I9/Balance_Sheet!I74</f>
        <v>1.0655141855100199E-2</v>
      </c>
      <c r="J10" s="28">
        <f>J9/Balance_Sheet!J74</f>
        <v>9.2205521926993946E-3</v>
      </c>
      <c r="K10" s="28">
        <f>K9/Balance_Sheet!K74</f>
        <v>7.8204859869572124E-3</v>
      </c>
      <c r="L10" s="28">
        <f>L9/Balance_Sheet!L74</f>
        <v>6.5261573125516351E-3</v>
      </c>
    </row>
    <row r="11" spans="2:15" ht="18.75" x14ac:dyDescent="0.25">
      <c r="B11" s="8" t="s">
        <v>7</v>
      </c>
      <c r="C11" s="5">
        <v>95318.01</v>
      </c>
      <c r="D11" s="5">
        <f>Income_Statement!D55+C11</f>
        <v>168127.5325519249</v>
      </c>
      <c r="E11" s="5">
        <f>Income_Statement!E55+D11</f>
        <v>236143.37921654287</v>
      </c>
      <c r="F11" s="5">
        <f>Income_Statement!F55+E11</f>
        <v>303881.10530674248</v>
      </c>
      <c r="G11" s="5">
        <f>Income_Statement!G55+F11</f>
        <v>319822.28283174901</v>
      </c>
      <c r="H11" s="24">
        <f>H74-H9-H21-H33-H35</f>
        <v>414934.98984559468</v>
      </c>
      <c r="I11" s="24">
        <f t="shared" ref="I11:L11" si="5">I74-I9-I21-I33-I35</f>
        <v>463851.07785829599</v>
      </c>
      <c r="J11" s="24">
        <f t="shared" si="5"/>
        <v>537528.51787000045</v>
      </c>
      <c r="K11" s="24">
        <f t="shared" si="5"/>
        <v>635495.77457341726</v>
      </c>
      <c r="L11" s="24">
        <f t="shared" si="5"/>
        <v>763456.38453760382</v>
      </c>
    </row>
    <row r="12" spans="2:15" x14ac:dyDescent="0.25">
      <c r="B12" s="17" t="s">
        <v>206</v>
      </c>
      <c r="C12" s="18">
        <f>C11/Balance_Sheet!C74</f>
        <v>0.33757418278479512</v>
      </c>
      <c r="D12" s="18">
        <f>D11/Balance_Sheet!D74</f>
        <v>0.40676635023415775</v>
      </c>
      <c r="E12" s="18">
        <f>E11/Balance_Sheet!E74</f>
        <v>0.46697794837734913</v>
      </c>
      <c r="F12" s="18">
        <f>F11/Balance_Sheet!F74</f>
        <v>0.51785659367549375</v>
      </c>
      <c r="G12" s="18">
        <f>G11/Balance_Sheet!G74</f>
        <v>0.52373049702209318</v>
      </c>
      <c r="H12" s="25"/>
      <c r="I12" s="25"/>
      <c r="J12" s="25"/>
      <c r="K12" s="25"/>
      <c r="L12" s="25"/>
    </row>
    <row r="13" spans="2:15" ht="18.75" x14ac:dyDescent="0.25">
      <c r="B13" s="9" t="s">
        <v>122</v>
      </c>
      <c r="C13" s="7">
        <f>C9+C11</f>
        <v>103563.47</v>
      </c>
      <c r="D13" s="7">
        <f t="shared" ref="D13:L13" si="6">D9+D11</f>
        <v>178022.0925519249</v>
      </c>
      <c r="E13" s="7">
        <f t="shared" si="6"/>
        <v>246037.93921654287</v>
      </c>
      <c r="F13" s="7">
        <f t="shared" si="6"/>
        <v>313577.77530674246</v>
      </c>
      <c r="G13" s="7">
        <f t="shared" si="6"/>
        <v>329518.95283174899</v>
      </c>
      <c r="H13" s="27">
        <f t="shared" si="6"/>
        <v>424631.65984559467</v>
      </c>
      <c r="I13" s="27">
        <f t="shared" si="6"/>
        <v>473547.74785829597</v>
      </c>
      <c r="J13" s="27">
        <f t="shared" si="6"/>
        <v>547225.18787000049</v>
      </c>
      <c r="K13" s="27">
        <f t="shared" si="6"/>
        <v>645192.44457341731</v>
      </c>
      <c r="L13" s="27">
        <f t="shared" si="6"/>
        <v>773153.05453760386</v>
      </c>
    </row>
    <row r="14" spans="2:15" x14ac:dyDescent="0.25">
      <c r="B14" s="19" t="s">
        <v>207</v>
      </c>
      <c r="C14" s="20">
        <f>C13/Balance_Sheet!C74</f>
        <v>0.36677595085763592</v>
      </c>
      <c r="D14" s="20">
        <f>D13/Balance_Sheet!D74</f>
        <v>0.4307051661870408</v>
      </c>
      <c r="E14" s="20">
        <f>E13/Balance_Sheet!E74</f>
        <v>0.48654462580962032</v>
      </c>
      <c r="F14" s="20">
        <f>F13/Balance_Sheet!F74</f>
        <v>0.53438109753079788</v>
      </c>
      <c r="G14" s="20">
        <f>G13/Balance_Sheet!G74</f>
        <v>0.53960944627351493</v>
      </c>
      <c r="H14" s="28">
        <f>H13/Balance_Sheet!H74</f>
        <v>0.52035579120090114</v>
      </c>
      <c r="I14" s="28">
        <f>I13/Balance_Sheet!I74</f>
        <v>0.52035579519498598</v>
      </c>
      <c r="J14" s="28">
        <f>J13/Balance_Sheet!J74</f>
        <v>0.52035579285621469</v>
      </c>
      <c r="K14" s="28">
        <f>K13/Balance_Sheet!K74</f>
        <v>0.52035579963813117</v>
      </c>
      <c r="L14" s="28">
        <f>L13/Balance_Sheet!L74</f>
        <v>0.5203557984949696</v>
      </c>
    </row>
    <row r="15" spans="2:15" ht="18.75" x14ac:dyDescent="0.25">
      <c r="B15" s="8" t="s">
        <v>12</v>
      </c>
      <c r="C15" s="5">
        <v>116775.81</v>
      </c>
      <c r="D15" s="5">
        <v>147063.71</v>
      </c>
      <c r="E15" s="5">
        <v>176020.02</v>
      </c>
      <c r="F15" s="5">
        <v>181271.91</v>
      </c>
      <c r="G15" s="5">
        <v>181871.19</v>
      </c>
      <c r="H15" s="24">
        <f>ROUND(H74*H16,2)</f>
        <v>243038.48</v>
      </c>
      <c r="I15" s="24">
        <f t="shared" ref="I15:L15" si="7">ROUND(I74*I16,2)</f>
        <v>271035.65999999997</v>
      </c>
      <c r="J15" s="24">
        <f t="shared" si="7"/>
        <v>313205.03999999998</v>
      </c>
      <c r="K15" s="24">
        <f t="shared" si="7"/>
        <v>369276.72</v>
      </c>
      <c r="L15" s="24">
        <f t="shared" si="7"/>
        <v>442515.14</v>
      </c>
    </row>
    <row r="16" spans="2:15" x14ac:dyDescent="0.25">
      <c r="B16" s="17" t="s">
        <v>208</v>
      </c>
      <c r="C16" s="18">
        <f>C15/Balance_Sheet!C74</f>
        <v>0.41356820846115555</v>
      </c>
      <c r="D16" s="18">
        <f>D15/Balance_Sheet!D74</f>
        <v>0.35580471360405813</v>
      </c>
      <c r="E16" s="18">
        <f>E15/Balance_Sheet!E74</f>
        <v>0.34808288119551761</v>
      </c>
      <c r="F16" s="18">
        <f>F15/Balance_Sheet!F74</f>
        <v>0.30891309858470439</v>
      </c>
      <c r="G16" s="18">
        <f>G15/Balance_Sheet!G74</f>
        <v>0.29782630493826195</v>
      </c>
      <c r="H16" s="25">
        <f>G16</f>
        <v>0.29782630493826195</v>
      </c>
      <c r="I16" s="25">
        <f t="shared" ref="I16:L16" si="8">H16</f>
        <v>0.29782630493826195</v>
      </c>
      <c r="J16" s="25">
        <f t="shared" si="8"/>
        <v>0.29782630493826195</v>
      </c>
      <c r="K16" s="25">
        <f t="shared" si="8"/>
        <v>0.29782630493826195</v>
      </c>
      <c r="L16" s="25">
        <f t="shared" si="8"/>
        <v>0.29782630493826195</v>
      </c>
    </row>
    <row r="17" spans="2:12" ht="18.75" x14ac:dyDescent="0.25">
      <c r="B17" s="8" t="s">
        <v>13</v>
      </c>
      <c r="C17" s="5">
        <v>10401.629999999999</v>
      </c>
      <c r="D17" s="5">
        <v>3928.11</v>
      </c>
      <c r="E17" s="5">
        <v>8715.42</v>
      </c>
      <c r="F17" s="5">
        <v>9887.82</v>
      </c>
      <c r="G17" s="5">
        <v>10951.67</v>
      </c>
      <c r="H17" s="24">
        <f>H74*H18</f>
        <v>14064.389941175954</v>
      </c>
      <c r="I17" s="24">
        <f t="shared" ref="I17:L17" si="9">I74*I18</f>
        <v>15684.558548802654</v>
      </c>
      <c r="J17" s="24">
        <f t="shared" si="9"/>
        <v>18124.857685252216</v>
      </c>
      <c r="K17" s="24">
        <f t="shared" si="9"/>
        <v>21369.668911987934</v>
      </c>
      <c r="L17" s="24">
        <f t="shared" si="9"/>
        <v>25607.901904340517</v>
      </c>
    </row>
    <row r="18" spans="2:12" x14ac:dyDescent="0.25">
      <c r="B18" s="17" t="s">
        <v>209</v>
      </c>
      <c r="C18" s="18">
        <f>C17/Balance_Sheet!C74</f>
        <v>3.6837967419586379E-2</v>
      </c>
      <c r="D18" s="18">
        <f>D17/Balance_Sheet!D74</f>
        <v>9.5036365773394204E-3</v>
      </c>
      <c r="E18" s="18">
        <f>E17/Balance_Sheet!E74</f>
        <v>1.7234906031876593E-2</v>
      </c>
      <c r="F18" s="18">
        <f>F17/Balance_Sheet!F74</f>
        <v>1.6850250623209141E-2</v>
      </c>
      <c r="G18" s="18">
        <f>G17/Balance_Sheet!G74</f>
        <v>1.7934096153454624E-2</v>
      </c>
      <c r="H18" s="25">
        <f>MEDIAN(C18:G18)</f>
        <v>1.7234906031876593E-2</v>
      </c>
      <c r="I18" s="25">
        <f t="shared" ref="I18:L18" si="10">H18</f>
        <v>1.7234906031876593E-2</v>
      </c>
      <c r="J18" s="25">
        <f t="shared" si="10"/>
        <v>1.7234906031876593E-2</v>
      </c>
      <c r="K18" s="25">
        <f t="shared" si="10"/>
        <v>1.7234906031876593E-2</v>
      </c>
      <c r="L18" s="25">
        <f t="shared" si="10"/>
        <v>1.7234906031876593E-2</v>
      </c>
    </row>
    <row r="19" spans="2:12" ht="18.75" x14ac:dyDescent="0.25">
      <c r="B19" s="8" t="s">
        <v>18</v>
      </c>
      <c r="C19" s="5">
        <v>6680.38</v>
      </c>
      <c r="D19" s="5">
        <v>17368.849999999999</v>
      </c>
      <c r="E19" s="5">
        <v>16556.23</v>
      </c>
      <c r="F19" s="5">
        <v>15964.62</v>
      </c>
      <c r="G19" s="5">
        <v>27684.07</v>
      </c>
      <c r="H19" s="24">
        <f>ROUND(H74*H20,2)</f>
        <v>36994.83</v>
      </c>
      <c r="I19" s="24">
        <f t="shared" ref="I19:L19" si="11">ROUND(I74*I20,2)</f>
        <v>41256.51</v>
      </c>
      <c r="J19" s="24">
        <f t="shared" si="11"/>
        <v>47675.45</v>
      </c>
      <c r="K19" s="24">
        <f t="shared" si="11"/>
        <v>56210.57</v>
      </c>
      <c r="L19" s="24">
        <f t="shared" si="11"/>
        <v>67358.77</v>
      </c>
    </row>
    <row r="20" spans="2:12" x14ac:dyDescent="0.25">
      <c r="B20" s="17" t="s">
        <v>210</v>
      </c>
      <c r="C20" s="18">
        <f>C19/Balance_Sheet!C74</f>
        <v>2.3658947760154557E-2</v>
      </c>
      <c r="D20" s="18">
        <f>D19/Balance_Sheet!D74</f>
        <v>4.2022050850490891E-2</v>
      </c>
      <c r="E20" s="18">
        <f>E19/Balance_Sheet!E74</f>
        <v>3.2740254433192686E-2</v>
      </c>
      <c r="F20" s="18">
        <f>F19/Balance_Sheet!F74</f>
        <v>2.7205981511020341E-2</v>
      </c>
      <c r="G20" s="18">
        <f>G19/Balance_Sheet!G74</f>
        <v>4.5334526451122854E-2</v>
      </c>
      <c r="H20" s="25">
        <f>G20</f>
        <v>4.5334526451122854E-2</v>
      </c>
      <c r="I20" s="25">
        <f t="shared" ref="I20:L20" si="12">H20</f>
        <v>4.5334526451122854E-2</v>
      </c>
      <c r="J20" s="25">
        <f t="shared" si="12"/>
        <v>4.5334526451122854E-2</v>
      </c>
      <c r="K20" s="25">
        <f t="shared" si="12"/>
        <v>4.5334526451122854E-2</v>
      </c>
      <c r="L20" s="25">
        <f t="shared" si="12"/>
        <v>4.5334526451122854E-2</v>
      </c>
    </row>
    <row r="21" spans="2:12" ht="18.75" x14ac:dyDescent="0.25">
      <c r="B21" s="9" t="s">
        <v>123</v>
      </c>
      <c r="C21" s="7">
        <f>C15+C17+C19</f>
        <v>133857.82</v>
      </c>
      <c r="D21" s="7">
        <f t="shared" ref="D21:G21" si="13">D15+D17+D19</f>
        <v>168360.66999999998</v>
      </c>
      <c r="E21" s="7">
        <f t="shared" si="13"/>
        <v>201291.67</v>
      </c>
      <c r="F21" s="7">
        <f t="shared" si="13"/>
        <v>207124.35</v>
      </c>
      <c r="G21" s="7">
        <f t="shared" si="13"/>
        <v>220506.93000000002</v>
      </c>
      <c r="H21" s="27">
        <f>ROUND(H74*H22,2)</f>
        <v>294668.27</v>
      </c>
      <c r="I21" s="27">
        <f t="shared" ref="I21:L21" si="14">ROUND(I74*I22,2)</f>
        <v>328613.02</v>
      </c>
      <c r="J21" s="27">
        <f t="shared" si="14"/>
        <v>379740.64</v>
      </c>
      <c r="K21" s="27">
        <f t="shared" si="14"/>
        <v>447723.88</v>
      </c>
      <c r="L21" s="27">
        <f t="shared" si="14"/>
        <v>536520.68000000005</v>
      </c>
    </row>
    <row r="22" spans="2:12" x14ac:dyDescent="0.25">
      <c r="B22" s="19" t="s">
        <v>211</v>
      </c>
      <c r="C22" s="20">
        <f>C21/Balance_Sheet!C74</f>
        <v>0.47406512364089648</v>
      </c>
      <c r="D22" s="20">
        <f>D21/Balance_Sheet!D74</f>
        <v>0.40733040103188844</v>
      </c>
      <c r="E22" s="20">
        <f>E21/Balance_Sheet!E74</f>
        <v>0.39805804166058695</v>
      </c>
      <c r="F22" s="20">
        <f>F21/Balance_Sheet!F74</f>
        <v>0.35296933071893388</v>
      </c>
      <c r="G22" s="20">
        <f>G21/Balance_Sheet!G74</f>
        <v>0.36109492754283945</v>
      </c>
      <c r="H22" s="28">
        <f>G22</f>
        <v>0.36109492754283945</v>
      </c>
      <c r="I22" s="28">
        <f t="shared" ref="I22:L22" si="15">H22</f>
        <v>0.36109492754283945</v>
      </c>
      <c r="J22" s="28">
        <f t="shared" si="15"/>
        <v>0.36109492754283945</v>
      </c>
      <c r="K22" s="28">
        <f t="shared" si="15"/>
        <v>0.36109492754283945</v>
      </c>
      <c r="L22" s="28">
        <f t="shared" si="15"/>
        <v>0.36109492754283945</v>
      </c>
    </row>
    <row r="23" spans="2:12" ht="18.75" x14ac:dyDescent="0.25">
      <c r="B23" s="8" t="s">
        <v>15</v>
      </c>
      <c r="C23" s="5">
        <v>480.9</v>
      </c>
      <c r="D23" s="5">
        <v>1141.73</v>
      </c>
      <c r="E23" s="5">
        <v>1085.02</v>
      </c>
      <c r="F23" s="5">
        <v>1042.3900000000001</v>
      </c>
      <c r="G23" s="4">
        <v>1655.19</v>
      </c>
      <c r="H23" s="26">
        <f>H74*H24</f>
        <v>1750.9361997442159</v>
      </c>
      <c r="I23" s="26">
        <f t="shared" ref="I23:L23" si="16">I74*I24</f>
        <v>1952.6379355925308</v>
      </c>
      <c r="J23" s="26">
        <f t="shared" si="16"/>
        <v>2256.441236985981</v>
      </c>
      <c r="K23" s="26">
        <f t="shared" si="16"/>
        <v>2660.4016975527452</v>
      </c>
      <c r="L23" s="26">
        <f t="shared" si="16"/>
        <v>3188.0374926564118</v>
      </c>
    </row>
    <row r="24" spans="2:12" x14ac:dyDescent="0.25">
      <c r="B24" s="17" t="s">
        <v>212</v>
      </c>
      <c r="C24" s="18">
        <f>C23/Balance_Sheet!C74</f>
        <v>1.7031348482958045E-3</v>
      </c>
      <c r="D24" s="18">
        <f>D23/Balance_Sheet!D74</f>
        <v>2.7622920410695566E-3</v>
      </c>
      <c r="E24" s="18">
        <f>E23/Balance_Sheet!E74</f>
        <v>2.1456473403125426E-3</v>
      </c>
      <c r="F24" s="18">
        <f>F23/Balance_Sheet!F74</f>
        <v>1.7763807135573848E-3</v>
      </c>
      <c r="G24" s="18">
        <f>G23/Balance_Sheet!G74</f>
        <v>2.7104849408571079E-3</v>
      </c>
      <c r="H24" s="25">
        <f>MEDIAN(C24:G24)</f>
        <v>2.1456473403125426E-3</v>
      </c>
      <c r="I24" s="25">
        <f t="shared" ref="I24:L24" si="17">H24</f>
        <v>2.1456473403125426E-3</v>
      </c>
      <c r="J24" s="25">
        <f t="shared" si="17"/>
        <v>2.1456473403125426E-3</v>
      </c>
      <c r="K24" s="25">
        <f t="shared" si="17"/>
        <v>2.1456473403125426E-3</v>
      </c>
      <c r="L24" s="25">
        <f t="shared" si="17"/>
        <v>2.1456473403125426E-3</v>
      </c>
    </row>
    <row r="25" spans="2:12" ht="18.75" x14ac:dyDescent="0.25">
      <c r="B25" s="8" t="s">
        <v>21</v>
      </c>
      <c r="C25" s="5">
        <v>8251.7800000000007</v>
      </c>
      <c r="D25" s="5">
        <v>7308.41</v>
      </c>
      <c r="E25" s="5">
        <v>7372.06</v>
      </c>
      <c r="F25" s="5">
        <v>8113.6</v>
      </c>
      <c r="G25" s="5">
        <v>7875.69</v>
      </c>
      <c r="H25" s="24">
        <f>H74*H26</f>
        <v>11896.561096280569</v>
      </c>
      <c r="I25" s="24">
        <f t="shared" ref="I25:L25" si="18">I74*I26</f>
        <v>13267.003391148803</v>
      </c>
      <c r="J25" s="24">
        <f t="shared" si="18"/>
        <v>15331.164573496224</v>
      </c>
      <c r="K25" s="24">
        <f t="shared" si="18"/>
        <v>18075.833568469421</v>
      </c>
      <c r="L25" s="24">
        <f t="shared" si="18"/>
        <v>21660.802269186403</v>
      </c>
    </row>
    <row r="26" spans="2:12" x14ac:dyDescent="0.25">
      <c r="B26" s="17" t="s">
        <v>213</v>
      </c>
      <c r="C26" s="18">
        <f>C25/Balance_Sheet!C74</f>
        <v>2.922415071422407E-2</v>
      </c>
      <c r="D26" s="18">
        <f>D25/Balance_Sheet!D74</f>
        <v>1.7681906208887526E-2</v>
      </c>
      <c r="E26" s="18">
        <f>E25/Balance_Sheet!E74</f>
        <v>1.4578386510501634E-2</v>
      </c>
      <c r="F26" s="18">
        <f>F25/Balance_Sheet!F74</f>
        <v>1.3826727575589939E-2</v>
      </c>
      <c r="G26" s="18">
        <f>G25/Balance_Sheet!G74</f>
        <v>1.2896972035753547E-2</v>
      </c>
      <c r="H26" s="25">
        <f>MEDIAN(C26:G26)</f>
        <v>1.4578386510501634E-2</v>
      </c>
      <c r="I26" s="25">
        <f t="shared" ref="I26:L26" si="19">H26</f>
        <v>1.4578386510501634E-2</v>
      </c>
      <c r="J26" s="25">
        <f t="shared" si="19"/>
        <v>1.4578386510501634E-2</v>
      </c>
      <c r="K26" s="25">
        <f t="shared" si="19"/>
        <v>1.4578386510501634E-2</v>
      </c>
      <c r="L26" s="25">
        <f t="shared" si="19"/>
        <v>1.4578386510501634E-2</v>
      </c>
    </row>
    <row r="27" spans="2:12" ht="18.75" x14ac:dyDescent="0.25">
      <c r="B27" s="8" t="s">
        <v>14</v>
      </c>
      <c r="C27" s="5">
        <v>2210.62</v>
      </c>
      <c r="D27" s="5">
        <v>2026.01</v>
      </c>
      <c r="E27" s="5">
        <v>3023.68</v>
      </c>
      <c r="F27" s="5">
        <v>4165.74</v>
      </c>
      <c r="G27" s="5">
        <v>4033.84</v>
      </c>
      <c r="H27" s="24">
        <f>ROUND(H74*H28,2)</f>
        <v>5390.51</v>
      </c>
      <c r="I27" s="24">
        <f t="shared" ref="I27:L27" si="20">ROUND(I74*I28,2)</f>
        <v>6011.48</v>
      </c>
      <c r="J27" s="24">
        <f t="shared" si="20"/>
        <v>6946.78</v>
      </c>
      <c r="K27" s="24">
        <f t="shared" si="20"/>
        <v>8190.43</v>
      </c>
      <c r="L27" s="24">
        <f t="shared" si="20"/>
        <v>9814.83</v>
      </c>
    </row>
    <row r="28" spans="2:12" x14ac:dyDescent="0.25">
      <c r="B28" s="17" t="s">
        <v>214</v>
      </c>
      <c r="C28" s="18">
        <f>C27/Balance_Sheet!C74</f>
        <v>7.82903713524573E-3</v>
      </c>
      <c r="D28" s="18">
        <f>D27/Balance_Sheet!D74</f>
        <v>4.9017116990245782E-3</v>
      </c>
      <c r="E28" s="18">
        <f>E27/Balance_Sheet!E74</f>
        <v>5.9793837440381085E-3</v>
      </c>
      <c r="F28" s="18">
        <f>F27/Balance_Sheet!F74</f>
        <v>7.0990130312978241E-3</v>
      </c>
      <c r="G28" s="18">
        <f>G27/Balance_Sheet!G74</f>
        <v>6.6056842862916255E-3</v>
      </c>
      <c r="H28" s="25">
        <f>G28</f>
        <v>6.6056842862916255E-3</v>
      </c>
      <c r="I28" s="25">
        <f t="shared" ref="I28:L28" si="21">H28</f>
        <v>6.6056842862916255E-3</v>
      </c>
      <c r="J28" s="25">
        <f t="shared" si="21"/>
        <v>6.6056842862916255E-3</v>
      </c>
      <c r="K28" s="25">
        <f t="shared" si="21"/>
        <v>6.6056842862916255E-3</v>
      </c>
      <c r="L28" s="25">
        <f t="shared" si="21"/>
        <v>6.6056842862916255E-3</v>
      </c>
    </row>
    <row r="29" spans="2:12" ht="18.75" x14ac:dyDescent="0.25">
      <c r="B29" s="8" t="s">
        <v>19</v>
      </c>
      <c r="C29" s="5">
        <v>6707.55</v>
      </c>
      <c r="D29" s="5">
        <v>8614.32</v>
      </c>
      <c r="E29" s="5">
        <v>10108.58</v>
      </c>
      <c r="F29" s="5">
        <v>8726.2800000000007</v>
      </c>
      <c r="G29" s="5">
        <v>11277.32</v>
      </c>
      <c r="H29" s="24">
        <f>H74*H30</f>
        <v>16312.582855625134</v>
      </c>
      <c r="I29" s="24">
        <f t="shared" ref="I29:L29" si="22">I74*I30</f>
        <v>18191.7354361873</v>
      </c>
      <c r="J29" s="24">
        <f t="shared" si="22"/>
        <v>21022.116421238086</v>
      </c>
      <c r="K29" s="24">
        <f t="shared" si="22"/>
        <v>24785.61076463819</v>
      </c>
      <c r="L29" s="24">
        <f t="shared" si="22"/>
        <v>29701.325355769248</v>
      </c>
    </row>
    <row r="30" spans="2:12" x14ac:dyDescent="0.25">
      <c r="B30" s="17" t="s">
        <v>215</v>
      </c>
      <c r="C30" s="18">
        <f>C29/Balance_Sheet!C74</f>
        <v>2.3755171868759667E-2</v>
      </c>
      <c r="D30" s="18">
        <f>D29/Balance_Sheet!D74</f>
        <v>2.0841413972853742E-2</v>
      </c>
      <c r="E30" s="18">
        <f>E29/Balance_Sheet!E74</f>
        <v>1.9989905984531677E-2</v>
      </c>
      <c r="F30" s="18">
        <f>F29/Balance_Sheet!F74</f>
        <v>1.4870821375014663E-2</v>
      </c>
      <c r="G30" s="18">
        <f>G29/Balance_Sheet!G74</f>
        <v>1.8467369929268954E-2</v>
      </c>
      <c r="H30" s="25">
        <f>MEDIAN(C30:G30)</f>
        <v>1.9989905984531677E-2</v>
      </c>
      <c r="I30" s="25">
        <f t="shared" ref="I30:L30" si="23">H30</f>
        <v>1.9989905984531677E-2</v>
      </c>
      <c r="J30" s="25">
        <f t="shared" si="23"/>
        <v>1.9989905984531677E-2</v>
      </c>
      <c r="K30" s="25">
        <f t="shared" si="23"/>
        <v>1.9989905984531677E-2</v>
      </c>
      <c r="L30" s="25">
        <f t="shared" si="23"/>
        <v>1.9989905984531677E-2</v>
      </c>
    </row>
    <row r="31" spans="2:12" ht="18.75" x14ac:dyDescent="0.25">
      <c r="B31" s="8" t="s">
        <v>20</v>
      </c>
      <c r="C31" s="5">
        <v>26341.759999999998</v>
      </c>
      <c r="D31" s="5">
        <v>44945.61</v>
      </c>
      <c r="E31" s="5">
        <v>33448.080000000002</v>
      </c>
      <c r="F31" s="5">
        <v>40531.67</v>
      </c>
      <c r="G31" s="5">
        <v>32033.61</v>
      </c>
      <c r="H31" s="24">
        <f>H74*H32</f>
        <v>56365.360630600931</v>
      </c>
      <c r="I31" s="24">
        <f t="shared" ref="I31:L31" si="24">I74*I32</f>
        <v>62858.45334441273</v>
      </c>
      <c r="J31" s="24">
        <f t="shared" si="24"/>
        <v>72638.3543175667</v>
      </c>
      <c r="K31" s="24">
        <f t="shared" si="24"/>
        <v>85642.470083564083</v>
      </c>
      <c r="L31" s="24">
        <f t="shared" si="24"/>
        <v>102627.88730035168</v>
      </c>
    </row>
    <row r="32" spans="2:12" x14ac:dyDescent="0.25">
      <c r="B32" s="17" t="s">
        <v>216</v>
      </c>
      <c r="C32" s="18">
        <f>C31/Balance_Sheet!C74</f>
        <v>9.3290849285598859E-2</v>
      </c>
      <c r="D32" s="18">
        <f>D31/Balance_Sheet!D74</f>
        <v>0.10874103403082713</v>
      </c>
      <c r="E32" s="18">
        <f>E31/Balance_Sheet!E74</f>
        <v>6.614420369261502E-2</v>
      </c>
      <c r="F32" s="18">
        <f>F31/Balance_Sheet!F74</f>
        <v>6.9071726394413252E-2</v>
      </c>
      <c r="G32" s="18">
        <f>G31/Balance_Sheet!G74</f>
        <v>5.245719071906528E-2</v>
      </c>
      <c r="H32" s="25">
        <f>MEDIAN(C32:G32)</f>
        <v>6.9071726394413252E-2</v>
      </c>
      <c r="I32" s="25">
        <f t="shared" ref="I32:L32" si="25">H32</f>
        <v>6.9071726394413252E-2</v>
      </c>
      <c r="J32" s="25">
        <f t="shared" si="25"/>
        <v>6.9071726394413252E-2</v>
      </c>
      <c r="K32" s="25">
        <f t="shared" si="25"/>
        <v>6.9071726394413252E-2</v>
      </c>
      <c r="L32" s="25">
        <f t="shared" si="25"/>
        <v>6.9071726394413252E-2</v>
      </c>
    </row>
    <row r="33" spans="2:12" ht="18.75" x14ac:dyDescent="0.25">
      <c r="B33" s="9" t="s">
        <v>22</v>
      </c>
      <c r="C33" s="7">
        <f>C23+C25+C27+C29+C31</f>
        <v>43992.61</v>
      </c>
      <c r="D33" s="7">
        <f t="shared" ref="D33:L33" si="26">D23+D25+D27+D29+D31</f>
        <v>64036.08</v>
      </c>
      <c r="E33" s="7">
        <f t="shared" si="26"/>
        <v>55037.42</v>
      </c>
      <c r="F33" s="7">
        <f t="shared" si="26"/>
        <v>62579.68</v>
      </c>
      <c r="G33" s="7">
        <f t="shared" si="26"/>
        <v>56875.65</v>
      </c>
      <c r="H33" s="27">
        <f t="shared" si="26"/>
        <v>91715.950782250846</v>
      </c>
      <c r="I33" s="27">
        <f t="shared" si="26"/>
        <v>102281.31010734136</v>
      </c>
      <c r="J33" s="27">
        <f t="shared" si="26"/>
        <v>118194.85654928698</v>
      </c>
      <c r="K33" s="27">
        <f t="shared" si="26"/>
        <v>139354.74611422443</v>
      </c>
      <c r="L33" s="27">
        <f t="shared" si="26"/>
        <v>166992.88241796376</v>
      </c>
    </row>
    <row r="34" spans="2:12" x14ac:dyDescent="0.25">
      <c r="B34" s="19" t="s">
        <v>217</v>
      </c>
      <c r="C34" s="20">
        <f>C33/Balance_Sheet!C74</f>
        <v>0.15580234385212413</v>
      </c>
      <c r="D34" s="20">
        <f>D33/Balance_Sheet!D74</f>
        <v>0.15492835795266255</v>
      </c>
      <c r="E34" s="20">
        <f>E33/Balance_Sheet!E74</f>
        <v>0.10883752727199898</v>
      </c>
      <c r="F34" s="20">
        <f>F33/Balance_Sheet!F74</f>
        <v>0.10664466908987306</v>
      </c>
      <c r="G34" s="20">
        <f>G33/Balance_Sheet!G74</f>
        <v>9.313770191123652E-2</v>
      </c>
      <c r="H34" s="28">
        <f>H33/Balance_Sheet!H74</f>
        <v>0.11239135148894661</v>
      </c>
      <c r="I34" s="28">
        <f>I33/Balance_Sheet!I74</f>
        <v>0.11239135376569646</v>
      </c>
      <c r="J34" s="28">
        <f>J33/Balance_Sheet!J74</f>
        <v>0.11239135122895988</v>
      </c>
      <c r="K34" s="28">
        <f>K33/Balance_Sheet!K74</f>
        <v>0.11239135076291883</v>
      </c>
      <c r="L34" s="28">
        <f>L33/Balance_Sheet!L74</f>
        <v>0.11239134885853283</v>
      </c>
    </row>
    <row r="35" spans="2:12" ht="18.75" x14ac:dyDescent="0.25">
      <c r="B35" s="8" t="s">
        <v>10</v>
      </c>
      <c r="C35" s="5">
        <v>947.77</v>
      </c>
      <c r="D35" s="5">
        <v>2908.2</v>
      </c>
      <c r="E35" s="5">
        <v>3317.19</v>
      </c>
      <c r="F35" s="5">
        <v>3523.71</v>
      </c>
      <c r="G35" s="4">
        <v>3760.41</v>
      </c>
      <c r="H35" s="26">
        <f>H74*H36</f>
        <v>5025.1186768994994</v>
      </c>
      <c r="I35" s="26">
        <f t="shared" ref="I35:L35" si="27">I74*I36</f>
        <v>5603.9948004969692</v>
      </c>
      <c r="J35" s="26">
        <f t="shared" si="27"/>
        <v>6475.898439338278</v>
      </c>
      <c r="K35" s="26">
        <f t="shared" si="27"/>
        <v>7635.2492228902511</v>
      </c>
      <c r="L35" s="26">
        <f t="shared" si="27"/>
        <v>9149.543398179725</v>
      </c>
    </row>
    <row r="36" spans="2:12" x14ac:dyDescent="0.25">
      <c r="B36" s="17" t="s">
        <v>218</v>
      </c>
      <c r="C36" s="18">
        <f>C35/Balance_Sheet!C74</f>
        <v>3.3565816493435529E-3</v>
      </c>
      <c r="D36" s="18">
        <f>D35/Balance_Sheet!D74</f>
        <v>7.0360748284081908E-3</v>
      </c>
      <c r="E36" s="18">
        <f>E35/Balance_Sheet!E74</f>
        <v>6.5598052577937396E-3</v>
      </c>
      <c r="F36" s="18">
        <f>F35/Balance_Sheet!F74</f>
        <v>6.0049026603951417E-3</v>
      </c>
      <c r="G36" s="18">
        <f>G35/Balance_Sheet!G74</f>
        <v>6.1579242724088936E-3</v>
      </c>
      <c r="H36" s="25">
        <f>MEDIAN(C36:G36)</f>
        <v>6.1579242724088936E-3</v>
      </c>
      <c r="I36" s="25">
        <f t="shared" ref="I36:L36" si="28">H36</f>
        <v>6.1579242724088936E-3</v>
      </c>
      <c r="J36" s="25">
        <f t="shared" si="28"/>
        <v>6.1579242724088936E-3</v>
      </c>
      <c r="K36" s="25">
        <f t="shared" si="28"/>
        <v>6.1579242724088936E-3</v>
      </c>
      <c r="L36" s="25">
        <f t="shared" si="28"/>
        <v>6.1579242724088936E-3</v>
      </c>
    </row>
    <row r="37" spans="2:12" ht="18.75" x14ac:dyDescent="0.25">
      <c r="B37" s="9" t="s">
        <v>124</v>
      </c>
      <c r="C37" s="7">
        <f>C13+C21+C33+C35</f>
        <v>282361.67000000004</v>
      </c>
      <c r="D37" s="7">
        <f t="shared" ref="D37:L37" si="29">D13+D21+D33+D35</f>
        <v>413327.04255192494</v>
      </c>
      <c r="E37" s="7">
        <f t="shared" si="29"/>
        <v>505684.2192165429</v>
      </c>
      <c r="F37" s="7">
        <f t="shared" si="29"/>
        <v>586805.51530674251</v>
      </c>
      <c r="G37" s="7">
        <f t="shared" si="29"/>
        <v>610661.9428317491</v>
      </c>
      <c r="H37" s="27">
        <f t="shared" si="29"/>
        <v>816040.999304745</v>
      </c>
      <c r="I37" s="27">
        <f t="shared" si="29"/>
        <v>910046.07276613428</v>
      </c>
      <c r="J37" s="27">
        <f t="shared" si="29"/>
        <v>1051636.5828586258</v>
      </c>
      <c r="K37" s="27">
        <f t="shared" si="29"/>
        <v>1239906.3199105319</v>
      </c>
      <c r="L37" s="27">
        <f t="shared" si="29"/>
        <v>1485816.1603537474</v>
      </c>
    </row>
    <row r="38" spans="2:12" x14ac:dyDescent="0.25">
      <c r="B38" s="19" t="s">
        <v>219</v>
      </c>
      <c r="C38" s="20">
        <f>C37/Balance_Sheet!C74</f>
        <v>1.0000000000000002</v>
      </c>
      <c r="D38" s="20">
        <f>D37/Balance_Sheet!D74</f>
        <v>1.0000000000000002</v>
      </c>
      <c r="E38" s="20">
        <f>E37/Balance_Sheet!E74</f>
        <v>1</v>
      </c>
      <c r="F38" s="20">
        <f>F37/Balance_Sheet!F74</f>
        <v>1</v>
      </c>
      <c r="G38" s="20">
        <f>G37/Balance_Sheet!G74</f>
        <v>1</v>
      </c>
      <c r="H38" s="28">
        <f>H37/Balance_Sheet!H74</f>
        <v>0.99999999999999989</v>
      </c>
      <c r="I38" s="28">
        <f>I37/Balance_Sheet!I74</f>
        <v>0.99999999999999989</v>
      </c>
      <c r="J38" s="28">
        <f>J37/Balance_Sheet!J74</f>
        <v>1</v>
      </c>
      <c r="K38" s="28">
        <f>K37/Balance_Sheet!K74</f>
        <v>1</v>
      </c>
      <c r="L38" s="28">
        <f>L37/Balance_Sheet!L74</f>
        <v>1.0000000000000002</v>
      </c>
    </row>
    <row r="39" spans="2:12" ht="18.75" x14ac:dyDescent="0.25">
      <c r="B39" s="8"/>
      <c r="C39" s="5"/>
      <c r="D39" s="4"/>
      <c r="E39" s="4"/>
      <c r="F39" s="4"/>
      <c r="G39" s="4"/>
      <c r="H39" s="26"/>
      <c r="I39" s="26"/>
      <c r="J39" s="26"/>
      <c r="K39" s="26"/>
      <c r="L39" s="26"/>
    </row>
    <row r="40" spans="2:12" ht="18.75" x14ac:dyDescent="0.25">
      <c r="B40" s="8" t="s">
        <v>26</v>
      </c>
      <c r="C40" s="5">
        <v>127913.66</v>
      </c>
      <c r="D40" s="5">
        <v>150555.42000000001</v>
      </c>
      <c r="E40" s="5">
        <v>187176.46</v>
      </c>
      <c r="F40" s="5">
        <v>202598.05</v>
      </c>
      <c r="G40" s="5">
        <v>316049.28000000003</v>
      </c>
      <c r="H40" s="24">
        <f>ROUND(H74*H41,2)</f>
        <v>422343.61</v>
      </c>
      <c r="I40" s="24">
        <f t="shared" ref="I40:L40" si="30">ROUND(I74*I41,2)</f>
        <v>470996.12</v>
      </c>
      <c r="J40" s="24">
        <f t="shared" si="30"/>
        <v>544276.56999999995</v>
      </c>
      <c r="K40" s="24">
        <f t="shared" si="30"/>
        <v>641715.93999999994</v>
      </c>
      <c r="L40" s="24">
        <f t="shared" si="30"/>
        <v>768987.05</v>
      </c>
    </row>
    <row r="41" spans="2:12" x14ac:dyDescent="0.25">
      <c r="B41" s="17" t="s">
        <v>220</v>
      </c>
      <c r="C41" s="18">
        <f>C40/Balance_Sheet!C74</f>
        <v>0.45301354110846564</v>
      </c>
      <c r="D41" s="18">
        <f>D40/Balance_Sheet!D74</f>
        <v>0.36425252766055405</v>
      </c>
      <c r="E41" s="18">
        <f>E40/Balance_Sheet!E74</f>
        <v>0.37014494992545482</v>
      </c>
      <c r="F41" s="18">
        <f>F40/Balance_Sheet!F74</f>
        <v>0.34525587220170439</v>
      </c>
      <c r="G41" s="18">
        <f>G40/Balance_Sheet!G74</f>
        <v>0.51755195114079444</v>
      </c>
      <c r="H41" s="25">
        <f>G41</f>
        <v>0.51755195114079444</v>
      </c>
      <c r="I41" s="25">
        <f t="shared" ref="I41:L41" si="31">H41</f>
        <v>0.51755195114079444</v>
      </c>
      <c r="J41" s="25">
        <f t="shared" si="31"/>
        <v>0.51755195114079444</v>
      </c>
      <c r="K41" s="25">
        <f t="shared" si="31"/>
        <v>0.51755195114079444</v>
      </c>
      <c r="L41" s="25">
        <f t="shared" si="31"/>
        <v>0.51755195114079444</v>
      </c>
    </row>
    <row r="42" spans="2:12" ht="18.75" x14ac:dyDescent="0.25">
      <c r="B42" s="8" t="s">
        <v>27</v>
      </c>
      <c r="C42" s="4">
        <v>331.76</v>
      </c>
      <c r="D42" s="4">
        <v>429.11</v>
      </c>
      <c r="E42" s="4">
        <v>626.33000000000004</v>
      </c>
      <c r="F42" s="4">
        <v>647.13</v>
      </c>
      <c r="G42" s="4">
        <v>0</v>
      </c>
      <c r="H42" s="26">
        <f>ROUND(H74*H43,2)</f>
        <v>0</v>
      </c>
      <c r="I42" s="26">
        <f t="shared" ref="I42:L42" si="32">ROUND(I74*I43,2)</f>
        <v>0</v>
      </c>
      <c r="J42" s="26">
        <f t="shared" si="32"/>
        <v>0</v>
      </c>
      <c r="K42" s="26">
        <f t="shared" si="32"/>
        <v>0</v>
      </c>
      <c r="L42" s="26">
        <f t="shared" si="32"/>
        <v>0</v>
      </c>
    </row>
    <row r="43" spans="2:12" x14ac:dyDescent="0.25">
      <c r="B43" s="17" t="s">
        <v>221</v>
      </c>
      <c r="C43" s="18">
        <f>C42/Balance_Sheet!C74</f>
        <v>1.1749470103360701E-3</v>
      </c>
      <c r="D43" s="18">
        <f>D42/Balance_Sheet!D74</f>
        <v>1.038185155635183E-3</v>
      </c>
      <c r="E43" s="18">
        <f>E42/Balance_Sheet!E74</f>
        <v>1.2385792876241496E-3</v>
      </c>
      <c r="F43" s="18">
        <f>F42/Balance_Sheet!F74</f>
        <v>1.1028014957591595E-3</v>
      </c>
      <c r="G43" s="18">
        <f>G42/Balance_Sheet!G74</f>
        <v>0</v>
      </c>
      <c r="H43" s="25">
        <f>G43</f>
        <v>0</v>
      </c>
      <c r="I43" s="25">
        <f t="shared" ref="I43:L43" si="33">H43</f>
        <v>0</v>
      </c>
      <c r="J43" s="25">
        <f t="shared" si="33"/>
        <v>0</v>
      </c>
      <c r="K43" s="25">
        <f t="shared" si="33"/>
        <v>0</v>
      </c>
      <c r="L43" s="25">
        <f t="shared" si="33"/>
        <v>0</v>
      </c>
    </row>
    <row r="44" spans="2:12" ht="18.75" x14ac:dyDescent="0.25">
      <c r="B44" s="8" t="s">
        <v>125</v>
      </c>
      <c r="C44" s="4"/>
      <c r="D44" s="5">
        <f>Income_Statement!D31</f>
        <v>8669.0300000000007</v>
      </c>
      <c r="E44" s="5">
        <f>Income_Statement!E31+D44</f>
        <v>19025.190000000002</v>
      </c>
      <c r="F44" s="5">
        <f>Income_Statement!F31+E44</f>
        <v>31475.5</v>
      </c>
      <c r="G44" s="5">
        <f>Income_Statement!G31+F44</f>
        <v>45263.33</v>
      </c>
      <c r="H44" s="24">
        <f>Income_Statement!H31+G44</f>
        <v>69582.012285887147</v>
      </c>
      <c r="I44" s="24">
        <f>Income_Statement!I31+H44</f>
        <v>96702.121905079868</v>
      </c>
      <c r="J44" s="24">
        <f>Income_Statement!J31+I44</f>
        <v>128041.74364455028</v>
      </c>
      <c r="K44" s="24">
        <f>Income_Statement!K31+J44</f>
        <v>164991.95596728299</v>
      </c>
      <c r="L44" s="24">
        <f>Income_Statement!L31+K44</f>
        <v>209270.48015499738</v>
      </c>
    </row>
    <row r="45" spans="2:12" x14ac:dyDescent="0.25">
      <c r="B45" s="17" t="s">
        <v>222</v>
      </c>
      <c r="C45" s="18">
        <f>C44/Balance_Sheet!C74</f>
        <v>0</v>
      </c>
      <c r="D45" s="18">
        <f>D44/Balance_Sheet!D74</f>
        <v>2.0973778890624944E-2</v>
      </c>
      <c r="E45" s="18">
        <f>E44/Balance_Sheet!E74</f>
        <v>3.7622669003742594E-2</v>
      </c>
      <c r="F45" s="18">
        <f>F44/Balance_Sheet!F74</f>
        <v>5.3638725572554856E-2</v>
      </c>
      <c r="G45" s="18">
        <f>G44/Balance_Sheet!G74</f>
        <v>7.4121746952341278E-2</v>
      </c>
      <c r="H45" s="25">
        <f>H44/Balance_Sheet!H74</f>
        <v>8.5267789663962951E-2</v>
      </c>
      <c r="I45" s="25">
        <f>I44/Balance_Sheet!I74</f>
        <v>0.1062606881112607</v>
      </c>
      <c r="J45" s="25">
        <f>J44/Balance_Sheet!J74</f>
        <v>0.1217547446823303</v>
      </c>
      <c r="K45" s="25">
        <f>K44/Balance_Sheet!K74</f>
        <v>0.13306808209445076</v>
      </c>
      <c r="L45" s="25">
        <f>L44/Balance_Sheet!L74</f>
        <v>0.14084547317426788</v>
      </c>
    </row>
    <row r="46" spans="2:12" ht="18.75" x14ac:dyDescent="0.25">
      <c r="B46" s="9" t="s">
        <v>126</v>
      </c>
      <c r="C46" s="7">
        <f>C40+C42-C44</f>
        <v>128245.42</v>
      </c>
      <c r="D46" s="7">
        <f t="shared" ref="D46:L46" si="34">D40+D42-D44</f>
        <v>142315.5</v>
      </c>
      <c r="E46" s="7">
        <f t="shared" si="34"/>
        <v>168777.59999999998</v>
      </c>
      <c r="F46" s="7">
        <f t="shared" si="34"/>
        <v>171769.68</v>
      </c>
      <c r="G46" s="7">
        <f t="shared" si="34"/>
        <v>270785.95</v>
      </c>
      <c r="H46" s="27">
        <f t="shared" si="34"/>
        <v>352761.59771411284</v>
      </c>
      <c r="I46" s="27">
        <f t="shared" si="34"/>
        <v>374293.99809492013</v>
      </c>
      <c r="J46" s="27">
        <f t="shared" si="34"/>
        <v>416234.82635544968</v>
      </c>
      <c r="K46" s="27">
        <f t="shared" si="34"/>
        <v>476723.98403271695</v>
      </c>
      <c r="L46" s="27">
        <f t="shared" si="34"/>
        <v>559716.56984500261</v>
      </c>
    </row>
    <row r="47" spans="2:12" x14ac:dyDescent="0.25">
      <c r="B47" s="19" t="s">
        <v>223</v>
      </c>
      <c r="C47" s="20">
        <f>C46/Balance_Sheet!C74</f>
        <v>0.45418848811880169</v>
      </c>
      <c r="D47" s="20">
        <f>D46/Balance_Sheet!D74</f>
        <v>0.34431693392556423</v>
      </c>
      <c r="E47" s="20">
        <f>E46/Balance_Sheet!E74</f>
        <v>0.33376086020933637</v>
      </c>
      <c r="F47" s="20">
        <f>F46/Balance_Sheet!F74</f>
        <v>0.2927199481249087</v>
      </c>
      <c r="G47" s="20">
        <f>G46/Balance_Sheet!G74</f>
        <v>0.44343020418845314</v>
      </c>
      <c r="H47" s="28">
        <f>H46/Balance_Sheet!H74</f>
        <v>0.43228415975993917</v>
      </c>
      <c r="I47" s="28">
        <f>I46/Balance_Sheet!I74</f>
        <v>0.41129126238326946</v>
      </c>
      <c r="J47" s="28">
        <f>J46/Balance_Sheet!J74</f>
        <v>0.39579721088060055</v>
      </c>
      <c r="K47" s="28">
        <f>K46/Balance_Sheet!K74</f>
        <v>0.38448387299704706</v>
      </c>
      <c r="L47" s="28">
        <f>L46/Balance_Sheet!L74</f>
        <v>0.37670647606346114</v>
      </c>
    </row>
    <row r="48" spans="2:12" ht="18.75" x14ac:dyDescent="0.25">
      <c r="B48" s="8" t="s">
        <v>30</v>
      </c>
      <c r="C48" s="5">
        <v>8875.61</v>
      </c>
      <c r="D48" s="5">
        <v>8132.31</v>
      </c>
      <c r="E48" s="5">
        <v>9306.59</v>
      </c>
      <c r="F48" s="5">
        <v>10089.26</v>
      </c>
      <c r="G48" s="5">
        <v>10626.24</v>
      </c>
      <c r="H48" s="24">
        <f>H74*H49</f>
        <v>15018.382451178337</v>
      </c>
      <c r="I48" s="24">
        <f t="shared" ref="I48:L48" si="35">I74*I49</f>
        <v>16748.447664564792</v>
      </c>
      <c r="J48" s="24">
        <f t="shared" si="35"/>
        <v>19354.273148625245</v>
      </c>
      <c r="K48" s="24">
        <f t="shared" si="35"/>
        <v>22819.181060650866</v>
      </c>
      <c r="L48" s="24">
        <f t="shared" si="35"/>
        <v>27344.894885606933</v>
      </c>
    </row>
    <row r="49" spans="2:12" x14ac:dyDescent="0.25">
      <c r="B49" s="17" t="s">
        <v>224</v>
      </c>
      <c r="C49" s="18">
        <f>C48/Balance_Sheet!C74</f>
        <v>3.1433480330386204E-2</v>
      </c>
      <c r="D49" s="18">
        <f>D48/Balance_Sheet!D74</f>
        <v>1.9675242998353697E-2</v>
      </c>
      <c r="E49" s="18">
        <f>E48/Balance_Sheet!E74</f>
        <v>1.840395576199453E-2</v>
      </c>
      <c r="F49" s="18">
        <f>F48/Balance_Sheet!F74</f>
        <v>1.7193533013618683E-2</v>
      </c>
      <c r="G49" s="18">
        <f>G48/Balance_Sheet!G74</f>
        <v>1.7401182642435873E-2</v>
      </c>
      <c r="H49" s="25">
        <f>MEDIAN(C49:G49)</f>
        <v>1.840395576199453E-2</v>
      </c>
      <c r="I49" s="25">
        <f t="shared" ref="I49:L49" si="36">H49</f>
        <v>1.840395576199453E-2</v>
      </c>
      <c r="J49" s="25">
        <f t="shared" si="36"/>
        <v>1.840395576199453E-2</v>
      </c>
      <c r="K49" s="25">
        <f t="shared" si="36"/>
        <v>1.840395576199453E-2</v>
      </c>
      <c r="L49" s="25">
        <f t="shared" si="36"/>
        <v>1.840395576199453E-2</v>
      </c>
    </row>
    <row r="50" spans="2:12" ht="18.75" x14ac:dyDescent="0.25">
      <c r="B50" s="8" t="s">
        <v>36</v>
      </c>
      <c r="C50" s="4">
        <v>0</v>
      </c>
      <c r="D50" s="4">
        <v>0</v>
      </c>
      <c r="E50" s="4">
        <v>0</v>
      </c>
      <c r="F50" s="4">
        <v>499.99</v>
      </c>
      <c r="G50" s="4">
        <v>0</v>
      </c>
      <c r="H50" s="26">
        <f>H74*H51</f>
        <v>0</v>
      </c>
      <c r="I50" s="26">
        <f t="shared" ref="I50:L50" si="37">I74*I51</f>
        <v>0</v>
      </c>
      <c r="J50" s="26">
        <f t="shared" si="37"/>
        <v>0</v>
      </c>
      <c r="K50" s="26">
        <f t="shared" si="37"/>
        <v>0</v>
      </c>
      <c r="L50" s="26">
        <f t="shared" si="37"/>
        <v>0</v>
      </c>
    </row>
    <row r="51" spans="2:12" x14ac:dyDescent="0.25">
      <c r="B51" s="17" t="s">
        <v>225</v>
      </c>
      <c r="C51" s="18">
        <f>C50/Balance_Sheet!C74</f>
        <v>0</v>
      </c>
      <c r="D51" s="18">
        <f>D50/Balance_Sheet!D74</f>
        <v>0</v>
      </c>
      <c r="E51" s="18">
        <f>E50/Balance_Sheet!E74</f>
        <v>0</v>
      </c>
      <c r="F51" s="18">
        <f>F50/Balance_Sheet!F74</f>
        <v>8.5205402293916553E-4</v>
      </c>
      <c r="G51" s="18">
        <f>G50/Balance_Sheet!G74</f>
        <v>0</v>
      </c>
      <c r="H51" s="25">
        <f>MEDIAN(C51:G51)</f>
        <v>0</v>
      </c>
      <c r="I51" s="25">
        <f t="shared" ref="I51:L51" si="38">H51</f>
        <v>0</v>
      </c>
      <c r="J51" s="25">
        <f t="shared" si="38"/>
        <v>0</v>
      </c>
      <c r="K51" s="25">
        <f t="shared" si="38"/>
        <v>0</v>
      </c>
      <c r="L51" s="25">
        <f t="shared" si="38"/>
        <v>0</v>
      </c>
    </row>
    <row r="52" spans="2:12" ht="18.75" x14ac:dyDescent="0.25">
      <c r="B52" s="8" t="s">
        <v>28</v>
      </c>
      <c r="C52" s="4">
        <v>83386.100000000006</v>
      </c>
      <c r="D52" s="5">
        <v>117998.23</v>
      </c>
      <c r="E52" s="5">
        <v>98210.94</v>
      </c>
      <c r="F52" s="5">
        <v>97404.160000000003</v>
      </c>
      <c r="G52" s="5">
        <v>0</v>
      </c>
      <c r="H52" s="24">
        <f>H74*H53</f>
        <v>158486.56251212623</v>
      </c>
      <c r="I52" s="24">
        <f t="shared" ref="I52:L52" si="39">I74*I53</f>
        <v>176743.66107002812</v>
      </c>
      <c r="J52" s="24">
        <f t="shared" si="39"/>
        <v>204242.51621090487</v>
      </c>
      <c r="K52" s="24">
        <f t="shared" si="39"/>
        <v>240807.12935637205</v>
      </c>
      <c r="L52" s="24">
        <f t="shared" si="39"/>
        <v>288566.25583770743</v>
      </c>
    </row>
    <row r="53" spans="2:12" x14ac:dyDescent="0.25">
      <c r="B53" s="17" t="s">
        <v>226</v>
      </c>
      <c r="C53" s="18">
        <f>C52/Balance_Sheet!C74</f>
        <v>0.29531664124241797</v>
      </c>
      <c r="D53" s="18">
        <f>D52/Balance_Sheet!D74</f>
        <v>0.28548393367021535</v>
      </c>
      <c r="E53" s="18">
        <f>E52/Balance_Sheet!E74</f>
        <v>0.19421397043427283</v>
      </c>
      <c r="F53" s="18">
        <f>F52/Balance_Sheet!F74</f>
        <v>0.16599053256867166</v>
      </c>
      <c r="G53" s="18">
        <f>G52/Balance_Sheet!G74</f>
        <v>0</v>
      </c>
      <c r="H53" s="25">
        <f>MEDIAN(C53:G53)</f>
        <v>0.19421397043427283</v>
      </c>
      <c r="I53" s="25">
        <f t="shared" ref="I53:L53" si="40">H53</f>
        <v>0.19421397043427283</v>
      </c>
      <c r="J53" s="25">
        <f t="shared" si="40"/>
        <v>0.19421397043427283</v>
      </c>
      <c r="K53" s="25">
        <f t="shared" si="40"/>
        <v>0.19421397043427283</v>
      </c>
      <c r="L53" s="25">
        <f t="shared" si="40"/>
        <v>0.19421397043427283</v>
      </c>
    </row>
    <row r="54" spans="2:12" ht="18.75" x14ac:dyDescent="0.25">
      <c r="B54" s="9" t="s">
        <v>127</v>
      </c>
      <c r="C54" s="7">
        <f>C46+C48+C50+C52</f>
        <v>220507.13</v>
      </c>
      <c r="D54" s="7">
        <f t="shared" ref="D54:L54" si="41">D46+D48+D50+D52</f>
        <v>268446.03999999998</v>
      </c>
      <c r="E54" s="7">
        <f t="shared" si="41"/>
        <v>276295.13</v>
      </c>
      <c r="F54" s="7">
        <f t="shared" si="41"/>
        <v>279763.08999999997</v>
      </c>
      <c r="G54" s="7">
        <f t="shared" si="41"/>
        <v>281412.19</v>
      </c>
      <c r="H54" s="27">
        <f t="shared" si="41"/>
        <v>526266.5426774174</v>
      </c>
      <c r="I54" s="27">
        <f t="shared" si="41"/>
        <v>567786.10682951298</v>
      </c>
      <c r="J54" s="27">
        <f t="shared" si="41"/>
        <v>639831.61571497982</v>
      </c>
      <c r="K54" s="27">
        <f t="shared" si="41"/>
        <v>740350.29444973986</v>
      </c>
      <c r="L54" s="27">
        <f t="shared" si="41"/>
        <v>875627.72056831699</v>
      </c>
    </row>
    <row r="55" spans="2:12" x14ac:dyDescent="0.25">
      <c r="B55" s="19" t="s">
        <v>227</v>
      </c>
      <c r="C55" s="20">
        <f>C54/Balance_Sheet!C74</f>
        <v>0.78093860969160589</v>
      </c>
      <c r="D55" s="20">
        <f>D54/Balance_Sheet!D74</f>
        <v>0.64947611059413324</v>
      </c>
      <c r="E55" s="20">
        <f>E54/Balance_Sheet!E74</f>
        <v>0.54637878640560378</v>
      </c>
      <c r="F55" s="20">
        <f>F54/Balance_Sheet!F74</f>
        <v>0.47675606773013818</v>
      </c>
      <c r="G55" s="20">
        <f>G54/Balance_Sheet!G74</f>
        <v>0.46083138683088903</v>
      </c>
      <c r="H55" s="28">
        <f>H54/Balance_Sheet!H74</f>
        <v>0.64490208595620657</v>
      </c>
      <c r="I55" s="28">
        <f>I54/Balance_Sheet!I74</f>
        <v>0.62390918857953681</v>
      </c>
      <c r="J55" s="28">
        <f>J54/Balance_Sheet!J74</f>
        <v>0.60841513707686801</v>
      </c>
      <c r="K55" s="28">
        <f>K54/Balance_Sheet!K74</f>
        <v>0.59710179919331441</v>
      </c>
      <c r="L55" s="28">
        <f>L54/Balance_Sheet!L74</f>
        <v>0.58932440225972849</v>
      </c>
    </row>
    <row r="56" spans="2:12" ht="18.75" x14ac:dyDescent="0.25">
      <c r="B56" s="8" t="s">
        <v>31</v>
      </c>
      <c r="C56" s="4">
        <v>0</v>
      </c>
      <c r="D56" s="5">
        <v>0</v>
      </c>
      <c r="E56" s="5">
        <v>1096.5999999999999</v>
      </c>
      <c r="F56" s="4">
        <v>1075.8900000000001</v>
      </c>
      <c r="G56" s="4">
        <v>995.7</v>
      </c>
      <c r="H56" s="26">
        <f>H74*H57</f>
        <v>1330.5758325791153</v>
      </c>
      <c r="I56" s="26">
        <f t="shared" ref="I56:L56" si="42">I74*I57</f>
        <v>1483.8535220507424</v>
      </c>
      <c r="J56" s="26">
        <f t="shared" si="42"/>
        <v>1714.7204895341529</v>
      </c>
      <c r="K56" s="26">
        <f t="shared" si="42"/>
        <v>2021.699136857902</v>
      </c>
      <c r="L56" s="26">
        <f t="shared" si="42"/>
        <v>2422.661454885917</v>
      </c>
    </row>
    <row r="57" spans="2:12" x14ac:dyDescent="0.25">
      <c r="B57" s="17" t="s">
        <v>228</v>
      </c>
      <c r="C57" s="18">
        <f>C56/Balance_Sheet!C74</f>
        <v>0</v>
      </c>
      <c r="D57" s="18">
        <f>D56/Balance_Sheet!D74</f>
        <v>0</v>
      </c>
      <c r="E57" s="18">
        <f>E56/Balance_Sheet!E74</f>
        <v>2.1685470068632229E-3</v>
      </c>
      <c r="F57" s="18">
        <f>F56/Balance_Sheet!F74</f>
        <v>1.8334694748695351E-3</v>
      </c>
      <c r="G57" s="18">
        <f>G56/Balance_Sheet!G74</f>
        <v>1.6305257134295291E-3</v>
      </c>
      <c r="H57" s="25">
        <f>MEDIAN(C57:G57)</f>
        <v>1.6305257134295291E-3</v>
      </c>
      <c r="I57" s="25">
        <f t="shared" ref="I57:L57" si="43">H57</f>
        <v>1.6305257134295291E-3</v>
      </c>
      <c r="J57" s="25">
        <f t="shared" si="43"/>
        <v>1.6305257134295291E-3</v>
      </c>
      <c r="K57" s="25">
        <f t="shared" si="43"/>
        <v>1.6305257134295291E-3</v>
      </c>
      <c r="L57" s="25">
        <f t="shared" si="43"/>
        <v>1.6305257134295291E-3</v>
      </c>
    </row>
    <row r="58" spans="2:12" ht="18.75" x14ac:dyDescent="0.25">
      <c r="B58" s="8" t="s">
        <v>32</v>
      </c>
      <c r="C58" s="4">
        <v>454.67</v>
      </c>
      <c r="D58" s="4">
        <v>476.13</v>
      </c>
      <c r="E58" s="4">
        <v>511.08</v>
      </c>
      <c r="F58" s="4">
        <v>554.97</v>
      </c>
      <c r="G58" s="4">
        <v>559.80999999999995</v>
      </c>
      <c r="H58" s="26">
        <f>ROUND(H74*H59,2)</f>
        <v>748.09</v>
      </c>
      <c r="I58" s="26">
        <f t="shared" ref="I58:L58" si="44">ROUND(I74*I59,2)</f>
        <v>834.26</v>
      </c>
      <c r="J58" s="26">
        <f t="shared" si="44"/>
        <v>964.06</v>
      </c>
      <c r="K58" s="26">
        <f t="shared" si="44"/>
        <v>1136.6600000000001</v>
      </c>
      <c r="L58" s="26">
        <f t="shared" si="44"/>
        <v>1362.09</v>
      </c>
    </row>
    <row r="59" spans="2:12" x14ac:dyDescent="0.25">
      <c r="B59" s="17" t="s">
        <v>229</v>
      </c>
      <c r="C59" s="18">
        <f>C58/Balance_Sheet!C74</f>
        <v>1.6102398034407433E-3</v>
      </c>
      <c r="D59" s="18">
        <f>D58/Balance_Sheet!D74</f>
        <v>1.151944951533592E-3</v>
      </c>
      <c r="E59" s="18">
        <f>E58/Balance_Sheet!E74</f>
        <v>1.010670257402568E-3</v>
      </c>
      <c r="F59" s="18">
        <f>F58/Balance_Sheet!F74</f>
        <v>9.4574775717624091E-4</v>
      </c>
      <c r="G59" s="18">
        <f>G58/Balance_Sheet!G74</f>
        <v>9.1672652368683801E-4</v>
      </c>
      <c r="H59" s="25">
        <f>G59</f>
        <v>9.1672652368683801E-4</v>
      </c>
      <c r="I59" s="25">
        <f t="shared" ref="I59:L59" si="45">H59</f>
        <v>9.1672652368683801E-4</v>
      </c>
      <c r="J59" s="25">
        <f t="shared" si="45"/>
        <v>9.1672652368683801E-4</v>
      </c>
      <c r="K59" s="25">
        <f t="shared" si="45"/>
        <v>9.1672652368683801E-4</v>
      </c>
      <c r="L59" s="25">
        <f t="shared" si="45"/>
        <v>9.1672652368683801E-4</v>
      </c>
    </row>
    <row r="60" spans="2:12" ht="18.75" x14ac:dyDescent="0.25">
      <c r="B60" s="8" t="s">
        <v>33</v>
      </c>
      <c r="C60" s="5">
        <v>13390.8</v>
      </c>
      <c r="D60" s="5">
        <v>16796.919999999998</v>
      </c>
      <c r="E60" s="5">
        <v>15298.93</v>
      </c>
      <c r="F60" s="5">
        <v>18124.349999999999</v>
      </c>
      <c r="G60" s="5">
        <v>16891.84</v>
      </c>
      <c r="H60" s="24"/>
      <c r="I60" s="24"/>
      <c r="J60" s="24"/>
      <c r="K60" s="24"/>
      <c r="L60" s="24"/>
    </row>
    <row r="61" spans="2:12" x14ac:dyDescent="0.25">
      <c r="B61" s="17" t="s">
        <v>230</v>
      </c>
      <c r="C61" s="18">
        <f>C60/Balance_Sheet!C74</f>
        <v>4.742428389802341E-2</v>
      </c>
      <c r="D61" s="18">
        <f>D60/Balance_Sheet!D74</f>
        <v>4.0638328177837184E-2</v>
      </c>
      <c r="E61" s="18">
        <f>E60/Balance_Sheet!E74</f>
        <v>3.0253920171174512E-2</v>
      </c>
      <c r="F61" s="18">
        <f>F60/Balance_Sheet!F74</f>
        <v>3.088646839068274E-2</v>
      </c>
      <c r="G61" s="18">
        <f>G60/Balance_Sheet!G74</f>
        <v>2.7661524020425286E-2</v>
      </c>
      <c r="H61" s="25"/>
      <c r="I61" s="25"/>
      <c r="J61" s="25"/>
      <c r="K61" s="25"/>
      <c r="L61" s="25"/>
    </row>
    <row r="62" spans="2:12" ht="18.75" x14ac:dyDescent="0.25">
      <c r="B62" s="8" t="s">
        <v>40</v>
      </c>
      <c r="C62" s="4">
        <v>238.43</v>
      </c>
      <c r="D62" s="4">
        <v>248.16</v>
      </c>
      <c r="E62" s="4">
        <v>252.67</v>
      </c>
      <c r="F62" s="4">
        <v>259.13</v>
      </c>
      <c r="G62" s="4">
        <v>270.37</v>
      </c>
      <c r="H62" s="26">
        <f>ROUND(H74*H63,2)</f>
        <v>361.3</v>
      </c>
      <c r="I62" s="26">
        <f t="shared" ref="I62:L62" si="46">ROUND(I74*I63,2)</f>
        <v>402.92</v>
      </c>
      <c r="J62" s="26">
        <f t="shared" si="46"/>
        <v>465.61</v>
      </c>
      <c r="K62" s="26">
        <f t="shared" si="46"/>
        <v>548.97</v>
      </c>
      <c r="L62" s="26">
        <f t="shared" si="46"/>
        <v>657.84</v>
      </c>
    </row>
    <row r="63" spans="2:12" x14ac:dyDescent="0.25">
      <c r="B63" s="17" t="s">
        <v>231</v>
      </c>
      <c r="C63" s="18">
        <f>C62/Balance_Sheet!C74</f>
        <v>8.4441347864248016E-4</v>
      </c>
      <c r="D63" s="18">
        <f>D62/Balance_Sheet!D74</f>
        <v>6.0039623458420211E-4</v>
      </c>
      <c r="E63" s="18">
        <f>E62/Balance_Sheet!E74</f>
        <v>4.9965965003112393E-4</v>
      </c>
      <c r="F63" s="18">
        <f>F62/Balance_Sheet!F74</f>
        <v>4.4159434981544822E-4</v>
      </c>
      <c r="G63" s="18">
        <f>G62/Balance_Sheet!G74</f>
        <v>4.4274905808972762E-4</v>
      </c>
      <c r="H63" s="25">
        <f>G63</f>
        <v>4.4274905808972762E-4</v>
      </c>
      <c r="I63" s="25">
        <f t="shared" ref="I63:L63" si="47">H63</f>
        <v>4.4274905808972762E-4</v>
      </c>
      <c r="J63" s="25">
        <f t="shared" si="47"/>
        <v>4.4274905808972762E-4</v>
      </c>
      <c r="K63" s="25">
        <f t="shared" si="47"/>
        <v>4.4274905808972762E-4</v>
      </c>
      <c r="L63" s="25">
        <f t="shared" si="47"/>
        <v>4.4274905808972762E-4</v>
      </c>
    </row>
    <row r="64" spans="2:12" ht="18.75" x14ac:dyDescent="0.25">
      <c r="B64" s="8" t="s">
        <v>41</v>
      </c>
      <c r="C64" s="5">
        <v>28430.560000000001</v>
      </c>
      <c r="D64" s="5">
        <v>28077.68</v>
      </c>
      <c r="E64" s="5">
        <v>31040.89</v>
      </c>
      <c r="F64" s="5">
        <v>35695.94</v>
      </c>
      <c r="G64" s="5">
        <v>29184.04</v>
      </c>
      <c r="H64" s="24">
        <f>H74*H65</f>
        <v>50091.81210786735</v>
      </c>
      <c r="I64" s="24">
        <f t="shared" ref="I64:L64" si="48">I74*I65</f>
        <v>55862.213939424924</v>
      </c>
      <c r="J64" s="24">
        <f t="shared" si="48"/>
        <v>64553.597379537496</v>
      </c>
      <c r="K64" s="24">
        <f t="shared" si="48"/>
        <v>76110.335707680992</v>
      </c>
      <c r="L64" s="24">
        <f t="shared" si="48"/>
        <v>91205.25071005465</v>
      </c>
    </row>
    <row r="65" spans="2:12" x14ac:dyDescent="0.25">
      <c r="B65" s="17" t="s">
        <v>232</v>
      </c>
      <c r="C65" s="18">
        <f>C64/Balance_Sheet!C74</f>
        <v>0.1006884539250671</v>
      </c>
      <c r="D65" s="18">
        <f>D64/Balance_Sheet!D74</f>
        <v>6.7930904851145071E-2</v>
      </c>
      <c r="E65" s="18">
        <f>E64/Balance_Sheet!E74</f>
        <v>6.1383940452189083E-2</v>
      </c>
      <c r="F65" s="18">
        <f>F64/Balance_Sheet!F74</f>
        <v>6.0830955178293719E-2</v>
      </c>
      <c r="G65" s="18">
        <f>G64/Balance_Sheet!G74</f>
        <v>4.7790828203028941E-2</v>
      </c>
      <c r="H65" s="25">
        <f>MEDIAN(C65:G65)</f>
        <v>6.1383940452189083E-2</v>
      </c>
      <c r="I65" s="25">
        <f t="shared" ref="I65:L65" si="49">H65</f>
        <v>6.1383940452189083E-2</v>
      </c>
      <c r="J65" s="25">
        <f t="shared" si="49"/>
        <v>6.1383940452189083E-2</v>
      </c>
      <c r="K65" s="25">
        <f t="shared" si="49"/>
        <v>6.1383940452189083E-2</v>
      </c>
      <c r="L65" s="25">
        <f t="shared" si="49"/>
        <v>6.1383940452189083E-2</v>
      </c>
    </row>
    <row r="66" spans="2:12" ht="18.75" x14ac:dyDescent="0.25">
      <c r="B66" s="8" t="s">
        <v>37</v>
      </c>
      <c r="C66" s="5">
        <v>6140.29</v>
      </c>
      <c r="D66" s="5">
        <v>8251.6200000000008</v>
      </c>
      <c r="E66" s="5">
        <v>11138.54</v>
      </c>
      <c r="F66" s="5">
        <v>9809.6</v>
      </c>
      <c r="G66" s="5">
        <v>10139.290000000001</v>
      </c>
      <c r="H66" s="24">
        <f>H74*H67</f>
        <v>16291.361409862493</v>
      </c>
      <c r="I66" s="24">
        <f t="shared" ref="I66:L66" si="50">I74*I67</f>
        <v>18168.069353979219</v>
      </c>
      <c r="J66" s="24">
        <f t="shared" si="50"/>
        <v>20994.768225835945</v>
      </c>
      <c r="K66" s="24">
        <f t="shared" si="50"/>
        <v>24753.366545608562</v>
      </c>
      <c r="L66" s="24">
        <f t="shared" si="50"/>
        <v>29662.686161063262</v>
      </c>
    </row>
    <row r="67" spans="2:12" x14ac:dyDescent="0.25">
      <c r="B67" s="17" t="s">
        <v>233</v>
      </c>
      <c r="C67" s="18">
        <f>C66/Balance_Sheet!C74</f>
        <v>2.1746188142321158E-2</v>
      </c>
      <c r="D67" s="18">
        <f>D66/Balance_Sheet!D74</f>
        <v>1.9963900617423012E-2</v>
      </c>
      <c r="E67" s="18">
        <f>E66/Balance_Sheet!E74</f>
        <v>2.2026671145199968E-2</v>
      </c>
      <c r="F67" s="18">
        <f>F66/Balance_Sheet!F74</f>
        <v>1.6716952625900595E-2</v>
      </c>
      <c r="G67" s="18">
        <f>G66/Balance_Sheet!G74</f>
        <v>1.6603769268774621E-2</v>
      </c>
      <c r="H67" s="25">
        <f>MEDIAN(C67:G67)</f>
        <v>1.9963900617423012E-2</v>
      </c>
      <c r="I67" s="25">
        <f t="shared" ref="I67:L67" si="51">H67</f>
        <v>1.9963900617423012E-2</v>
      </c>
      <c r="J67" s="25">
        <f t="shared" si="51"/>
        <v>1.9963900617423012E-2</v>
      </c>
      <c r="K67" s="25">
        <f t="shared" si="51"/>
        <v>1.9963900617423012E-2</v>
      </c>
      <c r="L67" s="25">
        <f t="shared" si="51"/>
        <v>1.9963900617423012E-2</v>
      </c>
    </row>
    <row r="68" spans="2:12" ht="18.75" x14ac:dyDescent="0.25">
      <c r="B68" s="8" t="s">
        <v>38</v>
      </c>
      <c r="C68" s="5">
        <v>8812.19</v>
      </c>
      <c r="D68" s="5">
        <v>12363.52</v>
      </c>
      <c r="E68" s="5">
        <v>20314.59</v>
      </c>
      <c r="F68" s="5">
        <v>17718.07</v>
      </c>
      <c r="G68" s="5">
        <v>27342.080000000002</v>
      </c>
      <c r="H68" s="24">
        <f>H69*H74</f>
        <v>35317.284518962879</v>
      </c>
      <c r="I68" s="24">
        <f t="shared" ref="I68:L68" si="52">I69*I74</f>
        <v>39385.712365713822</v>
      </c>
      <c r="J68" s="24">
        <f t="shared" si="52"/>
        <v>45513.581350706045</v>
      </c>
      <c r="K68" s="24">
        <f t="shared" si="52"/>
        <v>53661.671796452632</v>
      </c>
      <c r="L68" s="24">
        <f t="shared" si="52"/>
        <v>64304.35740703492</v>
      </c>
    </row>
    <row r="69" spans="2:12" x14ac:dyDescent="0.25">
      <c r="B69" s="17" t="s">
        <v>234</v>
      </c>
      <c r="C69" s="18">
        <f>C68/Balance_Sheet!C74</f>
        <v>3.1208874773973397E-2</v>
      </c>
      <c r="D69" s="18">
        <f>D68/Balance_Sheet!D74</f>
        <v>2.9912197188130544E-2</v>
      </c>
      <c r="E69" s="18">
        <f>E68/Balance_Sheet!E74</f>
        <v>4.0172481616043733E-2</v>
      </c>
      <c r="F69" s="18">
        <f>F68/Balance_Sheet!F74</f>
        <v>3.019410952662601E-2</v>
      </c>
      <c r="G69" s="18">
        <f>G68/Balance_Sheet!G74</f>
        <v>4.4774494826400786E-2</v>
      </c>
      <c r="H69" s="25">
        <f>GROWTH(C69:G69,C4:G4,H4)</f>
        <v>4.327881141885357E-2</v>
      </c>
      <c r="I69" s="25">
        <f t="shared" ref="I69:L69" si="53">H69</f>
        <v>4.327881141885357E-2</v>
      </c>
      <c r="J69" s="25">
        <f t="shared" si="53"/>
        <v>4.327881141885357E-2</v>
      </c>
      <c r="K69" s="25">
        <f t="shared" si="53"/>
        <v>4.327881141885357E-2</v>
      </c>
      <c r="L69" s="25">
        <f t="shared" si="53"/>
        <v>4.327881141885357E-2</v>
      </c>
    </row>
    <row r="70" spans="2:12" ht="18.75" x14ac:dyDescent="0.25">
      <c r="B70" s="8" t="s">
        <v>39</v>
      </c>
      <c r="C70" s="5">
        <v>4387.6000000000004</v>
      </c>
      <c r="D70" s="5">
        <f>CashFlow_Statement!D48+C70</f>
        <v>78666.972551924904</v>
      </c>
      <c r="E70" s="5">
        <f>CashFlow_Statement!E48+D70</f>
        <v>149735.78921654291</v>
      </c>
      <c r="F70" s="5">
        <f>CashFlow_Statement!F48+E70</f>
        <v>223804.47530674253</v>
      </c>
      <c r="G70" s="5">
        <f>CashFlow_Statement!G48+F70</f>
        <v>243866.62283174906</v>
      </c>
      <c r="H70" s="24">
        <f>CashFlow_Statement!H48+G70</f>
        <v>147342.6881353014</v>
      </c>
      <c r="I70" s="24">
        <f>CashFlow_Statement!I48+H70</f>
        <v>200513.55164761984</v>
      </c>
      <c r="J70" s="24">
        <f>CashFlow_Statement!J48+I70</f>
        <v>244935.19474979909</v>
      </c>
      <c r="K70" s="24">
        <f>CashFlow_Statement!K48+J70</f>
        <v>283073.28276111401</v>
      </c>
      <c r="L70" s="24">
        <f>CashFlow_Statement!L48+K70</f>
        <v>307828.64261885511</v>
      </c>
    </row>
    <row r="71" spans="2:12" x14ac:dyDescent="0.25">
      <c r="B71" s="17" t="s">
        <v>235</v>
      </c>
      <c r="C71" s="18">
        <f>C70/Balance_Sheet!C74</f>
        <v>1.5538936286925915E-2</v>
      </c>
      <c r="D71" s="18">
        <f>D70/Balance_Sheet!D74</f>
        <v>0.19032621738521316</v>
      </c>
      <c r="E71" s="18">
        <f>E70/Balance_Sheet!E74</f>
        <v>0.29610532329549205</v>
      </c>
      <c r="F71" s="18">
        <f>F70/Balance_Sheet!F74</f>
        <v>0.3813946349664975</v>
      </c>
      <c r="G71" s="18">
        <f>G70/Balance_Sheet!G74</f>
        <v>0.39934799555527523</v>
      </c>
      <c r="H71" s="25">
        <f>H70/Balance_Sheet!H74</f>
        <v>0.18055794777570636</v>
      </c>
      <c r="I71" s="25">
        <f>I70/Balance_Sheet!I74</f>
        <v>0.22033340689900241</v>
      </c>
      <c r="J71" s="25">
        <f>J70/Balance_Sheet!J74</f>
        <v>0.23290859099252764</v>
      </c>
      <c r="K71" s="25">
        <f>K70/Balance_Sheet!K74</f>
        <v>0.22830215332843837</v>
      </c>
      <c r="L71" s="25">
        <f>L70/Balance_Sheet!L74</f>
        <v>0.20717814951317154</v>
      </c>
    </row>
    <row r="72" spans="2:12" ht="18.75" x14ac:dyDescent="0.25">
      <c r="B72" s="9" t="s">
        <v>42</v>
      </c>
      <c r="C72" s="7">
        <f>C56+C58+C60+C62+C64+C66+C68+C70</f>
        <v>61854.54</v>
      </c>
      <c r="D72" s="7">
        <f t="shared" ref="D72:L72" si="54">D56+D58+D60+D62+D64+D66+D68+D70</f>
        <v>144881.0025519249</v>
      </c>
      <c r="E72" s="7">
        <f t="shared" si="54"/>
        <v>229389.0892165429</v>
      </c>
      <c r="F72" s="7">
        <f t="shared" si="54"/>
        <v>307042.42530674255</v>
      </c>
      <c r="G72" s="7">
        <f t="shared" si="54"/>
        <v>329249.75283174904</v>
      </c>
      <c r="H72" s="27">
        <f t="shared" si="54"/>
        <v>251483.11200457325</v>
      </c>
      <c r="I72" s="27">
        <f t="shared" si="54"/>
        <v>316650.58082878857</v>
      </c>
      <c r="J72" s="27">
        <f t="shared" si="54"/>
        <v>379141.53219541273</v>
      </c>
      <c r="K72" s="27">
        <f t="shared" si="54"/>
        <v>441305.98594771407</v>
      </c>
      <c r="L72" s="27">
        <f t="shared" si="54"/>
        <v>497443.52835189388</v>
      </c>
    </row>
    <row r="73" spans="2:12" x14ac:dyDescent="0.25">
      <c r="B73" s="19" t="s">
        <v>236</v>
      </c>
      <c r="C73" s="20">
        <f>C72/Balance_Sheet!C74</f>
        <v>0.21906139030839422</v>
      </c>
      <c r="D73" s="20">
        <f>D72/Balance_Sheet!D74</f>
        <v>0.35052388940586676</v>
      </c>
      <c r="E73" s="20">
        <f>E72/Balance_Sheet!E74</f>
        <v>0.45362121359439622</v>
      </c>
      <c r="F73" s="20">
        <f>F72/Balance_Sheet!F74</f>
        <v>0.52324393226986188</v>
      </c>
      <c r="G73" s="20">
        <f>G72/Balance_Sheet!G74</f>
        <v>0.53916861316911091</v>
      </c>
      <c r="H73" s="28">
        <f>H72/Balance_Sheet!H74</f>
        <v>0.30817460424026877</v>
      </c>
      <c r="I73" s="28">
        <f>I72/Balance_Sheet!I74</f>
        <v>0.34795005473328616</v>
      </c>
      <c r="J73" s="28">
        <f>J72/Balance_Sheet!J74</f>
        <v>0.36052524072984032</v>
      </c>
      <c r="K73" s="28">
        <f>K72/Balance_Sheet!K74</f>
        <v>0.35591881326934238</v>
      </c>
      <c r="L73" s="28">
        <f>L72/Balance_Sheet!L74</f>
        <v>0.33479480276581536</v>
      </c>
    </row>
    <row r="74" spans="2:12" ht="18.75" x14ac:dyDescent="0.25">
      <c r="B74" s="9" t="s">
        <v>43</v>
      </c>
      <c r="C74" s="7">
        <f>C54+C72</f>
        <v>282361.67</v>
      </c>
      <c r="D74" s="7">
        <f t="shared" ref="D74:G74" si="55">D54+D72</f>
        <v>413327.04255192488</v>
      </c>
      <c r="E74" s="7">
        <f t="shared" si="55"/>
        <v>505684.2192165429</v>
      </c>
      <c r="F74" s="7">
        <f t="shared" si="55"/>
        <v>586805.51530674251</v>
      </c>
      <c r="G74" s="7">
        <f t="shared" si="55"/>
        <v>610661.9428317491</v>
      </c>
      <c r="H74" s="27">
        <f>Income_Statement!H5/H80</f>
        <v>816040.99930474511</v>
      </c>
      <c r="I74" s="27">
        <f>Income_Statement!I5/I80</f>
        <v>910046.0727661344</v>
      </c>
      <c r="J74" s="27">
        <f>Income_Statement!J5/J80</f>
        <v>1051636.5828586258</v>
      </c>
      <c r="K74" s="27">
        <f>Income_Statement!K5/K80</f>
        <v>1239906.3199105319</v>
      </c>
      <c r="L74" s="27">
        <f>Income_Statement!L5/L80</f>
        <v>1485816.1603537472</v>
      </c>
    </row>
    <row r="75" spans="2:12" x14ac:dyDescent="0.25">
      <c r="B75" s="19" t="s">
        <v>237</v>
      </c>
      <c r="C75" s="20">
        <f>C74/Balance_Sheet!C74</f>
        <v>1</v>
      </c>
      <c r="D75" s="20">
        <f>D74/Balance_Sheet!D74</f>
        <v>1</v>
      </c>
      <c r="E75" s="20">
        <f>E74/Balance_Sheet!E74</f>
        <v>1</v>
      </c>
      <c r="F75" s="20">
        <f>F74/Balance_Sheet!F74</f>
        <v>1</v>
      </c>
      <c r="G75" s="20">
        <f>G74/Balance_Sheet!G74</f>
        <v>1</v>
      </c>
      <c r="H75" s="28">
        <f>H74/Balance_Sheet!H74</f>
        <v>1</v>
      </c>
      <c r="I75" s="28">
        <f>I74/Balance_Sheet!I74</f>
        <v>1</v>
      </c>
      <c r="J75" s="28">
        <f>J74/Balance_Sheet!J74</f>
        <v>1</v>
      </c>
      <c r="K75" s="28">
        <f>K74/Balance_Sheet!K74</f>
        <v>1</v>
      </c>
      <c r="L75" s="28">
        <f>L74/Balance_Sheet!L74</f>
        <v>1</v>
      </c>
    </row>
    <row r="80" spans="2:12" x14ac:dyDescent="0.25">
      <c r="B80" t="s">
        <v>265</v>
      </c>
      <c r="C80">
        <f>Income_Statement!C5/C74</f>
        <v>0.30499270669421952</v>
      </c>
      <c r="D80">
        <f>Income_Statement!D5/D74</f>
        <v>0.24100770030667834</v>
      </c>
      <c r="E80">
        <f>Income_Statement!E5/E74</f>
        <v>0.21570503063946833</v>
      </c>
      <c r="F80">
        <f>Income_Statement!F5/F74</f>
        <v>0.18961628188146226</v>
      </c>
      <c r="G80">
        <f>Income_Statement!G5/G74</f>
        <v>0.21725486835611324</v>
      </c>
      <c r="H80">
        <f>GROWTH(C80:G80,C4:G4,H4)</f>
        <v>0.17513244389864854</v>
      </c>
      <c r="I80">
        <f t="shared" ref="I80:L80" si="56">GROWTH(D80:H80,D4:H4,I4)</f>
        <v>0.17082631614660121</v>
      </c>
      <c r="J80">
        <f t="shared" si="56"/>
        <v>0.16360228146843886</v>
      </c>
      <c r="K80">
        <f t="shared" si="56"/>
        <v>0.15528696130425002</v>
      </c>
      <c r="L80">
        <f t="shared" si="56"/>
        <v>0.14034248384719197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81ECCE57-4EA7-45BF-9C8D-2B2547E83D9F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86741-9AB8-40CD-998D-55393ED90742}">
  <dimension ref="B1:O48"/>
  <sheetViews>
    <sheetView showGridLines="0" topLeftCell="A37" workbookViewId="0">
      <selection activeCell="H48" sqref="H48:L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6.5703125" bestFit="1" customWidth="1"/>
    <col min="7" max="7" width="16.7109375" bestFit="1" customWidth="1"/>
    <col min="8" max="8" width="18.42578125" bestFit="1" customWidth="1"/>
    <col min="9" max="10" width="17.140625" bestFit="1" customWidth="1"/>
    <col min="11" max="12" width="18.42578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30" t="s">
        <v>143</v>
      </c>
      <c r="C3" s="31"/>
      <c r="D3" s="31"/>
      <c r="E3" s="31"/>
      <c r="F3" s="31"/>
      <c r="G3" s="31"/>
      <c r="H3" s="32" t="s">
        <v>264</v>
      </c>
      <c r="I3" s="33"/>
      <c r="J3" s="33"/>
      <c r="K3" s="33"/>
      <c r="L3" s="33"/>
    </row>
    <row r="4" spans="2:15" ht="18.75" x14ac:dyDescent="0.25">
      <c r="B4" s="10" t="s">
        <v>119</v>
      </c>
      <c r="C4" s="10">
        <v>2018</v>
      </c>
      <c r="D4" s="10">
        <v>2019</v>
      </c>
      <c r="E4" s="10">
        <v>2020</v>
      </c>
      <c r="F4" s="10">
        <v>2021</v>
      </c>
      <c r="G4" s="10">
        <v>2022</v>
      </c>
      <c r="H4" s="22">
        <v>2023</v>
      </c>
      <c r="I4" s="22">
        <v>2024</v>
      </c>
      <c r="J4" s="22">
        <v>2025</v>
      </c>
      <c r="K4" s="22">
        <v>2026</v>
      </c>
      <c r="L4" s="22">
        <v>2027</v>
      </c>
    </row>
    <row r="5" spans="2:15" ht="18.75" x14ac:dyDescent="0.25">
      <c r="B5" s="8" t="s">
        <v>129</v>
      </c>
      <c r="C5" s="4"/>
      <c r="D5" s="5">
        <f>Income_Statement!D45</f>
        <v>73667.082551924905</v>
      </c>
      <c r="E5" s="5">
        <f>Income_Statement!E45</f>
        <v>77959.296664617985</v>
      </c>
      <c r="F5" s="5">
        <f>Income_Statement!F45</f>
        <v>75689.316090199616</v>
      </c>
      <c r="G5" s="5">
        <f>Income_Statement!G45</f>
        <v>20988.277525006546</v>
      </c>
      <c r="H5" s="24">
        <f>Income_Statement!H45</f>
        <v>75562.661796199711</v>
      </c>
      <c r="I5" s="24">
        <f>Income_Statement!I45</f>
        <v>81186.994706040336</v>
      </c>
      <c r="J5" s="24">
        <f>Income_Statement!J45</f>
        <v>87847.215676180625</v>
      </c>
      <c r="K5" s="24">
        <f>Income_Statement!K45</f>
        <v>95470.229433269575</v>
      </c>
      <c r="L5" s="24">
        <f>Income_Statement!L45</f>
        <v>96951.945220662747</v>
      </c>
    </row>
    <row r="6" spans="2:15" ht="18.75" x14ac:dyDescent="0.25">
      <c r="B6" s="8" t="s">
        <v>130</v>
      </c>
      <c r="C6" s="4"/>
      <c r="D6" s="4"/>
      <c r="E6" s="4"/>
      <c r="F6" s="4"/>
      <c r="G6" s="4"/>
      <c r="H6" s="26"/>
      <c r="I6" s="26"/>
      <c r="J6" s="26"/>
      <c r="K6" s="26"/>
      <c r="L6" s="26"/>
    </row>
    <row r="7" spans="2:15" ht="18.75" x14ac:dyDescent="0.25">
      <c r="B7" s="8" t="s">
        <v>125</v>
      </c>
      <c r="C7" s="4"/>
      <c r="D7" s="5">
        <f>Income_Statement!D31</f>
        <v>8669.0300000000007</v>
      </c>
      <c r="E7" s="5">
        <f>Income_Statement!E31</f>
        <v>10356.16</v>
      </c>
      <c r="F7" s="5">
        <f>Income_Statement!F31</f>
        <v>12450.31</v>
      </c>
      <c r="G7" s="5">
        <f>Income_Statement!G31</f>
        <v>13787.83</v>
      </c>
      <c r="H7" s="24">
        <f>Income_Statement!H31</f>
        <v>24318.682285887149</v>
      </c>
      <c r="I7" s="24">
        <f>Income_Statement!I31</f>
        <v>27120.109619192721</v>
      </c>
      <c r="J7" s="24">
        <f>Income_Statement!J31</f>
        <v>31339.621739470418</v>
      </c>
      <c r="K7" s="24">
        <f>Income_Statement!K31</f>
        <v>36950.212322732717</v>
      </c>
      <c r="L7" s="24">
        <f>Income_Statement!L31</f>
        <v>44278.5241877144</v>
      </c>
    </row>
    <row r="8" spans="2:15" ht="18.75" x14ac:dyDescent="0.25">
      <c r="B8" s="8" t="s">
        <v>131</v>
      </c>
      <c r="C8" s="4"/>
      <c r="D8" s="5">
        <f>Income_Statement!D35</f>
        <v>5604.65</v>
      </c>
      <c r="E8" s="5">
        <f>Income_Statement!E35</f>
        <v>8116.85</v>
      </c>
      <c r="F8" s="5">
        <f>Income_Statement!F35</f>
        <v>9224.14</v>
      </c>
      <c r="G8" s="5">
        <f>Income_Statement!G35</f>
        <v>9315.98</v>
      </c>
      <c r="H8" s="24">
        <f>Income_Statement!H35</f>
        <v>12449.149375734358</v>
      </c>
      <c r="I8" s="24">
        <f>Income_Statement!I35</f>
        <v>13883.247669629249</v>
      </c>
      <c r="J8" s="24">
        <f>Income_Statement!J35</f>
        <v>16043.288106306682</v>
      </c>
      <c r="K8" s="24">
        <f>Income_Statement!K35</f>
        <v>18915.445022985896</v>
      </c>
      <c r="L8" s="24">
        <f>Income_Statement!L35</f>
        <v>22666.933526607983</v>
      </c>
    </row>
    <row r="9" spans="2:15" ht="18.75" x14ac:dyDescent="0.25">
      <c r="B9" s="8" t="s">
        <v>59</v>
      </c>
      <c r="C9" s="4"/>
      <c r="D9" s="5">
        <f>Income_Statement!D11</f>
        <v>2246.5100000000002</v>
      </c>
      <c r="E9" s="5">
        <f>Income_Statement!E11</f>
        <v>2908.54</v>
      </c>
      <c r="F9" s="5">
        <f>Income_Statement!F11</f>
        <v>4015.68</v>
      </c>
      <c r="G9" s="5">
        <f>Income_Statement!G11</f>
        <v>2325.0300000000002</v>
      </c>
      <c r="H9" s="24">
        <f>Income_Statement!H11</f>
        <v>3223.0140887777525</v>
      </c>
      <c r="I9" s="24">
        <f>Income_Statement!I11</f>
        <v>3505.9181452284538</v>
      </c>
      <c r="J9" s="24">
        <f>Income_Statement!J11</f>
        <v>3880.0619336159903</v>
      </c>
      <c r="K9" s="24">
        <f>Income_Statement!K11</f>
        <v>4342.1765952739879</v>
      </c>
      <c r="L9" s="24">
        <f>Income_Statement!L11</f>
        <v>4702.597980870155</v>
      </c>
    </row>
    <row r="10" spans="2:15" ht="18.75" x14ac:dyDescent="0.25">
      <c r="B10" s="9" t="s">
        <v>132</v>
      </c>
      <c r="C10" s="6"/>
      <c r="D10" s="7">
        <f>D7+D8-D9</f>
        <v>12027.17</v>
      </c>
      <c r="E10" s="7">
        <f t="shared" ref="E10:L10" si="0">E7+E8-E9</f>
        <v>15564.470000000001</v>
      </c>
      <c r="F10" s="7">
        <f t="shared" si="0"/>
        <v>17658.769999999997</v>
      </c>
      <c r="G10" s="7">
        <f t="shared" si="0"/>
        <v>20778.78</v>
      </c>
      <c r="H10" s="27">
        <f t="shared" si="0"/>
        <v>33544.817572843756</v>
      </c>
      <c r="I10" s="27">
        <f t="shared" si="0"/>
        <v>37497.439143593518</v>
      </c>
      <c r="J10" s="27">
        <f t="shared" si="0"/>
        <v>43502.847912161116</v>
      </c>
      <c r="K10" s="27">
        <f t="shared" si="0"/>
        <v>51523.480750444629</v>
      </c>
      <c r="L10" s="27">
        <f t="shared" si="0"/>
        <v>62242.859733452235</v>
      </c>
    </row>
    <row r="11" spans="2:15" ht="18.75" x14ac:dyDescent="0.25">
      <c r="B11" s="8" t="s">
        <v>133</v>
      </c>
      <c r="C11" s="4"/>
      <c r="D11" s="4"/>
      <c r="E11" s="4"/>
      <c r="F11" s="4"/>
      <c r="G11" s="4"/>
      <c r="H11" s="26"/>
      <c r="I11" s="26"/>
      <c r="J11" s="26"/>
      <c r="K11" s="26"/>
      <c r="L11" s="26"/>
    </row>
    <row r="12" spans="2:15" ht="18.75" x14ac:dyDescent="0.25">
      <c r="B12" s="8" t="str">
        <f>Balance_Sheet!B56</f>
        <v>Deferred Tax Assets [Net]</v>
      </c>
      <c r="C12" s="4"/>
      <c r="D12" s="5">
        <f>Balance_Sheet!C56-Balance_Sheet!D56</f>
        <v>0</v>
      </c>
      <c r="E12" s="5">
        <f>Balance_Sheet!D56-Balance_Sheet!E56</f>
        <v>-1096.5999999999999</v>
      </c>
      <c r="F12" s="5">
        <f>Balance_Sheet!E56-Balance_Sheet!F56</f>
        <v>20.709999999999809</v>
      </c>
      <c r="G12" s="5">
        <f>Balance_Sheet!F56-Balance_Sheet!G56</f>
        <v>80.190000000000055</v>
      </c>
      <c r="H12" s="24">
        <f>Balance_Sheet!G56-Balance_Sheet!H56</f>
        <v>-334.87583257911524</v>
      </c>
      <c r="I12" s="24">
        <f>Balance_Sheet!H56-Balance_Sheet!I56</f>
        <v>-153.27768947162713</v>
      </c>
      <c r="J12" s="24">
        <f>Balance_Sheet!I56-Balance_Sheet!J56</f>
        <v>-230.86696748341046</v>
      </c>
      <c r="K12" s="24">
        <f>Balance_Sheet!J56-Balance_Sheet!K56</f>
        <v>-306.9786473237491</v>
      </c>
      <c r="L12" s="24">
        <f>Balance_Sheet!K56-Balance_Sheet!L56</f>
        <v>-400.96231802801503</v>
      </c>
    </row>
    <row r="13" spans="2:15" ht="18.75" x14ac:dyDescent="0.25">
      <c r="B13" s="8" t="str">
        <f>Balance_Sheet!B58</f>
        <v>Long Term Loans And Advances</v>
      </c>
      <c r="C13" s="4"/>
      <c r="D13" s="4">
        <f>Balance_Sheet!C58-Balance_Sheet!D58</f>
        <v>-21.45999999999998</v>
      </c>
      <c r="E13" s="4">
        <f>Balance_Sheet!D58-Balance_Sheet!E58</f>
        <v>-34.949999999999989</v>
      </c>
      <c r="F13" s="4">
        <f>Balance_Sheet!E58-Balance_Sheet!F58</f>
        <v>-43.890000000000043</v>
      </c>
      <c r="G13" s="4">
        <f>Balance_Sheet!F58-Balance_Sheet!G58</f>
        <v>-4.8399999999999181</v>
      </c>
      <c r="H13" s="26">
        <f>Balance_Sheet!G58-Balance_Sheet!H58</f>
        <v>-188.28000000000009</v>
      </c>
      <c r="I13" s="26">
        <f>Balance_Sheet!H58-Balance_Sheet!I58</f>
        <v>-86.169999999999959</v>
      </c>
      <c r="J13" s="26">
        <f>Balance_Sheet!I58-Balance_Sheet!J58</f>
        <v>-129.79999999999995</v>
      </c>
      <c r="K13" s="26">
        <f>Balance_Sheet!J58-Balance_Sheet!K58</f>
        <v>-172.60000000000014</v>
      </c>
      <c r="L13" s="26">
        <f>Balance_Sheet!K58-Balance_Sheet!L58</f>
        <v>-225.42999999999984</v>
      </c>
    </row>
    <row r="14" spans="2:15" ht="18.75" x14ac:dyDescent="0.25">
      <c r="B14" s="8" t="str">
        <f>Balance_Sheet!B60</f>
        <v>Other Non-Current Assets</v>
      </c>
      <c r="C14" s="4"/>
      <c r="D14" s="5">
        <f>Balance_Sheet!C60-Balance_Sheet!D60</f>
        <v>-3406.119999999999</v>
      </c>
      <c r="E14" s="5">
        <f>Balance_Sheet!D60-Balance_Sheet!E60</f>
        <v>1497.989999999998</v>
      </c>
      <c r="F14" s="5">
        <f>Balance_Sheet!E60-Balance_Sheet!F60</f>
        <v>-2825.4199999999983</v>
      </c>
      <c r="G14" s="5">
        <f>Balance_Sheet!F60-Balance_Sheet!G60</f>
        <v>1232.5099999999984</v>
      </c>
      <c r="H14" s="24">
        <f>Balance_Sheet!G60-Balance_Sheet!H60</f>
        <v>16891.84</v>
      </c>
      <c r="I14" s="24">
        <f>Balance_Sheet!H60-Balance_Sheet!I60</f>
        <v>0</v>
      </c>
      <c r="J14" s="24">
        <f>Balance_Sheet!I60-Balance_Sheet!J60</f>
        <v>0</v>
      </c>
      <c r="K14" s="24">
        <f>Balance_Sheet!J60-Balance_Sheet!K60</f>
        <v>0</v>
      </c>
      <c r="L14" s="24">
        <f>Balance_Sheet!K60-Balance_Sheet!L60</f>
        <v>0</v>
      </c>
    </row>
    <row r="15" spans="2:15" ht="18.75" x14ac:dyDescent="0.25">
      <c r="B15" s="8" t="str">
        <f>Balance_Sheet!B62</f>
        <v>Short Term Loans And Advances</v>
      </c>
      <c r="C15" s="4"/>
      <c r="D15" s="4">
        <f>Balance_Sheet!C62-Balance_Sheet!D62</f>
        <v>-9.7299999999999898</v>
      </c>
      <c r="E15" s="4">
        <f>Balance_Sheet!D62-Balance_Sheet!E62</f>
        <v>-4.5099999999999909</v>
      </c>
      <c r="F15" s="4">
        <f>Balance_Sheet!E62-Balance_Sheet!F62</f>
        <v>-6.460000000000008</v>
      </c>
      <c r="G15" s="4">
        <f>Balance_Sheet!F62-Balance_Sheet!G62</f>
        <v>-11.240000000000009</v>
      </c>
      <c r="H15" s="26">
        <f>Balance_Sheet!G62-Balance_Sheet!H62</f>
        <v>-90.93</v>
      </c>
      <c r="I15" s="26">
        <f>Balance_Sheet!H62-Balance_Sheet!I62</f>
        <v>-41.620000000000005</v>
      </c>
      <c r="J15" s="26">
        <f>Balance_Sheet!I62-Balance_Sheet!J62</f>
        <v>-62.69</v>
      </c>
      <c r="K15" s="26">
        <f>Balance_Sheet!J62-Balance_Sheet!K62</f>
        <v>-83.360000000000014</v>
      </c>
      <c r="L15" s="26">
        <f>Balance_Sheet!K62-Balance_Sheet!L62</f>
        <v>-108.87</v>
      </c>
    </row>
    <row r="16" spans="2:15" ht="18.75" x14ac:dyDescent="0.25">
      <c r="B16" s="8" t="str">
        <f>Balance_Sheet!B64</f>
        <v>OtherCurrentAssets</v>
      </c>
      <c r="C16" s="4"/>
      <c r="D16" s="5">
        <f>Balance_Sheet!C64-Balance_Sheet!D64</f>
        <v>352.88000000000102</v>
      </c>
      <c r="E16" s="5">
        <f>Balance_Sheet!D64-Balance_Sheet!E64</f>
        <v>-2963.2099999999991</v>
      </c>
      <c r="F16" s="5">
        <f>Balance_Sheet!E64-Balance_Sheet!F64</f>
        <v>-4655.0500000000029</v>
      </c>
      <c r="G16" s="5">
        <f>Balance_Sheet!F64-Balance_Sheet!G64</f>
        <v>6511.9000000000015</v>
      </c>
      <c r="H16" s="24">
        <f>Balance_Sheet!G64-Balance_Sheet!H64</f>
        <v>-20907.772107867349</v>
      </c>
      <c r="I16" s="24">
        <f>Balance_Sheet!H64-Balance_Sheet!I64</f>
        <v>-5770.401831557574</v>
      </c>
      <c r="J16" s="24">
        <f>Balance_Sheet!I64-Balance_Sheet!J64</f>
        <v>-8691.3834401125714</v>
      </c>
      <c r="K16" s="24">
        <f>Balance_Sheet!J64-Balance_Sheet!K64</f>
        <v>-11556.738328143496</v>
      </c>
      <c r="L16" s="24">
        <f>Balance_Sheet!K64-Balance_Sheet!L64</f>
        <v>-15094.915002373658</v>
      </c>
    </row>
    <row r="17" spans="2:12" ht="18.75" x14ac:dyDescent="0.25">
      <c r="B17" s="8" t="str">
        <f>Balance_Sheet!B66</f>
        <v>Inventories</v>
      </c>
      <c r="C17" s="4"/>
      <c r="D17" s="5">
        <f>Balance_Sheet!C66-Balance_Sheet!D66</f>
        <v>-2111.3300000000008</v>
      </c>
      <c r="E17" s="5">
        <f>Balance_Sheet!D66-Balance_Sheet!E66</f>
        <v>-2886.92</v>
      </c>
      <c r="F17" s="5">
        <f>Balance_Sheet!E66-Balance_Sheet!F66</f>
        <v>1328.9400000000005</v>
      </c>
      <c r="G17" s="5">
        <f>Balance_Sheet!F66-Balance_Sheet!G66</f>
        <v>-329.69000000000051</v>
      </c>
      <c r="H17" s="24">
        <f>Balance_Sheet!G66-Balance_Sheet!H66</f>
        <v>-6152.0714098624921</v>
      </c>
      <c r="I17" s="24">
        <f>Balance_Sheet!H66-Balance_Sheet!I66</f>
        <v>-1876.7079441167261</v>
      </c>
      <c r="J17" s="24">
        <f>Balance_Sheet!I66-Balance_Sheet!J66</f>
        <v>-2826.6988718567263</v>
      </c>
      <c r="K17" s="24">
        <f>Balance_Sheet!J66-Balance_Sheet!K66</f>
        <v>-3758.5983197726164</v>
      </c>
      <c r="L17" s="24">
        <f>Balance_Sheet!K66-Balance_Sheet!L66</f>
        <v>-4909.3196154547004</v>
      </c>
    </row>
    <row r="18" spans="2:12" ht="18.75" x14ac:dyDescent="0.25">
      <c r="B18" s="8" t="str">
        <f>Balance_Sheet!B68</f>
        <v>Trade Receivables</v>
      </c>
      <c r="C18" s="4"/>
      <c r="D18" s="5">
        <f>Balance_Sheet!C68-Balance_Sheet!D68</f>
        <v>-3551.33</v>
      </c>
      <c r="E18" s="5">
        <f>Balance_Sheet!D68-Balance_Sheet!E68</f>
        <v>-7951.07</v>
      </c>
      <c r="F18" s="5">
        <f>Balance_Sheet!E68-Balance_Sheet!F68</f>
        <v>2596.5200000000004</v>
      </c>
      <c r="G18" s="5">
        <f>Balance_Sheet!F68-Balance_Sheet!G68</f>
        <v>-9624.010000000002</v>
      </c>
      <c r="H18" s="24">
        <f>Balance_Sheet!G68-Balance_Sheet!H68</f>
        <v>-7975.204518962877</v>
      </c>
      <c r="I18" s="24">
        <f>Balance_Sheet!H68-Balance_Sheet!I68</f>
        <v>-4068.427846750943</v>
      </c>
      <c r="J18" s="24">
        <f>Balance_Sheet!I68-Balance_Sheet!J68</f>
        <v>-6127.868984992223</v>
      </c>
      <c r="K18" s="24">
        <f>Balance_Sheet!J68-Balance_Sheet!K68</f>
        <v>-8148.0904457465876</v>
      </c>
      <c r="L18" s="24">
        <f>Balance_Sheet!K68-Balance_Sheet!L68</f>
        <v>-10642.685610582288</v>
      </c>
    </row>
    <row r="19" spans="2:12" ht="18.75" x14ac:dyDescent="0.25">
      <c r="B19" s="8" t="s">
        <v>134</v>
      </c>
      <c r="C19" s="4"/>
      <c r="D19" s="4"/>
      <c r="E19" s="4"/>
      <c r="F19" s="4"/>
      <c r="G19" s="4"/>
      <c r="H19" s="26"/>
      <c r="I19" s="26"/>
      <c r="J19" s="26"/>
      <c r="K19" s="26"/>
      <c r="L19" s="26"/>
    </row>
    <row r="20" spans="2:12" ht="18.75" x14ac:dyDescent="0.25">
      <c r="B20" s="8" t="str">
        <f>Balance_Sheet!B23</f>
        <v>Long Term Provisions</v>
      </c>
      <c r="C20" s="4"/>
      <c r="D20" s="5">
        <f>Balance_Sheet!D23-Balance_Sheet!C23</f>
        <v>660.83</v>
      </c>
      <c r="E20" s="5">
        <f>Balance_Sheet!E23-Balance_Sheet!D23</f>
        <v>-56.710000000000036</v>
      </c>
      <c r="F20" s="5">
        <f>Balance_Sheet!F23-Balance_Sheet!E23</f>
        <v>-42.629999999999882</v>
      </c>
      <c r="G20" s="5">
        <f>Balance_Sheet!G23-Balance_Sheet!F23</f>
        <v>612.79999999999995</v>
      </c>
      <c r="H20" s="24">
        <f>Balance_Sheet!H23-Balance_Sheet!G23</f>
        <v>95.746199744215801</v>
      </c>
      <c r="I20" s="24">
        <f>Balance_Sheet!I23-Balance_Sheet!H23</f>
        <v>201.70173584831491</v>
      </c>
      <c r="J20" s="24">
        <f>Balance_Sheet!J23-Balance_Sheet!I23</f>
        <v>303.80330139345028</v>
      </c>
      <c r="K20" s="24">
        <f>Balance_Sheet!K23-Balance_Sheet!J23</f>
        <v>403.96046056676414</v>
      </c>
      <c r="L20" s="24">
        <f>Balance_Sheet!L23-Balance_Sheet!K23</f>
        <v>527.63579510366662</v>
      </c>
    </row>
    <row r="21" spans="2:12" ht="18.75" x14ac:dyDescent="0.25">
      <c r="B21" s="8" t="str">
        <f>Balance_Sheet!B25</f>
        <v>Short Term Provisions</v>
      </c>
      <c r="C21" s="4"/>
      <c r="D21" s="5">
        <f>Balance_Sheet!D25-Balance_Sheet!C25</f>
        <v>-943.3700000000008</v>
      </c>
      <c r="E21" s="5">
        <f>Balance_Sheet!E25-Balance_Sheet!D25</f>
        <v>63.650000000000546</v>
      </c>
      <c r="F21" s="5">
        <f>Balance_Sheet!F25-Balance_Sheet!E25</f>
        <v>741.54</v>
      </c>
      <c r="G21" s="5">
        <f>Balance_Sheet!G25-Balance_Sheet!F25</f>
        <v>-237.91000000000076</v>
      </c>
      <c r="H21" s="24">
        <f>Balance_Sheet!H25-Balance_Sheet!G25</f>
        <v>4020.8710962805699</v>
      </c>
      <c r="I21" s="24">
        <f>Balance_Sheet!I25-Balance_Sheet!H25</f>
        <v>1370.4422948682331</v>
      </c>
      <c r="J21" s="24">
        <f>Balance_Sheet!J25-Balance_Sheet!I25</f>
        <v>2064.1611823474213</v>
      </c>
      <c r="K21" s="24">
        <f>Balance_Sheet!K25-Balance_Sheet!J25</f>
        <v>2744.6689949731972</v>
      </c>
      <c r="L21" s="24">
        <f>Balance_Sheet!L25-Balance_Sheet!K25</f>
        <v>3584.9687007169814</v>
      </c>
    </row>
    <row r="22" spans="2:12" ht="18.75" x14ac:dyDescent="0.25">
      <c r="B22" s="8" t="str">
        <f>Balance_Sheet!B27</f>
        <v>Other Long Term Liabilities</v>
      </c>
      <c r="C22" s="4"/>
      <c r="D22" s="5">
        <f>Balance_Sheet!D27-Balance_Sheet!C27</f>
        <v>-184.6099999999999</v>
      </c>
      <c r="E22" s="5">
        <f>Balance_Sheet!E27-Balance_Sheet!D27</f>
        <v>997.66999999999985</v>
      </c>
      <c r="F22" s="5">
        <f>Balance_Sheet!F27-Balance_Sheet!E27</f>
        <v>1142.06</v>
      </c>
      <c r="G22" s="5">
        <f>Balance_Sheet!G27-Balance_Sheet!F27</f>
        <v>-131.89999999999964</v>
      </c>
      <c r="H22" s="24">
        <f>Balance_Sheet!H27-Balance_Sheet!G27</f>
        <v>1356.67</v>
      </c>
      <c r="I22" s="24">
        <f>Balance_Sheet!I27-Balance_Sheet!H27</f>
        <v>620.96999999999935</v>
      </c>
      <c r="J22" s="24">
        <f>Balance_Sheet!J27-Balance_Sheet!I27</f>
        <v>935.30000000000018</v>
      </c>
      <c r="K22" s="24">
        <f>Balance_Sheet!K27-Balance_Sheet!J27</f>
        <v>1243.6500000000005</v>
      </c>
      <c r="L22" s="24">
        <f>Balance_Sheet!L27-Balance_Sheet!K27</f>
        <v>1624.3999999999996</v>
      </c>
    </row>
    <row r="23" spans="2:12" ht="18.75" x14ac:dyDescent="0.25">
      <c r="B23" s="8" t="str">
        <f>Balance_Sheet!B29</f>
        <v>Trade Payables</v>
      </c>
      <c r="C23" s="4"/>
      <c r="D23" s="5">
        <f>Balance_Sheet!D29-Balance_Sheet!C29</f>
        <v>1906.7699999999995</v>
      </c>
      <c r="E23" s="5">
        <f>Balance_Sheet!E29-Balance_Sheet!D29</f>
        <v>1494.2600000000002</v>
      </c>
      <c r="F23" s="5">
        <f>Balance_Sheet!F29-Balance_Sheet!E29</f>
        <v>-1382.2999999999993</v>
      </c>
      <c r="G23" s="5">
        <f>Balance_Sheet!G29-Balance_Sheet!F29</f>
        <v>2551.0399999999991</v>
      </c>
      <c r="H23" s="24">
        <f>Balance_Sheet!H29-Balance_Sheet!G29</f>
        <v>5035.2628556251348</v>
      </c>
      <c r="I23" s="24">
        <f>Balance_Sheet!I29-Balance_Sheet!H29</f>
        <v>1879.1525805621659</v>
      </c>
      <c r="J23" s="24">
        <f>Balance_Sheet!J29-Balance_Sheet!I29</f>
        <v>2830.380985050786</v>
      </c>
      <c r="K23" s="24">
        <f>Balance_Sheet!K29-Balance_Sheet!J29</f>
        <v>3763.4943434001034</v>
      </c>
      <c r="L23" s="24">
        <f>Balance_Sheet!L29-Balance_Sheet!K29</f>
        <v>4915.7145911310581</v>
      </c>
    </row>
    <row r="24" spans="2:12" ht="18.75" x14ac:dyDescent="0.25">
      <c r="B24" s="8" t="str">
        <f>Balance_Sheet!B31</f>
        <v>Other Current Liabilities</v>
      </c>
      <c r="C24" s="4"/>
      <c r="D24" s="5">
        <f>Balance_Sheet!D31-Balance_Sheet!C31</f>
        <v>18603.850000000002</v>
      </c>
      <c r="E24" s="5">
        <f>Balance_Sheet!E31-Balance_Sheet!D31</f>
        <v>-11497.529999999999</v>
      </c>
      <c r="F24" s="5">
        <f>Balance_Sheet!F31-Balance_Sheet!E31</f>
        <v>7083.5899999999965</v>
      </c>
      <c r="G24" s="5">
        <f>Balance_Sheet!G31-Balance_Sheet!F31</f>
        <v>-8498.0599999999977</v>
      </c>
      <c r="H24" s="24">
        <f>Balance_Sheet!H31-Balance_Sheet!G31</f>
        <v>24331.750630600931</v>
      </c>
      <c r="I24" s="24">
        <f>Balance_Sheet!I31-Balance_Sheet!H31</f>
        <v>6493.0927138117986</v>
      </c>
      <c r="J24" s="24">
        <f>Balance_Sheet!J31-Balance_Sheet!I31</f>
        <v>9779.90097315397</v>
      </c>
      <c r="K24" s="24">
        <f>Balance_Sheet!K31-Balance_Sheet!J31</f>
        <v>13004.115765997383</v>
      </c>
      <c r="L24" s="24">
        <f>Balance_Sheet!L31-Balance_Sheet!K31</f>
        <v>16985.417216787595</v>
      </c>
    </row>
    <row r="25" spans="2:12" ht="18.75" x14ac:dyDescent="0.25">
      <c r="B25" s="8" t="s">
        <v>103</v>
      </c>
      <c r="C25" s="4"/>
      <c r="D25" s="4"/>
      <c r="E25" s="4"/>
      <c r="F25" s="4"/>
      <c r="G25" s="4"/>
      <c r="H25" s="26"/>
      <c r="I25" s="26"/>
      <c r="J25" s="26"/>
      <c r="K25" s="26"/>
      <c r="L25" s="26"/>
    </row>
    <row r="26" spans="2:12" ht="18.75" x14ac:dyDescent="0.25">
      <c r="B26" s="8" t="str">
        <f>Income_Statement!B47</f>
        <v>Total Tax Expenses</v>
      </c>
      <c r="C26" s="4"/>
      <c r="D26" s="5">
        <f>Income_Statement!D47</f>
        <v>-2779.94</v>
      </c>
      <c r="E26" s="5">
        <f>Income_Statement!E47</f>
        <v>9347.5400000000009</v>
      </c>
      <c r="F26" s="5">
        <f>Income_Statement!F47</f>
        <v>2420.5300000000002</v>
      </c>
      <c r="G26" s="5">
        <f>Income_Statement!G47</f>
        <v>5047.1000000000004</v>
      </c>
      <c r="H26" s="24">
        <f>Income_Statement!H47</f>
        <v>18170.729346284486</v>
      </c>
      <c r="I26" s="24">
        <f>Income_Statement!I47</f>
        <v>19523.225786044033</v>
      </c>
      <c r="J26" s="24">
        <f>Income_Statement!J47</f>
        <v>21124.824641326206</v>
      </c>
      <c r="K26" s="24">
        <f>Income_Statement!K47</f>
        <v>22957.94852143326</v>
      </c>
      <c r="L26" s="24">
        <f>Income_Statement!L47</f>
        <v>23314.260169287256</v>
      </c>
    </row>
    <row r="27" spans="2:12" ht="18.75" x14ac:dyDescent="0.25">
      <c r="B27" s="9" t="s">
        <v>135</v>
      </c>
      <c r="C27" s="6"/>
      <c r="D27" s="7">
        <f>D12+D13+D14+D15+D16+D17+D18+D20+D21+D22+D23+D24-D26+D10+D5</f>
        <v>99770.57255192491</v>
      </c>
      <c r="E27" s="7">
        <f t="shared" ref="E27:L27" si="1">E12+E13+E14+E15+E16+E17+E18+E20+E21+E22+E23+E24-E26+E10+E5</f>
        <v>61738.296664617985</v>
      </c>
      <c r="F27" s="7">
        <f t="shared" si="1"/>
        <v>94885.166090199607</v>
      </c>
      <c r="G27" s="7">
        <f t="shared" si="1"/>
        <v>28870.747525006544</v>
      </c>
      <c r="H27" s="27">
        <f t="shared" si="1"/>
        <v>107019.756935738</v>
      </c>
      <c r="I27" s="27">
        <f t="shared" si="1"/>
        <v>97729.962076783471</v>
      </c>
      <c r="J27" s="27">
        <f t="shared" si="1"/>
        <v>108069.47712451624</v>
      </c>
      <c r="K27" s="27">
        <f t="shared" si="1"/>
        <v>121169.28548623194</v>
      </c>
      <c r="L27" s="27">
        <f t="shared" si="1"/>
        <v>132136.49854212836</v>
      </c>
    </row>
    <row r="28" spans="2:12" ht="18.75" x14ac:dyDescent="0.25">
      <c r="B28" s="8" t="s">
        <v>136</v>
      </c>
      <c r="C28" s="4"/>
      <c r="D28" s="4"/>
      <c r="E28" s="4"/>
      <c r="F28" s="4"/>
      <c r="G28" s="4"/>
      <c r="H28" s="26"/>
      <c r="I28" s="26"/>
      <c r="J28" s="26"/>
      <c r="K28" s="26"/>
      <c r="L28" s="26"/>
    </row>
    <row r="29" spans="2:12" ht="18.75" x14ac:dyDescent="0.25">
      <c r="B29" s="8" t="str">
        <f>Balance_Sheet!B40</f>
        <v>Tangible Assets</v>
      </c>
      <c r="C29" s="4"/>
      <c r="D29" s="5">
        <f>Balance_Sheet!C40-Balance_Sheet!D40</f>
        <v>-22641.760000000009</v>
      </c>
      <c r="E29" s="5">
        <f>Balance_Sheet!D40-Balance_Sheet!E40</f>
        <v>-36621.039999999979</v>
      </c>
      <c r="F29" s="5">
        <f>Balance_Sheet!E40-Balance_Sheet!F40</f>
        <v>-15421.589999999997</v>
      </c>
      <c r="G29" s="5">
        <f>Balance_Sheet!F40-Balance_Sheet!G40</f>
        <v>-113451.23000000004</v>
      </c>
      <c r="H29" s="24">
        <f>Balance_Sheet!G40-Balance_Sheet!H40</f>
        <v>-106294.32999999996</v>
      </c>
      <c r="I29" s="24">
        <f>Balance_Sheet!H40-Balance_Sheet!I40</f>
        <v>-48652.510000000009</v>
      </c>
      <c r="J29" s="24">
        <f>Balance_Sheet!I40-Balance_Sheet!J40</f>
        <v>-73280.449999999953</v>
      </c>
      <c r="K29" s="24">
        <f>Balance_Sheet!J40-Balance_Sheet!K40</f>
        <v>-97439.37</v>
      </c>
      <c r="L29" s="24">
        <f>Balance_Sheet!K40-Balance_Sheet!L40</f>
        <v>-127271.1100000001</v>
      </c>
    </row>
    <row r="30" spans="2:12" ht="18.75" x14ac:dyDescent="0.25">
      <c r="B30" s="8" t="str">
        <f>Balance_Sheet!B42</f>
        <v>Intangible Assets</v>
      </c>
      <c r="C30" s="4"/>
      <c r="D30" s="4">
        <f>Balance_Sheet!C42-Balance_Sheet!D42</f>
        <v>-97.350000000000023</v>
      </c>
      <c r="E30" s="4">
        <f>Balance_Sheet!D42-Balance_Sheet!E42</f>
        <v>-197.22000000000003</v>
      </c>
      <c r="F30" s="4">
        <f>Balance_Sheet!E42-Balance_Sheet!F42</f>
        <v>-20.799999999999955</v>
      </c>
      <c r="G30" s="4">
        <f>Balance_Sheet!F42-Balance_Sheet!G42</f>
        <v>647.13</v>
      </c>
      <c r="H30" s="26">
        <f>Balance_Sheet!G42-Balance_Sheet!H42</f>
        <v>0</v>
      </c>
      <c r="I30" s="26">
        <f>Balance_Sheet!H42-Balance_Sheet!I42</f>
        <v>0</v>
      </c>
      <c r="J30" s="26">
        <f>Balance_Sheet!I42-Balance_Sheet!J42</f>
        <v>0</v>
      </c>
      <c r="K30" s="26">
        <f>Balance_Sheet!J42-Balance_Sheet!K42</f>
        <v>0</v>
      </c>
      <c r="L30" s="26">
        <f>Balance_Sheet!K42-Balance_Sheet!L42</f>
        <v>0</v>
      </c>
    </row>
    <row r="31" spans="2:12" ht="18.75" x14ac:dyDescent="0.25">
      <c r="B31" s="8" t="str">
        <f>Balance_Sheet!B48</f>
        <v>Non-Current Investments</v>
      </c>
      <c r="C31" s="4"/>
      <c r="D31" s="5">
        <f>Balance_Sheet!C48-Balance_Sheet!D48</f>
        <v>743.30000000000018</v>
      </c>
      <c r="E31" s="5">
        <f>Balance_Sheet!D48-Balance_Sheet!E48</f>
        <v>-1174.2799999999997</v>
      </c>
      <c r="F31" s="5">
        <f>Balance_Sheet!E48-Balance_Sheet!F48</f>
        <v>-782.67000000000007</v>
      </c>
      <c r="G31" s="5">
        <f>Balance_Sheet!F48-Balance_Sheet!G48</f>
        <v>-536.97999999999956</v>
      </c>
      <c r="H31" s="24">
        <f>Balance_Sheet!G48-Balance_Sheet!H48</f>
        <v>-4392.1424511783371</v>
      </c>
      <c r="I31" s="24">
        <f>Balance_Sheet!H48-Balance_Sheet!I48</f>
        <v>-1730.0652133864551</v>
      </c>
      <c r="J31" s="24">
        <f>Balance_Sheet!I48-Balance_Sheet!J48</f>
        <v>-2605.8254840604532</v>
      </c>
      <c r="K31" s="24">
        <f>Balance_Sheet!J48-Balance_Sheet!K48</f>
        <v>-3464.907912025621</v>
      </c>
      <c r="L31" s="24">
        <f>Balance_Sheet!K48-Balance_Sheet!L48</f>
        <v>-4525.7138249560667</v>
      </c>
    </row>
    <row r="32" spans="2:12" ht="18.75" x14ac:dyDescent="0.25">
      <c r="B32" s="8" t="str">
        <f>Balance_Sheet!B50</f>
        <v>Current Investments</v>
      </c>
      <c r="C32" s="4"/>
      <c r="D32" s="4">
        <f>Balance_Sheet!C50-Balance_Sheet!D50</f>
        <v>0</v>
      </c>
      <c r="E32" s="4">
        <f>Balance_Sheet!D50-Balance_Sheet!E50</f>
        <v>0</v>
      </c>
      <c r="F32" s="4">
        <f>Balance_Sheet!E50-Balance_Sheet!F50</f>
        <v>-499.99</v>
      </c>
      <c r="G32" s="4">
        <f>Balance_Sheet!F50-Balance_Sheet!G50</f>
        <v>499.99</v>
      </c>
      <c r="H32" s="26">
        <f>Balance_Sheet!G50-Balance_Sheet!H50</f>
        <v>0</v>
      </c>
      <c r="I32" s="26">
        <f>Balance_Sheet!H50-Balance_Sheet!I50</f>
        <v>0</v>
      </c>
      <c r="J32" s="26">
        <f>Balance_Sheet!I50-Balance_Sheet!J50</f>
        <v>0</v>
      </c>
      <c r="K32" s="26">
        <f>Balance_Sheet!J50-Balance_Sheet!K50</f>
        <v>0</v>
      </c>
      <c r="L32" s="26">
        <f>Balance_Sheet!K50-Balance_Sheet!L50</f>
        <v>0</v>
      </c>
    </row>
    <row r="33" spans="2:12" ht="18.75" x14ac:dyDescent="0.25">
      <c r="B33" s="8" t="str">
        <f>Balance_Sheet!B52</f>
        <v>Capital Work-In-Progress</v>
      </c>
      <c r="C33" s="4"/>
      <c r="D33" s="5">
        <f>Balance_Sheet!C52-Balance_Sheet!D52</f>
        <v>-34612.12999999999</v>
      </c>
      <c r="E33" s="5">
        <f>Balance_Sheet!D52-Balance_Sheet!E52</f>
        <v>19787.289999999994</v>
      </c>
      <c r="F33" s="5">
        <f>Balance_Sheet!E52-Balance_Sheet!F52</f>
        <v>806.77999999999884</v>
      </c>
      <c r="G33" s="5">
        <f>Balance_Sheet!F52-Balance_Sheet!G52</f>
        <v>97404.160000000003</v>
      </c>
      <c r="H33" s="24">
        <f>Balance_Sheet!G52-Balance_Sheet!H52</f>
        <v>-158486.56251212623</v>
      </c>
      <c r="I33" s="24">
        <f>Balance_Sheet!H52-Balance_Sheet!I52</f>
        <v>-18257.098557901889</v>
      </c>
      <c r="J33" s="24">
        <f>Balance_Sheet!I52-Balance_Sheet!J52</f>
        <v>-27498.855140876753</v>
      </c>
      <c r="K33" s="24">
        <f>Balance_Sheet!J52-Balance_Sheet!K52</f>
        <v>-36564.613145467185</v>
      </c>
      <c r="L33" s="24">
        <f>Balance_Sheet!K52-Balance_Sheet!L52</f>
        <v>-47759.126481335377</v>
      </c>
    </row>
    <row r="34" spans="2:12" ht="18.75" x14ac:dyDescent="0.25">
      <c r="B34" s="8" t="s">
        <v>59</v>
      </c>
      <c r="C34" s="4"/>
      <c r="D34" s="5">
        <f>Income_Statement!D11</f>
        <v>2246.5100000000002</v>
      </c>
      <c r="E34" s="5">
        <f>Income_Statement!E11</f>
        <v>2908.54</v>
      </c>
      <c r="F34" s="5">
        <f>Income_Statement!F11</f>
        <v>4015.68</v>
      </c>
      <c r="G34" s="5">
        <f>Income_Statement!G11</f>
        <v>2325.0300000000002</v>
      </c>
      <c r="H34" s="24">
        <f>Income_Statement!H11</f>
        <v>3223.0140887777525</v>
      </c>
      <c r="I34" s="24">
        <f>Income_Statement!I11</f>
        <v>3505.9181452284538</v>
      </c>
      <c r="J34" s="24">
        <f>Income_Statement!J11</f>
        <v>3880.0619336159903</v>
      </c>
      <c r="K34" s="24">
        <f>Income_Statement!K11</f>
        <v>4342.1765952739879</v>
      </c>
      <c r="L34" s="24">
        <f>Income_Statement!L11</f>
        <v>4702.597980870155</v>
      </c>
    </row>
    <row r="35" spans="2:12" ht="18.75" x14ac:dyDescent="0.25">
      <c r="B35" s="9" t="s">
        <v>137</v>
      </c>
      <c r="C35" s="6"/>
      <c r="D35" s="7">
        <f>D29+D30+D31+D32+D33+D34</f>
        <v>-54361.43</v>
      </c>
      <c r="E35" s="7">
        <f t="shared" ref="E35:L35" si="2">E29+E30+E31+E32+E33+E34</f>
        <v>-15296.709999999985</v>
      </c>
      <c r="F35" s="7">
        <f t="shared" si="2"/>
        <v>-11902.589999999997</v>
      </c>
      <c r="G35" s="7">
        <f t="shared" si="2"/>
        <v>-13111.900000000021</v>
      </c>
      <c r="H35" s="27">
        <f t="shared" si="2"/>
        <v>-265950.02087452676</v>
      </c>
      <c r="I35" s="27">
        <f t="shared" si="2"/>
        <v>-65133.755626059909</v>
      </c>
      <c r="J35" s="27">
        <f t="shared" si="2"/>
        <v>-99505.068691321168</v>
      </c>
      <c r="K35" s="27">
        <f t="shared" si="2"/>
        <v>-133126.71446221884</v>
      </c>
      <c r="L35" s="27">
        <f t="shared" si="2"/>
        <v>-174853.35232542138</v>
      </c>
    </row>
    <row r="36" spans="2:12" ht="18.75" x14ac:dyDescent="0.25">
      <c r="B36" s="8" t="s">
        <v>138</v>
      </c>
      <c r="C36" s="4"/>
      <c r="D36" s="4"/>
      <c r="E36" s="4"/>
      <c r="F36" s="4"/>
      <c r="G36" s="4"/>
      <c r="H36" s="26"/>
      <c r="I36" s="26"/>
      <c r="J36" s="26"/>
      <c r="K36" s="26"/>
      <c r="L36" s="26"/>
    </row>
    <row r="37" spans="2:12" ht="18.75" x14ac:dyDescent="0.25">
      <c r="B37" s="8" t="str">
        <f>Balance_Sheet!B5</f>
        <v>Equity Share Capital</v>
      </c>
      <c r="C37" s="4"/>
      <c r="D37" s="5">
        <f>Balance_Sheet!D5-Balance_Sheet!C5</f>
        <v>1649.1000000000004</v>
      </c>
      <c r="E37" s="5">
        <f>Balance_Sheet!E5-Balance_Sheet!D5</f>
        <v>0</v>
      </c>
      <c r="F37" s="5">
        <f>Balance_Sheet!F5-Balance_Sheet!E5</f>
        <v>-197.88999999999942</v>
      </c>
      <c r="G37" s="5">
        <f>Balance_Sheet!G5-Balance_Sheet!F5</f>
        <v>0</v>
      </c>
      <c r="H37" s="24">
        <f>Balance_Sheet!H5-Balance_Sheet!G5</f>
        <v>0</v>
      </c>
      <c r="I37" s="24">
        <f>Balance_Sheet!I5-Balance_Sheet!H5</f>
        <v>0</v>
      </c>
      <c r="J37" s="24">
        <f>Balance_Sheet!J5-Balance_Sheet!I5</f>
        <v>0</v>
      </c>
      <c r="K37" s="24">
        <f>Balance_Sheet!K5-Balance_Sheet!J5</f>
        <v>0</v>
      </c>
      <c r="L37" s="24">
        <f>Balance_Sheet!L5-Balance_Sheet!K5</f>
        <v>0</v>
      </c>
    </row>
    <row r="38" spans="2:12" ht="18.75" x14ac:dyDescent="0.25">
      <c r="B38" s="8" t="str">
        <f>Balance_Sheet!B7</f>
        <v>Preference Share Capital</v>
      </c>
      <c r="C38" s="4"/>
      <c r="D38" s="4">
        <f>Balance_Sheet!D7-Balance_Sheet!C7</f>
        <v>0</v>
      </c>
      <c r="E38" s="4">
        <f>Balance_Sheet!E7-Balance_Sheet!D7</f>
        <v>0</v>
      </c>
      <c r="F38" s="4">
        <f>Balance_Sheet!F7-Balance_Sheet!E7</f>
        <v>0</v>
      </c>
      <c r="G38" s="4">
        <f>Balance_Sheet!G7-Balance_Sheet!F7</f>
        <v>0</v>
      </c>
      <c r="H38" s="26">
        <f>Balance_Sheet!H7-Balance_Sheet!G7</f>
        <v>0</v>
      </c>
      <c r="I38" s="26">
        <f>Balance_Sheet!I7-Balance_Sheet!H7</f>
        <v>0</v>
      </c>
      <c r="J38" s="26">
        <f>Balance_Sheet!J7-Balance_Sheet!I7</f>
        <v>0</v>
      </c>
      <c r="K38" s="26">
        <f>Balance_Sheet!K7-Balance_Sheet!J7</f>
        <v>0</v>
      </c>
      <c r="L38" s="26">
        <f>Balance_Sheet!L7-Balance_Sheet!K7</f>
        <v>0</v>
      </c>
    </row>
    <row r="39" spans="2:12" ht="18.75" x14ac:dyDescent="0.25">
      <c r="B39" s="8" t="str">
        <f>Balance_Sheet!B15</f>
        <v>Long Term Borrowings</v>
      </c>
      <c r="C39" s="4"/>
      <c r="D39" s="5">
        <f>Balance_Sheet!D15-Balance_Sheet!C15</f>
        <v>30287.899999999994</v>
      </c>
      <c r="E39" s="5">
        <f>Balance_Sheet!E15-Balance_Sheet!D15</f>
        <v>28956.309999999998</v>
      </c>
      <c r="F39" s="5">
        <f>Balance_Sheet!F15-Balance_Sheet!E15</f>
        <v>5251.890000000014</v>
      </c>
      <c r="G39" s="5">
        <f>Balance_Sheet!G15-Balance_Sheet!F15</f>
        <v>599.27999999999884</v>
      </c>
      <c r="H39" s="24">
        <f>Balance_Sheet!H15-Balance_Sheet!G15</f>
        <v>61167.290000000008</v>
      </c>
      <c r="I39" s="24">
        <f>Balance_Sheet!I15-Balance_Sheet!H15</f>
        <v>27997.179999999964</v>
      </c>
      <c r="J39" s="24">
        <f>Balance_Sheet!J15-Balance_Sheet!I15</f>
        <v>42169.380000000005</v>
      </c>
      <c r="K39" s="24">
        <f>Balance_Sheet!K15-Balance_Sheet!J15</f>
        <v>56071.679999999993</v>
      </c>
      <c r="L39" s="24">
        <f>Balance_Sheet!L15-Balance_Sheet!K15</f>
        <v>73238.420000000042</v>
      </c>
    </row>
    <row r="40" spans="2:12" ht="18.75" x14ac:dyDescent="0.25">
      <c r="B40" s="8" t="str">
        <f>Balance_Sheet!B17</f>
        <v>Deferred Tax Liabilities [Net]</v>
      </c>
      <c r="C40" s="4"/>
      <c r="D40" s="5">
        <f>Balance_Sheet!D17-Balance_Sheet!C17</f>
        <v>-6473.5199999999986</v>
      </c>
      <c r="E40" s="5">
        <f>Balance_Sheet!E17-Balance_Sheet!D17</f>
        <v>4787.3099999999995</v>
      </c>
      <c r="F40" s="5">
        <f>Balance_Sheet!F17-Balance_Sheet!E17</f>
        <v>1172.3999999999996</v>
      </c>
      <c r="G40" s="5">
        <f>Balance_Sheet!G17-Balance_Sheet!F17</f>
        <v>1063.8500000000004</v>
      </c>
      <c r="H40" s="24">
        <f>Balance_Sheet!H17-Balance_Sheet!G17</f>
        <v>3112.7199411759539</v>
      </c>
      <c r="I40" s="24">
        <f>Balance_Sheet!I17-Balance_Sheet!H17</f>
        <v>1620.1686076266997</v>
      </c>
      <c r="J40" s="24">
        <f>Balance_Sheet!J17-Balance_Sheet!I17</f>
        <v>2440.2991364495629</v>
      </c>
      <c r="K40" s="24">
        <f>Balance_Sheet!K17-Balance_Sheet!J17</f>
        <v>3244.8112267357174</v>
      </c>
      <c r="L40" s="24">
        <f>Balance_Sheet!L17-Balance_Sheet!K17</f>
        <v>4238.2329923525831</v>
      </c>
    </row>
    <row r="41" spans="2:12" ht="18.75" x14ac:dyDescent="0.25">
      <c r="B41" s="8" t="str">
        <f>Balance_Sheet!B19</f>
        <v>Short Term Borrowings</v>
      </c>
      <c r="C41" s="4"/>
      <c r="D41" s="5">
        <f>Balance_Sheet!D19-Balance_Sheet!C19</f>
        <v>10688.469999999998</v>
      </c>
      <c r="E41" s="5">
        <f>Balance_Sheet!E19-Balance_Sheet!D19</f>
        <v>-812.61999999999898</v>
      </c>
      <c r="F41" s="5">
        <f>Balance_Sheet!F19-Balance_Sheet!E19</f>
        <v>-591.60999999999876</v>
      </c>
      <c r="G41" s="5">
        <f>Balance_Sheet!G19-Balance_Sheet!F19</f>
        <v>11719.449999999999</v>
      </c>
      <c r="H41" s="24">
        <f>Balance_Sheet!H19-Balance_Sheet!G19</f>
        <v>9310.760000000002</v>
      </c>
      <c r="I41" s="24">
        <f>Balance_Sheet!I19-Balance_Sheet!H19</f>
        <v>4261.68</v>
      </c>
      <c r="J41" s="24">
        <f>Balance_Sheet!J19-Balance_Sheet!I19</f>
        <v>6418.9399999999951</v>
      </c>
      <c r="K41" s="24">
        <f>Balance_Sheet!K19-Balance_Sheet!J19</f>
        <v>8535.1200000000026</v>
      </c>
      <c r="L41" s="24">
        <f>Balance_Sheet!L19-Balance_Sheet!K19</f>
        <v>11148.200000000004</v>
      </c>
    </row>
    <row r="42" spans="2:12" ht="18.75" x14ac:dyDescent="0.25">
      <c r="B42" s="8" t="str">
        <f>Balance_Sheet!B35:G35</f>
        <v>Minority Interest</v>
      </c>
      <c r="C42" s="4"/>
      <c r="D42" s="5">
        <f>Balance_Sheet!D35-Balance_Sheet!C35</f>
        <v>1960.4299999999998</v>
      </c>
      <c r="E42" s="5">
        <f>Balance_Sheet!E35-Balance_Sheet!D35</f>
        <v>408.99000000000024</v>
      </c>
      <c r="F42" s="5">
        <f>Balance_Sheet!F35-Balance_Sheet!E35</f>
        <v>206.51999999999998</v>
      </c>
      <c r="G42" s="5">
        <f>Balance_Sheet!G35-Balance_Sheet!F35</f>
        <v>236.69999999999982</v>
      </c>
      <c r="H42" s="24">
        <f>Balance_Sheet!H35-Balance_Sheet!G35</f>
        <v>1264.7086768994996</v>
      </c>
      <c r="I42" s="24">
        <f>Balance_Sheet!I35-Balance_Sheet!H35</f>
        <v>578.87612359746981</v>
      </c>
      <c r="J42" s="24">
        <f>Balance_Sheet!J35-Balance_Sheet!I35</f>
        <v>871.90363884130875</v>
      </c>
      <c r="K42" s="24">
        <f>Balance_Sheet!K35-Balance_Sheet!J35</f>
        <v>1159.3507835519731</v>
      </c>
      <c r="L42" s="24">
        <f>Balance_Sheet!L35-Balance_Sheet!K35</f>
        <v>1514.294175289474</v>
      </c>
    </row>
    <row r="43" spans="2:12" ht="18.75" x14ac:dyDescent="0.25">
      <c r="B43" s="8" t="s">
        <v>139</v>
      </c>
      <c r="C43" s="4"/>
      <c r="D43" s="4"/>
      <c r="E43" s="4"/>
      <c r="F43" s="4"/>
      <c r="G43" s="4"/>
      <c r="H43" s="26"/>
      <c r="I43" s="26"/>
      <c r="J43" s="26"/>
      <c r="K43" s="26"/>
      <c r="L43" s="26"/>
    </row>
    <row r="44" spans="2:12" ht="18.75" x14ac:dyDescent="0.25">
      <c r="B44" s="8" t="str">
        <f>Income_Statement!B51</f>
        <v>Equity Share Dividend</v>
      </c>
      <c r="C44" s="4"/>
      <c r="D44" s="5">
        <f>Income_Statement!D51</f>
        <v>3019.88</v>
      </c>
      <c r="E44" s="5">
        <f>Income_Statement!E51</f>
        <v>494.73</v>
      </c>
      <c r="F44" s="5">
        <f>Income_Statement!F51</f>
        <v>5531.06</v>
      </c>
      <c r="G44" s="5">
        <f>Income_Statement!G51</f>
        <v>0</v>
      </c>
      <c r="H44" s="24">
        <f>Income_Statement!H51</f>
        <v>0</v>
      </c>
      <c r="I44" s="24">
        <f>Income_Statement!I51</f>
        <v>0</v>
      </c>
      <c r="J44" s="24">
        <f>Income_Statement!J51</f>
        <v>0</v>
      </c>
      <c r="K44" s="24">
        <f>Income_Statement!K51</f>
        <v>0</v>
      </c>
      <c r="L44" s="24">
        <f>Income_Statement!L51</f>
        <v>0</v>
      </c>
    </row>
    <row r="45" spans="2:12" ht="18.75" x14ac:dyDescent="0.25">
      <c r="B45" s="8" t="str">
        <f>Income_Statement!B53</f>
        <v>Tax On Dividend</v>
      </c>
      <c r="C45" s="4"/>
      <c r="D45" s="4">
        <f>Income_Statement!D53</f>
        <v>617.62</v>
      </c>
      <c r="E45" s="4">
        <f>Income_Statement!E53</f>
        <v>101.18</v>
      </c>
      <c r="F45" s="4">
        <f>Income_Statement!F53</f>
        <v>0</v>
      </c>
      <c r="G45" s="4">
        <f>Income_Statement!G53</f>
        <v>0</v>
      </c>
      <c r="H45" s="26">
        <f>Income_Statement!H53</f>
        <v>0</v>
      </c>
      <c r="I45" s="26">
        <f>Income_Statement!I53</f>
        <v>0</v>
      </c>
      <c r="J45" s="26">
        <f>Income_Statement!J53</f>
        <v>0</v>
      </c>
      <c r="K45" s="26">
        <f>Income_Statement!K53</f>
        <v>0</v>
      </c>
      <c r="L45" s="26">
        <f>Income_Statement!L53</f>
        <v>0</v>
      </c>
    </row>
    <row r="46" spans="2:12" ht="18.75" x14ac:dyDescent="0.25">
      <c r="B46" s="8" t="s">
        <v>140</v>
      </c>
      <c r="C46" s="4"/>
      <c r="D46" s="5">
        <f>Income_Statement!D35</f>
        <v>5604.65</v>
      </c>
      <c r="E46" s="5">
        <f>Income_Statement!E35</f>
        <v>8116.85</v>
      </c>
      <c r="F46" s="5">
        <f>Income_Statement!F35</f>
        <v>9224.14</v>
      </c>
      <c r="G46" s="5">
        <f>Income_Statement!G35</f>
        <v>9315.98</v>
      </c>
      <c r="H46" s="24">
        <f>Income_Statement!H35</f>
        <v>12449.149375734358</v>
      </c>
      <c r="I46" s="24">
        <f>Income_Statement!I35</f>
        <v>13883.247669629249</v>
      </c>
      <c r="J46" s="24">
        <f>Income_Statement!J35</f>
        <v>16043.288106306682</v>
      </c>
      <c r="K46" s="24">
        <f>Income_Statement!K35</f>
        <v>18915.445022985896</v>
      </c>
      <c r="L46" s="24">
        <f>Income_Statement!L35</f>
        <v>22666.933526607983</v>
      </c>
    </row>
    <row r="47" spans="2:12" ht="18.75" x14ac:dyDescent="0.25">
      <c r="B47" s="9" t="s">
        <v>141</v>
      </c>
      <c r="C47" s="6"/>
      <c r="D47" s="7">
        <f>D37+D38+D39+D40+D41+D42-D44-D45-D46</f>
        <v>28870.229999999996</v>
      </c>
      <c r="E47" s="7">
        <f t="shared" ref="E47:L47" si="3">E37+E38+E39+E40+E41+E42-E44-E45-E46</f>
        <v>24627.229999999996</v>
      </c>
      <c r="F47" s="7">
        <f t="shared" si="3"/>
        <v>-8913.8899999999849</v>
      </c>
      <c r="G47" s="7">
        <f t="shared" si="3"/>
        <v>4303.2999999999993</v>
      </c>
      <c r="H47" s="27">
        <f t="shared" si="3"/>
        <v>62406.329242341104</v>
      </c>
      <c r="I47" s="27">
        <f t="shared" si="3"/>
        <v>20574.65706159488</v>
      </c>
      <c r="J47" s="27">
        <f t="shared" si="3"/>
        <v>35857.234668984187</v>
      </c>
      <c r="K47" s="27">
        <f t="shared" si="3"/>
        <v>50095.516987301802</v>
      </c>
      <c r="L47" s="27">
        <f t="shared" si="3"/>
        <v>67472.213641034105</v>
      </c>
    </row>
    <row r="48" spans="2:12" ht="18.75" x14ac:dyDescent="0.25">
      <c r="B48" s="9" t="s">
        <v>142</v>
      </c>
      <c r="C48" s="6"/>
      <c r="D48" s="7">
        <f>D27+D35+D47</f>
        <v>74279.372551924898</v>
      </c>
      <c r="E48" s="7">
        <f t="shared" ref="E48:L48" si="4">E27+E35+E47</f>
        <v>71068.816664618003</v>
      </c>
      <c r="F48" s="7">
        <f t="shared" si="4"/>
        <v>74068.686090199626</v>
      </c>
      <c r="G48" s="7">
        <f t="shared" si="4"/>
        <v>20062.14752500652</v>
      </c>
      <c r="H48" s="27">
        <f t="shared" si="4"/>
        <v>-96523.934696447657</v>
      </c>
      <c r="I48" s="27">
        <f t="shared" si="4"/>
        <v>53170.863512318443</v>
      </c>
      <c r="J48" s="27">
        <f t="shared" si="4"/>
        <v>44421.64310217926</v>
      </c>
      <c r="K48" s="27">
        <f t="shared" si="4"/>
        <v>38138.088011314903</v>
      </c>
      <c r="L48" s="27">
        <f t="shared" si="4"/>
        <v>24755.359857741088</v>
      </c>
    </row>
  </sheetData>
  <mergeCells count="2">
    <mergeCell ref="B3:G3"/>
    <mergeCell ref="H3:L3"/>
  </mergeCells>
  <hyperlinks>
    <hyperlink ref="F1" location="Index_Data!A1" tooltip="Hi click here To return Index page" display="Index_Data!A1" xr:uid="{ED014E3B-B16A-42E1-B654-FCAA52CEA2DF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6D39B-0C01-4BA1-81A9-97DB9AE8AF98}">
  <dimension ref="B1:O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4" width="14.85546875" bestFit="1" customWidth="1"/>
    <col min="5" max="7" width="15.57031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9.5" thickBot="1" x14ac:dyDescent="0.3">
      <c r="B5" s="43" t="s">
        <v>145</v>
      </c>
      <c r="C5" s="43"/>
      <c r="D5" s="43"/>
      <c r="E5" s="43"/>
      <c r="F5" s="43"/>
      <c r="G5" s="43"/>
    </row>
    <row r="6" spans="2:15" ht="19.5" thickTop="1" x14ac:dyDescent="0.25">
      <c r="B6" s="12" t="str">
        <f>Income_Statement!B49</f>
        <v>Reported Net Profit(PAT)</v>
      </c>
      <c r="C6" s="13">
        <f>Income_Statement!C49</f>
        <v>57783.528094654728</v>
      </c>
      <c r="D6" s="13">
        <f>Income_Statement!D49</f>
        <v>76447.022551924907</v>
      </c>
      <c r="E6" s="13">
        <f>Income_Statement!E49</f>
        <v>68611.756664617977</v>
      </c>
      <c r="F6" s="13">
        <f>Income_Statement!F49</f>
        <v>73268.786090199617</v>
      </c>
      <c r="G6" s="13">
        <f>Income_Statement!G49</f>
        <v>15941.177525006546</v>
      </c>
      <c r="I6" s="34"/>
      <c r="J6" s="35"/>
      <c r="K6" s="35"/>
      <c r="L6" s="36"/>
    </row>
    <row r="7" spans="2:15" ht="18.75" x14ac:dyDescent="0.25">
      <c r="B7" s="12" t="str">
        <f>Income_Statement!B61</f>
        <v>Total Shares Outstanding(cr)</v>
      </c>
      <c r="C7" s="13">
        <f>Income_Statement!C61</f>
        <v>5253.0480086049756</v>
      </c>
      <c r="D7" s="13">
        <f>Income_Statement!D61</f>
        <v>5460.5016108517793</v>
      </c>
      <c r="E7" s="13">
        <f>Income_Statement!E61</f>
        <v>5717.6463887181644</v>
      </c>
      <c r="F7" s="13">
        <f>Income_Statement!F61</f>
        <v>4884.5857393466413</v>
      </c>
      <c r="G7" s="13">
        <f>Income_Statement!G61</f>
        <v>937.71632500038504</v>
      </c>
      <c r="I7" s="37"/>
      <c r="J7" s="38"/>
      <c r="K7" s="38"/>
      <c r="L7" s="39"/>
    </row>
    <row r="8" spans="2:15" ht="19.5" thickBot="1" x14ac:dyDescent="0.3">
      <c r="B8" s="14" t="s">
        <v>146</v>
      </c>
      <c r="C8" s="14">
        <f>ROUND(C6/C7, 2)</f>
        <v>11</v>
      </c>
      <c r="D8" s="14">
        <f t="shared" ref="D8:G8" si="0">ROUND(D6/D7, 2)</f>
        <v>14</v>
      </c>
      <c r="E8" s="14">
        <f t="shared" si="0"/>
        <v>12</v>
      </c>
      <c r="F8" s="14">
        <f t="shared" si="0"/>
        <v>15</v>
      </c>
      <c r="G8" s="14">
        <f t="shared" si="0"/>
        <v>17</v>
      </c>
      <c r="I8" s="40"/>
      <c r="J8" s="41"/>
      <c r="K8" s="41"/>
      <c r="L8" s="42"/>
    </row>
    <row r="9" spans="2:15" ht="15.75" thickTop="1" x14ac:dyDescent="0.25"/>
    <row r="10" spans="2:15" ht="19.5" thickBot="1" x14ac:dyDescent="0.3">
      <c r="B10" s="43" t="s">
        <v>147</v>
      </c>
      <c r="C10" s="43"/>
      <c r="D10" s="43"/>
      <c r="E10" s="43"/>
      <c r="F10" s="43"/>
      <c r="G10" s="43"/>
    </row>
    <row r="11" spans="2:15" ht="19.5" thickTop="1" x14ac:dyDescent="0.25">
      <c r="B11" s="12" t="str">
        <f>Income_Statement!B51</f>
        <v>Equity Share Dividend</v>
      </c>
      <c r="C11" s="13">
        <f>Income_Statement!C51</f>
        <v>4040.28</v>
      </c>
      <c r="D11" s="13">
        <f>Income_Statement!D51</f>
        <v>3019.88</v>
      </c>
      <c r="E11" s="13">
        <f>Income_Statement!E51</f>
        <v>494.73</v>
      </c>
      <c r="F11" s="13">
        <f>Income_Statement!F51</f>
        <v>5531.06</v>
      </c>
      <c r="G11" s="13">
        <f>Income_Statement!G51</f>
        <v>0</v>
      </c>
      <c r="I11" s="34"/>
      <c r="J11" s="35"/>
      <c r="K11" s="35"/>
      <c r="L11" s="36"/>
    </row>
    <row r="12" spans="2:15" ht="18.75" x14ac:dyDescent="0.25">
      <c r="B12" s="12" t="str">
        <f>Income_Statement!B61</f>
        <v>Total Shares Outstanding(cr)</v>
      </c>
      <c r="C12" s="13">
        <f>Income_Statement!C61</f>
        <v>5253.0480086049756</v>
      </c>
      <c r="D12" s="13">
        <f>Income_Statement!D61</f>
        <v>5460.5016108517793</v>
      </c>
      <c r="E12" s="13">
        <f>Income_Statement!E61</f>
        <v>5717.6463887181644</v>
      </c>
      <c r="F12" s="13">
        <f>Income_Statement!F61</f>
        <v>4884.5857393466413</v>
      </c>
      <c r="G12" s="13">
        <f>Income_Statement!G61</f>
        <v>937.71632500038504</v>
      </c>
      <c r="I12" s="37"/>
      <c r="J12" s="38"/>
      <c r="K12" s="38"/>
      <c r="L12" s="39"/>
    </row>
    <row r="13" spans="2:15" ht="19.5" thickBot="1" x14ac:dyDescent="0.3">
      <c r="B13" s="14" t="s">
        <v>148</v>
      </c>
      <c r="C13" s="14">
        <f>ROUND(C11/C12, 2)</f>
        <v>0.77</v>
      </c>
      <c r="D13" s="14">
        <f t="shared" ref="D13:G13" si="1">ROUND(D11/D12, 2)</f>
        <v>0.55000000000000004</v>
      </c>
      <c r="E13" s="14">
        <f t="shared" si="1"/>
        <v>0.09</v>
      </c>
      <c r="F13" s="14">
        <f t="shared" si="1"/>
        <v>1.1299999999999999</v>
      </c>
      <c r="G13" s="14">
        <f t="shared" si="1"/>
        <v>0</v>
      </c>
      <c r="I13" s="40"/>
      <c r="J13" s="41"/>
      <c r="K13" s="41"/>
      <c r="L13" s="42"/>
    </row>
    <row r="14" spans="2:15" ht="15.75" thickTop="1" x14ac:dyDescent="0.25"/>
    <row r="15" spans="2:15" ht="19.5" thickBot="1" x14ac:dyDescent="0.3">
      <c r="B15" s="43" t="s">
        <v>149</v>
      </c>
      <c r="C15" s="43"/>
      <c r="D15" s="43"/>
      <c r="E15" s="43"/>
      <c r="F15" s="43"/>
      <c r="G15" s="43"/>
    </row>
    <row r="16" spans="2:15" ht="19.5" thickTop="1" x14ac:dyDescent="0.25">
      <c r="B16" s="12" t="str">
        <f>Balance_Sheet!B13</f>
        <v>Net Worth</v>
      </c>
      <c r="C16" s="13">
        <f>Balance_Sheet!C13</f>
        <v>103563.47</v>
      </c>
      <c r="D16" s="13">
        <f>Balance_Sheet!D13</f>
        <v>178022.0925519249</v>
      </c>
      <c r="E16" s="13">
        <f>Balance_Sheet!E13</f>
        <v>246037.93921654287</v>
      </c>
      <c r="F16" s="13">
        <f>Balance_Sheet!F13</f>
        <v>313577.77530674246</v>
      </c>
      <c r="G16" s="13">
        <f>Balance_Sheet!G13</f>
        <v>329518.95283174899</v>
      </c>
      <c r="I16" s="34"/>
      <c r="J16" s="35"/>
      <c r="K16" s="35"/>
      <c r="L16" s="36"/>
    </row>
    <row r="17" spans="2:12" ht="18.75" x14ac:dyDescent="0.25">
      <c r="B17" s="12" t="str">
        <f>Income_Statement!B61</f>
        <v>Total Shares Outstanding(cr)</v>
      </c>
      <c r="C17" s="13">
        <f>Income_Statement!C61</f>
        <v>5253.0480086049756</v>
      </c>
      <c r="D17" s="13">
        <f>Income_Statement!D61</f>
        <v>5460.5016108517793</v>
      </c>
      <c r="E17" s="13">
        <f>Income_Statement!E61</f>
        <v>5717.6463887181644</v>
      </c>
      <c r="F17" s="13">
        <f>Income_Statement!F61</f>
        <v>4884.5857393466413</v>
      </c>
      <c r="G17" s="13">
        <f>Income_Statement!G61</f>
        <v>937.71632500038504</v>
      </c>
      <c r="I17" s="37"/>
      <c r="J17" s="38"/>
      <c r="K17" s="38"/>
      <c r="L17" s="39"/>
    </row>
    <row r="18" spans="2:12" ht="19.5" thickBot="1" x14ac:dyDescent="0.3">
      <c r="B18" s="14" t="s">
        <v>150</v>
      </c>
      <c r="C18" s="14">
        <f>ROUND(C16/C17, 2)</f>
        <v>19.71</v>
      </c>
      <c r="D18" s="14">
        <f t="shared" ref="D18:G18" si="2">ROUND(D16/D17, 2)</f>
        <v>32.6</v>
      </c>
      <c r="E18" s="14">
        <f t="shared" si="2"/>
        <v>43.03</v>
      </c>
      <c r="F18" s="14">
        <f t="shared" si="2"/>
        <v>64.2</v>
      </c>
      <c r="G18" s="14">
        <f t="shared" si="2"/>
        <v>351.41</v>
      </c>
      <c r="I18" s="40"/>
      <c r="J18" s="41"/>
      <c r="K18" s="41"/>
      <c r="L18" s="42"/>
    </row>
    <row r="19" spans="2:12" ht="15.75" thickTop="1" x14ac:dyDescent="0.25"/>
    <row r="20" spans="2:12" ht="18.75" x14ac:dyDescent="0.25">
      <c r="B20" s="43" t="s">
        <v>151</v>
      </c>
      <c r="C20" s="43"/>
      <c r="D20" s="43"/>
      <c r="E20" s="43"/>
      <c r="F20" s="43"/>
      <c r="G20" s="43"/>
    </row>
    <row r="21" spans="2:12" ht="18.75" x14ac:dyDescent="0.25">
      <c r="B21" s="12" t="str">
        <f>Income_Statement!B51</f>
        <v>Equity Share Dividend</v>
      </c>
      <c r="C21" s="13">
        <f>Income_Statement!C51</f>
        <v>4040.28</v>
      </c>
      <c r="D21" s="13">
        <f>Income_Statement!D51</f>
        <v>3019.88</v>
      </c>
      <c r="E21" s="13">
        <f>Income_Statement!E51</f>
        <v>494.73</v>
      </c>
      <c r="F21" s="13">
        <f>Income_Statement!F51</f>
        <v>5531.06</v>
      </c>
      <c r="G21" s="13">
        <f>Income_Statement!G51</f>
        <v>0</v>
      </c>
    </row>
    <row r="22" spans="2:12" ht="18.75" x14ac:dyDescent="0.25">
      <c r="B22" s="12" t="str">
        <f>Income_Statement!B61</f>
        <v>Total Shares Outstanding(cr)</v>
      </c>
      <c r="C22" s="13">
        <f>Income_Statement!C61</f>
        <v>5253.0480086049756</v>
      </c>
      <c r="D22" s="13">
        <f>Income_Statement!D61</f>
        <v>5460.5016108517793</v>
      </c>
      <c r="E22" s="13">
        <f>Income_Statement!E61</f>
        <v>5717.6463887181644</v>
      </c>
      <c r="F22" s="13">
        <f>Income_Statement!F61</f>
        <v>4884.5857393466413</v>
      </c>
      <c r="G22" s="13">
        <f>Income_Statement!G61</f>
        <v>937.71632500038504</v>
      </c>
    </row>
    <row r="23" spans="2:12" ht="18.75" x14ac:dyDescent="0.25">
      <c r="B23" s="12" t="s">
        <v>148</v>
      </c>
      <c r="C23" s="13">
        <f>ROUND(C21/C22, 2)</f>
        <v>0.77</v>
      </c>
      <c r="D23" s="13">
        <f t="shared" ref="D23:G23" si="3">ROUND(D21/D22, 2)</f>
        <v>0.55000000000000004</v>
      </c>
      <c r="E23" s="13">
        <f t="shared" si="3"/>
        <v>0.09</v>
      </c>
      <c r="F23" s="13">
        <f t="shared" si="3"/>
        <v>1.1299999999999999</v>
      </c>
      <c r="G23" s="13">
        <f t="shared" si="3"/>
        <v>0</v>
      </c>
    </row>
    <row r="24" spans="2:12" ht="19.5" thickBot="1" x14ac:dyDescent="0.3">
      <c r="B24" s="12" t="str">
        <f>Income_Statement!B49</f>
        <v>Reported Net Profit(PAT)</v>
      </c>
      <c r="C24" s="13">
        <f>Income_Statement!C49</f>
        <v>57783.528094654728</v>
      </c>
      <c r="D24" s="13">
        <f>Income_Statement!D49</f>
        <v>76447.022551924907</v>
      </c>
      <c r="E24" s="13">
        <f>Income_Statement!E49</f>
        <v>68611.756664617977</v>
      </c>
      <c r="F24" s="13">
        <f>Income_Statement!F49</f>
        <v>73268.786090199617</v>
      </c>
      <c r="G24" s="13">
        <f>Income_Statement!G49</f>
        <v>15941.177525006546</v>
      </c>
    </row>
    <row r="25" spans="2:12" ht="19.5" thickTop="1" x14ac:dyDescent="0.25">
      <c r="B25" s="12" t="str">
        <f>Income_Statement!B61</f>
        <v>Total Shares Outstanding(cr)</v>
      </c>
      <c r="C25" s="13">
        <f>Income_Statement!C61</f>
        <v>5253.0480086049756</v>
      </c>
      <c r="D25" s="13">
        <f>Income_Statement!D61</f>
        <v>5460.5016108517793</v>
      </c>
      <c r="E25" s="13">
        <f>Income_Statement!E61</f>
        <v>5717.6463887181644</v>
      </c>
      <c r="F25" s="13">
        <f>Income_Statement!F61</f>
        <v>4884.5857393466413</v>
      </c>
      <c r="G25" s="13">
        <f>Income_Statement!G61</f>
        <v>937.71632500038504</v>
      </c>
      <c r="I25" s="34"/>
      <c r="J25" s="35"/>
      <c r="K25" s="35"/>
      <c r="L25" s="36"/>
    </row>
    <row r="26" spans="2:12" ht="18.75" x14ac:dyDescent="0.25">
      <c r="B26" s="12" t="s">
        <v>146</v>
      </c>
      <c r="C26" s="13">
        <f>C24/C25</f>
        <v>11</v>
      </c>
      <c r="D26" s="13">
        <f t="shared" ref="D26:G26" si="4">D24/D25</f>
        <v>14</v>
      </c>
      <c r="E26" s="13">
        <f t="shared" si="4"/>
        <v>12</v>
      </c>
      <c r="F26" s="13">
        <f t="shared" si="4"/>
        <v>15</v>
      </c>
      <c r="G26" s="13">
        <f t="shared" si="4"/>
        <v>17</v>
      </c>
      <c r="I26" s="37"/>
      <c r="J26" s="38"/>
      <c r="K26" s="38"/>
      <c r="L26" s="39"/>
    </row>
    <row r="27" spans="2:12" ht="19.5" thickBot="1" x14ac:dyDescent="0.3">
      <c r="B27" s="14" t="s">
        <v>152</v>
      </c>
      <c r="C27" s="14">
        <f>ROUND(C23/C26, 2)</f>
        <v>7.0000000000000007E-2</v>
      </c>
      <c r="D27" s="14">
        <f t="shared" ref="D27:G27" si="5">ROUND(D23/D26, 2)</f>
        <v>0.04</v>
      </c>
      <c r="E27" s="14">
        <f t="shared" si="5"/>
        <v>0.01</v>
      </c>
      <c r="F27" s="14">
        <f t="shared" si="5"/>
        <v>0.08</v>
      </c>
      <c r="G27" s="14">
        <f t="shared" si="5"/>
        <v>0</v>
      </c>
      <c r="I27" s="40"/>
      <c r="J27" s="41"/>
      <c r="K27" s="41"/>
      <c r="L27" s="42"/>
    </row>
    <row r="28" spans="2:12" ht="15.75" thickTop="1" x14ac:dyDescent="0.25"/>
    <row r="29" spans="2:12" ht="18.75" x14ac:dyDescent="0.25">
      <c r="B29" s="43" t="s">
        <v>153</v>
      </c>
      <c r="C29" s="43"/>
      <c r="D29" s="43"/>
      <c r="E29" s="43"/>
      <c r="F29" s="43"/>
      <c r="G29" s="43"/>
    </row>
    <row r="30" spans="2:12" ht="19.5" thickBot="1" x14ac:dyDescent="0.3">
      <c r="B30" s="12" t="str">
        <f>Income_Statement!B51</f>
        <v>Equity Share Dividend</v>
      </c>
      <c r="C30" s="13">
        <f>Income_Statement!C51</f>
        <v>4040.28</v>
      </c>
      <c r="D30" s="13">
        <f>Income_Statement!D51</f>
        <v>3019.88</v>
      </c>
      <c r="E30" s="13">
        <f>Income_Statement!E51</f>
        <v>494.73</v>
      </c>
      <c r="F30" s="13">
        <f>Income_Statement!F51</f>
        <v>5531.06</v>
      </c>
      <c r="G30" s="13">
        <f>Income_Statement!G51</f>
        <v>0</v>
      </c>
    </row>
    <row r="31" spans="2:12" ht="19.5" thickTop="1" x14ac:dyDescent="0.25">
      <c r="B31" s="12" t="str">
        <f>Income_Statement!B61</f>
        <v>Total Shares Outstanding(cr)</v>
      </c>
      <c r="C31" s="13">
        <f>Income_Statement!C61</f>
        <v>5253.0480086049756</v>
      </c>
      <c r="D31" s="13">
        <f>Income_Statement!D61</f>
        <v>5460.5016108517793</v>
      </c>
      <c r="E31" s="13">
        <f>Income_Statement!E61</f>
        <v>5717.6463887181644</v>
      </c>
      <c r="F31" s="13">
        <f>Income_Statement!F61</f>
        <v>4884.5857393466413</v>
      </c>
      <c r="G31" s="13">
        <f>Income_Statement!G61</f>
        <v>937.71632500038504</v>
      </c>
      <c r="I31" s="34"/>
      <c r="J31" s="35"/>
      <c r="K31" s="35"/>
      <c r="L31" s="36"/>
    </row>
    <row r="32" spans="2:12" ht="18.75" x14ac:dyDescent="0.25">
      <c r="B32" s="12" t="s">
        <v>154</v>
      </c>
      <c r="C32" s="13">
        <f>ROUND(C30/C31, 2)</f>
        <v>0.77</v>
      </c>
      <c r="D32" s="13">
        <f t="shared" ref="D32:G32" si="6">ROUND(D30/D31, 2)</f>
        <v>0.55000000000000004</v>
      </c>
      <c r="E32" s="13">
        <f t="shared" si="6"/>
        <v>0.09</v>
      </c>
      <c r="F32" s="13">
        <f t="shared" si="6"/>
        <v>1.1299999999999999</v>
      </c>
      <c r="G32" s="13">
        <f t="shared" si="6"/>
        <v>0</v>
      </c>
      <c r="I32" s="37"/>
      <c r="J32" s="38"/>
      <c r="K32" s="38"/>
      <c r="L32" s="39"/>
    </row>
    <row r="33" spans="2:12" ht="19.5" thickBot="1" x14ac:dyDescent="0.3">
      <c r="B33" s="14" t="s">
        <v>155</v>
      </c>
      <c r="C33" s="15">
        <f>1-C32</f>
        <v>0.22999999999999998</v>
      </c>
      <c r="D33" s="15">
        <f t="shared" ref="D33:G33" si="7">1-D32</f>
        <v>0.44999999999999996</v>
      </c>
      <c r="E33" s="15">
        <f t="shared" si="7"/>
        <v>0.91</v>
      </c>
      <c r="F33" s="15">
        <f t="shared" si="7"/>
        <v>-0.12999999999999989</v>
      </c>
      <c r="G33" s="15">
        <f t="shared" si="7"/>
        <v>1</v>
      </c>
      <c r="I33" s="40"/>
      <c r="J33" s="41"/>
      <c r="K33" s="41"/>
      <c r="L33" s="42"/>
    </row>
    <row r="34" spans="2:12" ht="15.75" thickTop="1" x14ac:dyDescent="0.25"/>
    <row r="35" spans="2:12" ht="19.5" thickBot="1" x14ac:dyDescent="0.3">
      <c r="B35" s="43" t="s">
        <v>156</v>
      </c>
      <c r="C35" s="43"/>
      <c r="D35" s="43"/>
      <c r="E35" s="43"/>
      <c r="F35" s="43"/>
      <c r="G35" s="43"/>
    </row>
    <row r="36" spans="2:12" ht="19.5" thickTop="1" x14ac:dyDescent="0.25">
      <c r="B36" s="12" t="str">
        <f>Income_Statement!B5</f>
        <v>Gross Sales</v>
      </c>
      <c r="C36" s="13">
        <f>Income_Statement!C5</f>
        <v>86118.25</v>
      </c>
      <c r="D36" s="13">
        <f>Income_Statement!D5</f>
        <v>99615</v>
      </c>
      <c r="E36" s="13">
        <f>Income_Statement!E5</f>
        <v>109078.63</v>
      </c>
      <c r="F36" s="13">
        <f>Income_Statement!F5</f>
        <v>111267.88</v>
      </c>
      <c r="G36" s="13">
        <f>Income_Statement!G5</f>
        <v>132669.28</v>
      </c>
      <c r="I36" s="34"/>
      <c r="J36" s="35"/>
      <c r="K36" s="35"/>
      <c r="L36" s="36"/>
    </row>
    <row r="37" spans="2:12" ht="18.75" x14ac:dyDescent="0.25">
      <c r="B37" s="12" t="str">
        <f>Income_Statement!B17</f>
        <v>Cost Of Materials Consumed</v>
      </c>
      <c r="C37" s="13">
        <f>Income_Statement!C17</f>
        <v>0</v>
      </c>
      <c r="D37" s="13">
        <f>Income_Statement!D17</f>
        <v>0</v>
      </c>
      <c r="E37" s="13">
        <f>Income_Statement!E17</f>
        <v>0</v>
      </c>
      <c r="F37" s="13">
        <f>Income_Statement!F17</f>
        <v>0</v>
      </c>
      <c r="G37" s="13">
        <f>Income_Statement!G17</f>
        <v>0</v>
      </c>
      <c r="I37" s="37"/>
      <c r="J37" s="38"/>
      <c r="K37" s="38"/>
      <c r="L37" s="39"/>
    </row>
    <row r="38" spans="2:12" ht="19.5" thickBot="1" x14ac:dyDescent="0.3">
      <c r="B38" s="14" t="s">
        <v>157</v>
      </c>
      <c r="C38" s="16">
        <f>ROUND(C36- C37, 2)</f>
        <v>86118.25</v>
      </c>
      <c r="D38" s="16">
        <f t="shared" ref="D38:G38" si="8">ROUND(D36- D37, 2)</f>
        <v>99615</v>
      </c>
      <c r="E38" s="16">
        <f t="shared" si="8"/>
        <v>109078.63</v>
      </c>
      <c r="F38" s="16">
        <f t="shared" si="8"/>
        <v>111267.88</v>
      </c>
      <c r="G38" s="16">
        <f t="shared" si="8"/>
        <v>132669.28</v>
      </c>
      <c r="I38" s="40"/>
      <c r="J38" s="41"/>
      <c r="K38" s="41"/>
      <c r="L38" s="42"/>
    </row>
    <row r="39" spans="2:12" ht="15.75" thickTop="1" x14ac:dyDescent="0.25"/>
    <row r="40" spans="2:12" ht="19.5" thickBot="1" x14ac:dyDescent="0.3">
      <c r="B40" s="43" t="s">
        <v>158</v>
      </c>
      <c r="C40" s="43"/>
      <c r="D40" s="43"/>
      <c r="E40" s="43"/>
      <c r="F40" s="43"/>
      <c r="G40" s="43"/>
    </row>
    <row r="41" spans="2:12" ht="19.5" thickTop="1" x14ac:dyDescent="0.25">
      <c r="B41" s="12" t="str">
        <f>Income_Statement!B5</f>
        <v>Gross Sales</v>
      </c>
      <c r="C41" s="13">
        <f>Income_Statement!C5</f>
        <v>86118.25</v>
      </c>
      <c r="D41" s="13">
        <f>Income_Statement!D5</f>
        <v>99615</v>
      </c>
      <c r="E41" s="13">
        <f>Income_Statement!E5</f>
        <v>109078.63</v>
      </c>
      <c r="F41" s="13">
        <f>Income_Statement!F5</f>
        <v>111267.88</v>
      </c>
      <c r="G41" s="13">
        <f>Income_Statement!G5</f>
        <v>132669.28</v>
      </c>
      <c r="I41" s="34"/>
      <c r="J41" s="35"/>
      <c r="K41" s="35"/>
      <c r="L41" s="36"/>
    </row>
    <row r="42" spans="2:12" ht="18.75" x14ac:dyDescent="0.25">
      <c r="B42" s="12" t="str">
        <f>Income_Statement!B25</f>
        <v>Total Expenditure</v>
      </c>
      <c r="C42" s="13">
        <f>Income_Statement!C25</f>
        <v>12346.560000000001</v>
      </c>
      <c r="D42" s="13">
        <f>Income_Statement!D25</f>
        <v>13921.77</v>
      </c>
      <c r="E42" s="13">
        <f>Income_Statement!E25</f>
        <v>15555.89</v>
      </c>
      <c r="F42" s="13">
        <f>Income_Statement!F25</f>
        <v>16408.64</v>
      </c>
      <c r="G42" s="13">
        <f>Income_Statement!G25</f>
        <v>92389.72</v>
      </c>
      <c r="I42" s="37"/>
      <c r="J42" s="38"/>
      <c r="K42" s="38"/>
      <c r="L42" s="39"/>
    </row>
    <row r="43" spans="2:12" ht="19.5" thickBot="1" x14ac:dyDescent="0.3">
      <c r="B43" s="14" t="s">
        <v>159</v>
      </c>
      <c r="C43" s="16">
        <f>ROUND(C41- C42, 2)</f>
        <v>73771.69</v>
      </c>
      <c r="D43" s="16">
        <f t="shared" ref="D43:G43" si="9">ROUND(D41- D42, 2)</f>
        <v>85693.23</v>
      </c>
      <c r="E43" s="16">
        <f t="shared" si="9"/>
        <v>93522.74</v>
      </c>
      <c r="F43" s="16">
        <f t="shared" si="9"/>
        <v>94859.24</v>
      </c>
      <c r="G43" s="16">
        <f t="shared" si="9"/>
        <v>40279.56</v>
      </c>
      <c r="I43" s="40"/>
      <c r="J43" s="41"/>
      <c r="K43" s="41"/>
      <c r="L43" s="42"/>
    </row>
    <row r="44" spans="2:12" ht="15.75" thickTop="1" x14ac:dyDescent="0.25"/>
    <row r="45" spans="2:12" ht="19.5" thickBot="1" x14ac:dyDescent="0.3">
      <c r="B45" s="43" t="s">
        <v>160</v>
      </c>
      <c r="C45" s="43"/>
      <c r="D45" s="43"/>
      <c r="E45" s="43"/>
      <c r="F45" s="43"/>
      <c r="G45" s="43"/>
    </row>
    <row r="46" spans="2:12" ht="19.5" thickTop="1" x14ac:dyDescent="0.25">
      <c r="B46" s="12" t="str">
        <f>Income_Statement!B49</f>
        <v>Reported Net Profit(PAT)</v>
      </c>
      <c r="C46" s="13">
        <f>Income_Statement!C49</f>
        <v>57783.528094654728</v>
      </c>
      <c r="D46" s="13">
        <f>Income_Statement!D49</f>
        <v>76447.022551924907</v>
      </c>
      <c r="E46" s="13">
        <f>Income_Statement!E49</f>
        <v>68611.756664617977</v>
      </c>
      <c r="F46" s="13">
        <f>Income_Statement!F49</f>
        <v>73268.786090199617</v>
      </c>
      <c r="G46" s="13">
        <f>Income_Statement!G49</f>
        <v>15941.177525006546</v>
      </c>
      <c r="I46" s="34"/>
      <c r="J46" s="35"/>
      <c r="K46" s="35"/>
      <c r="L46" s="36"/>
    </row>
    <row r="47" spans="2:12" ht="18.75" x14ac:dyDescent="0.25">
      <c r="B47" s="12" t="str">
        <f>Balance_Sheet!B74</f>
        <v>Total Assets</v>
      </c>
      <c r="C47" s="13">
        <f>Balance_Sheet!C74</f>
        <v>282361.67</v>
      </c>
      <c r="D47" s="13">
        <f>Balance_Sheet!D74</f>
        <v>413327.04255192488</v>
      </c>
      <c r="E47" s="13">
        <f>Balance_Sheet!E74</f>
        <v>505684.2192165429</v>
      </c>
      <c r="F47" s="13">
        <f>Balance_Sheet!F74</f>
        <v>586805.51530674251</v>
      </c>
      <c r="G47" s="13">
        <f>Balance_Sheet!G74</f>
        <v>610661.9428317491</v>
      </c>
      <c r="I47" s="37"/>
      <c r="J47" s="38"/>
      <c r="K47" s="38"/>
      <c r="L47" s="39"/>
    </row>
    <row r="48" spans="2:12" ht="19.5" thickBot="1" x14ac:dyDescent="0.3">
      <c r="B48" s="14" t="s">
        <v>161</v>
      </c>
      <c r="C48" s="15">
        <f>ROUND(C46/ C47, 2)</f>
        <v>0.2</v>
      </c>
      <c r="D48" s="15">
        <f t="shared" ref="D48:G48" si="10">ROUND(D46/ D47, 2)</f>
        <v>0.18</v>
      </c>
      <c r="E48" s="15">
        <f t="shared" si="10"/>
        <v>0.14000000000000001</v>
      </c>
      <c r="F48" s="15">
        <f t="shared" si="10"/>
        <v>0.12</v>
      </c>
      <c r="G48" s="15">
        <f t="shared" si="10"/>
        <v>0.03</v>
      </c>
      <c r="I48" s="40"/>
      <c r="J48" s="41"/>
      <c r="K48" s="41"/>
      <c r="L48" s="42"/>
    </row>
    <row r="49" spans="2:12" ht="15.75" thickTop="1" x14ac:dyDescent="0.25"/>
    <row r="50" spans="2:12" ht="18.75" x14ac:dyDescent="0.25">
      <c r="B50" s="43" t="s">
        <v>162</v>
      </c>
      <c r="C50" s="43"/>
      <c r="D50" s="43"/>
      <c r="E50" s="43"/>
      <c r="F50" s="43"/>
      <c r="G50" s="43"/>
    </row>
    <row r="51" spans="2:12" ht="19.5" thickBot="1" x14ac:dyDescent="0.3">
      <c r="B51" s="12" t="str">
        <f>Income_Statement!B33</f>
        <v>PBIT</v>
      </c>
      <c r="C51" s="13">
        <f>Income_Statement!C33</f>
        <v>67871.058094654727</v>
      </c>
      <c r="D51" s="13">
        <f>Income_Statement!D33</f>
        <v>79271.732551924899</v>
      </c>
      <c r="E51" s="13">
        <f>Income_Statement!E33</f>
        <v>86076.146664617991</v>
      </c>
      <c r="F51" s="13">
        <f>Income_Statement!F33</f>
        <v>86425.646090199618</v>
      </c>
      <c r="G51" s="13">
        <f>Income_Statement!G33</f>
        <v>28817.777525006546</v>
      </c>
    </row>
    <row r="52" spans="2:12" ht="19.5" thickTop="1" x14ac:dyDescent="0.25">
      <c r="B52" s="12" t="str">
        <f>Balance_Sheet!B21</f>
        <v>Total Debt</v>
      </c>
      <c r="C52" s="13">
        <f>Balance_Sheet!C21</f>
        <v>133857.82</v>
      </c>
      <c r="D52" s="13">
        <f>Balance_Sheet!D21</f>
        <v>168360.66999999998</v>
      </c>
      <c r="E52" s="13">
        <f>Balance_Sheet!E21</f>
        <v>201291.67</v>
      </c>
      <c r="F52" s="13">
        <f>Balance_Sheet!F21</f>
        <v>207124.35</v>
      </c>
      <c r="G52" s="13">
        <f>Balance_Sheet!G21</f>
        <v>220506.93000000002</v>
      </c>
      <c r="I52" s="34"/>
      <c r="J52" s="35"/>
      <c r="K52" s="35"/>
      <c r="L52" s="36"/>
    </row>
    <row r="53" spans="2:12" ht="18.75" x14ac:dyDescent="0.25">
      <c r="B53" s="12" t="str">
        <f>Balance_Sheet!B13</f>
        <v>Net Worth</v>
      </c>
      <c r="C53" s="13">
        <f>Balance_Sheet!C13</f>
        <v>103563.47</v>
      </c>
      <c r="D53" s="13">
        <f>Balance_Sheet!D13</f>
        <v>178022.0925519249</v>
      </c>
      <c r="E53" s="13">
        <f>Balance_Sheet!E13</f>
        <v>246037.93921654287</v>
      </c>
      <c r="F53" s="13">
        <f>Balance_Sheet!F13</f>
        <v>313577.77530674246</v>
      </c>
      <c r="G53" s="13">
        <f>Balance_Sheet!G13</f>
        <v>329518.95283174899</v>
      </c>
      <c r="I53" s="37"/>
      <c r="J53" s="38"/>
      <c r="K53" s="38"/>
      <c r="L53" s="39"/>
    </row>
    <row r="54" spans="2:12" ht="19.5" thickBot="1" x14ac:dyDescent="0.3">
      <c r="B54" s="14" t="s">
        <v>163</v>
      </c>
      <c r="C54" s="15">
        <f>ROUND(C51/ (C52+ C52), 2)</f>
        <v>0.25</v>
      </c>
      <c r="D54" s="15">
        <f t="shared" ref="D54:G54" si="11">ROUND(D51/ (D52+ D52), 2)</f>
        <v>0.24</v>
      </c>
      <c r="E54" s="15">
        <f t="shared" si="11"/>
        <v>0.21</v>
      </c>
      <c r="F54" s="15">
        <f t="shared" si="11"/>
        <v>0.21</v>
      </c>
      <c r="G54" s="15">
        <f t="shared" si="11"/>
        <v>7.0000000000000007E-2</v>
      </c>
      <c r="I54" s="40"/>
      <c r="J54" s="41"/>
      <c r="K54" s="41"/>
      <c r="L54" s="42"/>
    </row>
    <row r="55" spans="2:12" ht="15.75" thickTop="1" x14ac:dyDescent="0.25"/>
    <row r="56" spans="2:12" ht="19.5" thickBot="1" x14ac:dyDescent="0.3">
      <c r="B56" s="43" t="s">
        <v>164</v>
      </c>
      <c r="C56" s="43"/>
      <c r="D56" s="43"/>
      <c r="E56" s="43"/>
      <c r="F56" s="43"/>
      <c r="G56" s="43"/>
    </row>
    <row r="57" spans="2:12" ht="19.5" thickTop="1" x14ac:dyDescent="0.25">
      <c r="B57" s="12" t="str">
        <f>Income_Statement!B49</f>
        <v>Reported Net Profit(PAT)</v>
      </c>
      <c r="C57" s="13">
        <f>Income_Statement!C49</f>
        <v>57783.528094654728</v>
      </c>
      <c r="D57" s="13">
        <f>Income_Statement!D49</f>
        <v>76447.022551924907</v>
      </c>
      <c r="E57" s="13">
        <f>Income_Statement!E49</f>
        <v>68611.756664617977</v>
      </c>
      <c r="F57" s="13">
        <f>Income_Statement!F49</f>
        <v>73268.786090199617</v>
      </c>
      <c r="G57" s="13">
        <f>Income_Statement!G49</f>
        <v>15941.177525006546</v>
      </c>
      <c r="I57" s="34"/>
      <c r="J57" s="35"/>
      <c r="K57" s="35"/>
      <c r="L57" s="36"/>
    </row>
    <row r="58" spans="2:12" ht="18.75" x14ac:dyDescent="0.25">
      <c r="B58" s="12" t="str">
        <f>Balance_Sheet!B13</f>
        <v>Net Worth</v>
      </c>
      <c r="C58" s="13">
        <f>Balance_Sheet!C13</f>
        <v>103563.47</v>
      </c>
      <c r="D58" s="13">
        <f>Balance_Sheet!D13</f>
        <v>178022.0925519249</v>
      </c>
      <c r="E58" s="13">
        <f>Balance_Sheet!E13</f>
        <v>246037.93921654287</v>
      </c>
      <c r="F58" s="13">
        <f>Balance_Sheet!F13</f>
        <v>313577.77530674246</v>
      </c>
      <c r="G58" s="13">
        <f>Balance_Sheet!G13</f>
        <v>329518.95283174899</v>
      </c>
      <c r="I58" s="37"/>
      <c r="J58" s="38"/>
      <c r="K58" s="38"/>
      <c r="L58" s="39"/>
    </row>
    <row r="59" spans="2:12" ht="19.5" thickBot="1" x14ac:dyDescent="0.3">
      <c r="B59" s="14" t="s">
        <v>165</v>
      </c>
      <c r="C59" s="15">
        <f>ROUND(C57/ (C58+ C58), 2)</f>
        <v>0.28000000000000003</v>
      </c>
      <c r="D59" s="15">
        <f t="shared" ref="D59:G59" si="12">ROUND(D57/ (D58+ D58), 2)</f>
        <v>0.21</v>
      </c>
      <c r="E59" s="15">
        <f t="shared" si="12"/>
        <v>0.14000000000000001</v>
      </c>
      <c r="F59" s="15">
        <f t="shared" si="12"/>
        <v>0.12</v>
      </c>
      <c r="G59" s="15">
        <f t="shared" si="12"/>
        <v>0.02</v>
      </c>
      <c r="I59" s="40"/>
      <c r="J59" s="41"/>
      <c r="K59" s="41"/>
      <c r="L59" s="42"/>
    </row>
    <row r="60" spans="2:12" ht="15.75" thickTop="1" x14ac:dyDescent="0.25"/>
    <row r="61" spans="2:12" ht="19.5" thickBot="1" x14ac:dyDescent="0.3">
      <c r="B61" s="43" t="s">
        <v>166</v>
      </c>
      <c r="C61" s="43"/>
      <c r="D61" s="43"/>
      <c r="E61" s="43"/>
      <c r="F61" s="43"/>
      <c r="G61" s="43"/>
    </row>
    <row r="62" spans="2:12" ht="19.5" thickTop="1" x14ac:dyDescent="0.25">
      <c r="B62" s="12" t="str">
        <f>Balance_Sheet!B21</f>
        <v>Total Debt</v>
      </c>
      <c r="C62" s="13">
        <f>Balance_Sheet!C21</f>
        <v>133857.82</v>
      </c>
      <c r="D62" s="13">
        <f>Balance_Sheet!D21</f>
        <v>168360.66999999998</v>
      </c>
      <c r="E62" s="13">
        <f>Balance_Sheet!E21</f>
        <v>201291.67</v>
      </c>
      <c r="F62" s="13">
        <f>Balance_Sheet!F21</f>
        <v>207124.35</v>
      </c>
      <c r="G62" s="13">
        <f>Balance_Sheet!G21</f>
        <v>220506.93000000002</v>
      </c>
      <c r="I62" s="34"/>
      <c r="J62" s="35"/>
      <c r="K62" s="35"/>
      <c r="L62" s="36"/>
    </row>
    <row r="63" spans="2:12" ht="18.75" x14ac:dyDescent="0.25">
      <c r="B63" s="12" t="str">
        <f>Balance_Sheet!B13</f>
        <v>Net Worth</v>
      </c>
      <c r="C63" s="13">
        <f>Balance_Sheet!C13</f>
        <v>103563.47</v>
      </c>
      <c r="D63" s="13">
        <f>Balance_Sheet!D13</f>
        <v>178022.0925519249</v>
      </c>
      <c r="E63" s="13">
        <f>Balance_Sheet!E13</f>
        <v>246037.93921654287</v>
      </c>
      <c r="F63" s="13">
        <f>Balance_Sheet!F13</f>
        <v>313577.77530674246</v>
      </c>
      <c r="G63" s="13">
        <f>Balance_Sheet!G13</f>
        <v>329518.95283174899</v>
      </c>
      <c r="I63" s="37"/>
      <c r="J63" s="38"/>
      <c r="K63" s="38"/>
      <c r="L63" s="39"/>
    </row>
    <row r="64" spans="2:12" ht="19.5" thickBot="1" x14ac:dyDescent="0.3">
      <c r="B64" s="14" t="s">
        <v>167</v>
      </c>
      <c r="C64" s="14">
        <f>ROUND(C62/ C63, 2)</f>
        <v>1.29</v>
      </c>
      <c r="D64" s="14">
        <f t="shared" ref="D64:G64" si="13">ROUND(D62/ D63, 2)</f>
        <v>0.95</v>
      </c>
      <c r="E64" s="14">
        <f t="shared" si="13"/>
        <v>0.82</v>
      </c>
      <c r="F64" s="14">
        <f t="shared" si="13"/>
        <v>0.66</v>
      </c>
      <c r="G64" s="14">
        <f t="shared" si="13"/>
        <v>0.67</v>
      </c>
      <c r="I64" s="40"/>
      <c r="J64" s="41"/>
      <c r="K64" s="41"/>
      <c r="L64" s="42"/>
    </row>
    <row r="65" spans="2:12" ht="15.75" thickTop="1" x14ac:dyDescent="0.25"/>
    <row r="66" spans="2:12" ht="19.5" thickBot="1" x14ac:dyDescent="0.3">
      <c r="B66" s="43" t="s">
        <v>168</v>
      </c>
      <c r="C66" s="43"/>
      <c r="D66" s="43"/>
      <c r="E66" s="43"/>
      <c r="F66" s="43"/>
      <c r="G66" s="43"/>
    </row>
    <row r="67" spans="2:12" ht="19.5" thickTop="1" x14ac:dyDescent="0.25">
      <c r="B67" s="12" t="str">
        <f>Balance_Sheet!B72</f>
        <v>Total Current Assets</v>
      </c>
      <c r="C67" s="13">
        <f>Balance_Sheet!C72</f>
        <v>61854.54</v>
      </c>
      <c r="D67" s="13">
        <f>Balance_Sheet!D72</f>
        <v>144881.0025519249</v>
      </c>
      <c r="E67" s="13">
        <f>Balance_Sheet!E72</f>
        <v>229389.0892165429</v>
      </c>
      <c r="F67" s="13">
        <f>Balance_Sheet!F72</f>
        <v>307042.42530674255</v>
      </c>
      <c r="G67" s="13">
        <f>Balance_Sheet!G72</f>
        <v>329249.75283174904</v>
      </c>
      <c r="I67" s="34"/>
      <c r="J67" s="35"/>
      <c r="K67" s="35"/>
      <c r="L67" s="36"/>
    </row>
    <row r="68" spans="2:12" ht="18.75" x14ac:dyDescent="0.25">
      <c r="B68" s="12" t="str">
        <f>Balance_Sheet!B33</f>
        <v>Total Current Liabilities</v>
      </c>
      <c r="C68" s="13">
        <f>Balance_Sheet!C33</f>
        <v>43992.61</v>
      </c>
      <c r="D68" s="13">
        <f>Balance_Sheet!D33</f>
        <v>64036.08</v>
      </c>
      <c r="E68" s="13">
        <f>Balance_Sheet!E33</f>
        <v>55037.42</v>
      </c>
      <c r="F68" s="13">
        <f>Balance_Sheet!F33</f>
        <v>62579.68</v>
      </c>
      <c r="G68" s="13">
        <f>Balance_Sheet!G33</f>
        <v>56875.65</v>
      </c>
      <c r="I68" s="37"/>
      <c r="J68" s="38"/>
      <c r="K68" s="38"/>
      <c r="L68" s="39"/>
    </row>
    <row r="69" spans="2:12" ht="19.5" thickBot="1" x14ac:dyDescent="0.3">
      <c r="B69" s="14" t="s">
        <v>169</v>
      </c>
      <c r="C69" s="14">
        <f>ROUND(C67/ C68, 2)</f>
        <v>1.41</v>
      </c>
      <c r="D69" s="14">
        <f t="shared" ref="D69:G69" si="14">ROUND(D67/ D68, 2)</f>
        <v>2.2599999999999998</v>
      </c>
      <c r="E69" s="14">
        <f t="shared" si="14"/>
        <v>4.17</v>
      </c>
      <c r="F69" s="14">
        <f t="shared" si="14"/>
        <v>4.91</v>
      </c>
      <c r="G69" s="14">
        <f t="shared" si="14"/>
        <v>5.79</v>
      </c>
      <c r="I69" s="40"/>
      <c r="J69" s="41"/>
      <c r="K69" s="41"/>
      <c r="L69" s="42"/>
    </row>
    <row r="70" spans="2:12" ht="15.75" thickTop="1" x14ac:dyDescent="0.25"/>
    <row r="71" spans="2:12" ht="18.75" x14ac:dyDescent="0.25">
      <c r="B71" s="43" t="s">
        <v>170</v>
      </c>
      <c r="C71" s="43"/>
      <c r="D71" s="43"/>
      <c r="E71" s="43"/>
      <c r="F71" s="43"/>
      <c r="G71" s="43"/>
    </row>
    <row r="72" spans="2:12" ht="19.5" thickBot="1" x14ac:dyDescent="0.3">
      <c r="B72" s="12" t="str">
        <f>Balance_Sheet!B72</f>
        <v>Total Current Assets</v>
      </c>
      <c r="C72" s="13">
        <f>Balance_Sheet!C72</f>
        <v>61854.54</v>
      </c>
      <c r="D72" s="13">
        <f>Balance_Sheet!D72</f>
        <v>144881.0025519249</v>
      </c>
      <c r="E72" s="13">
        <f>Balance_Sheet!E72</f>
        <v>229389.0892165429</v>
      </c>
      <c r="F72" s="13">
        <f>Balance_Sheet!F72</f>
        <v>307042.42530674255</v>
      </c>
      <c r="G72" s="13">
        <f>Balance_Sheet!G72</f>
        <v>329249.75283174904</v>
      </c>
    </row>
    <row r="73" spans="2:12" ht="19.5" thickTop="1" x14ac:dyDescent="0.25">
      <c r="B73" s="12" t="str">
        <f>Balance_Sheet!B66</f>
        <v>Inventories</v>
      </c>
      <c r="C73" s="13">
        <f>Balance_Sheet!C66</f>
        <v>6140.29</v>
      </c>
      <c r="D73" s="13">
        <f>Balance_Sheet!D66</f>
        <v>8251.6200000000008</v>
      </c>
      <c r="E73" s="13">
        <f>Balance_Sheet!E66</f>
        <v>11138.54</v>
      </c>
      <c r="F73" s="13">
        <f>Balance_Sheet!F66</f>
        <v>9809.6</v>
      </c>
      <c r="G73" s="13">
        <f>Balance_Sheet!G66</f>
        <v>10139.290000000001</v>
      </c>
      <c r="I73" s="34"/>
      <c r="J73" s="35"/>
      <c r="K73" s="35"/>
      <c r="L73" s="36"/>
    </row>
    <row r="74" spans="2:12" ht="18.75" x14ac:dyDescent="0.25">
      <c r="B74" s="12" t="str">
        <f>Balance_Sheet!B33</f>
        <v>Total Current Liabilities</v>
      </c>
      <c r="C74" s="13">
        <f>Balance_Sheet!C33</f>
        <v>43992.61</v>
      </c>
      <c r="D74" s="13">
        <f>Balance_Sheet!D33</f>
        <v>64036.08</v>
      </c>
      <c r="E74" s="13">
        <f>Balance_Sheet!E33</f>
        <v>55037.42</v>
      </c>
      <c r="F74" s="13">
        <f>Balance_Sheet!F33</f>
        <v>62579.68</v>
      </c>
      <c r="G74" s="13">
        <f>Balance_Sheet!G33</f>
        <v>56875.65</v>
      </c>
      <c r="I74" s="37"/>
      <c r="J74" s="38"/>
      <c r="K74" s="38"/>
      <c r="L74" s="39"/>
    </row>
    <row r="75" spans="2:12" ht="19.5" thickBot="1" x14ac:dyDescent="0.3">
      <c r="B75" s="14" t="s">
        <v>171</v>
      </c>
      <c r="C75" s="14">
        <f>ROUND((C72-C73)/ C74, 2)</f>
        <v>1.27</v>
      </c>
      <c r="D75" s="14">
        <f t="shared" ref="D75:G75" si="15">ROUND((D72-D73)/ D74, 2)</f>
        <v>2.13</v>
      </c>
      <c r="E75" s="14">
        <f t="shared" si="15"/>
        <v>3.97</v>
      </c>
      <c r="F75" s="14">
        <f t="shared" si="15"/>
        <v>4.75</v>
      </c>
      <c r="G75" s="14">
        <f t="shared" si="15"/>
        <v>5.61</v>
      </c>
      <c r="I75" s="40"/>
      <c r="J75" s="41"/>
      <c r="K75" s="41"/>
      <c r="L75" s="42"/>
    </row>
    <row r="76" spans="2:12" ht="15.75" thickTop="1" x14ac:dyDescent="0.25"/>
    <row r="77" spans="2:12" ht="19.5" thickBot="1" x14ac:dyDescent="0.3">
      <c r="B77" s="43" t="s">
        <v>172</v>
      </c>
      <c r="C77" s="43"/>
      <c r="D77" s="43"/>
      <c r="E77" s="43"/>
      <c r="F77" s="43"/>
      <c r="G77" s="43"/>
    </row>
    <row r="78" spans="2:12" ht="19.5" thickTop="1" x14ac:dyDescent="0.25">
      <c r="B78" s="12" t="str">
        <f>Income_Statement!B33</f>
        <v>PBIT</v>
      </c>
      <c r="C78" s="13">
        <f>Income_Statement!C33</f>
        <v>67871.058094654727</v>
      </c>
      <c r="D78" s="13">
        <f>Income_Statement!D33</f>
        <v>79271.732551924899</v>
      </c>
      <c r="E78" s="13">
        <f>Income_Statement!E33</f>
        <v>86076.146664617991</v>
      </c>
      <c r="F78" s="13">
        <f>Income_Statement!F33</f>
        <v>86425.646090199618</v>
      </c>
      <c r="G78" s="13">
        <f>Income_Statement!G33</f>
        <v>28817.777525006546</v>
      </c>
      <c r="I78" s="34"/>
      <c r="J78" s="35"/>
      <c r="K78" s="35"/>
      <c r="L78" s="36"/>
    </row>
    <row r="79" spans="2:12" ht="18.75" x14ac:dyDescent="0.25">
      <c r="B79" s="12" t="str">
        <f>Income_Statement!B35</f>
        <v>Finance Costs</v>
      </c>
      <c r="C79" s="13">
        <f>Income_Statement!C35</f>
        <v>4434.59</v>
      </c>
      <c r="D79" s="13">
        <f>Income_Statement!D35</f>
        <v>5604.65</v>
      </c>
      <c r="E79" s="13">
        <f>Income_Statement!E35</f>
        <v>8116.85</v>
      </c>
      <c r="F79" s="13">
        <f>Income_Statement!F35</f>
        <v>9224.14</v>
      </c>
      <c r="G79" s="13">
        <f>Income_Statement!G35</f>
        <v>9315.98</v>
      </c>
      <c r="I79" s="37"/>
      <c r="J79" s="38"/>
      <c r="K79" s="38"/>
      <c r="L79" s="39"/>
    </row>
    <row r="80" spans="2:12" ht="19.5" thickBot="1" x14ac:dyDescent="0.3">
      <c r="B80" s="14" t="s">
        <v>173</v>
      </c>
      <c r="C80" s="14">
        <f>ROUND(C78/C79, 2)</f>
        <v>15.3</v>
      </c>
      <c r="D80" s="14">
        <f t="shared" ref="D80:G80" si="16">ROUND(D78/D79, 2)</f>
        <v>14.14</v>
      </c>
      <c r="E80" s="14">
        <f t="shared" si="16"/>
        <v>10.6</v>
      </c>
      <c r="F80" s="14">
        <f t="shared" si="16"/>
        <v>9.3699999999999992</v>
      </c>
      <c r="G80" s="14">
        <f t="shared" si="16"/>
        <v>3.09</v>
      </c>
      <c r="I80" s="40"/>
      <c r="J80" s="41"/>
      <c r="K80" s="41"/>
      <c r="L80" s="42"/>
    </row>
    <row r="81" spans="2:12" ht="15.75" thickTop="1" x14ac:dyDescent="0.25"/>
    <row r="82" spans="2:12" ht="19.5" thickBot="1" x14ac:dyDescent="0.3">
      <c r="B82" s="43" t="s">
        <v>174</v>
      </c>
      <c r="C82" s="43"/>
      <c r="D82" s="43"/>
      <c r="E82" s="43"/>
      <c r="F82" s="43"/>
      <c r="G82" s="43"/>
    </row>
    <row r="83" spans="2:12" ht="19.5" thickTop="1" x14ac:dyDescent="0.25">
      <c r="B83" s="12" t="str">
        <f>Income_Statement!B17</f>
        <v>Cost Of Materials Consumed</v>
      </c>
      <c r="C83" s="13">
        <f>Income_Statement!C17</f>
        <v>0</v>
      </c>
      <c r="D83" s="13">
        <f>Income_Statement!D17</f>
        <v>0</v>
      </c>
      <c r="E83" s="13">
        <f>Income_Statement!E17</f>
        <v>0</v>
      </c>
      <c r="F83" s="13">
        <f>Income_Statement!F17</f>
        <v>0</v>
      </c>
      <c r="G83" s="13">
        <f>Income_Statement!G17</f>
        <v>0</v>
      </c>
      <c r="I83" s="34"/>
      <c r="J83" s="35"/>
      <c r="K83" s="35"/>
      <c r="L83" s="36"/>
    </row>
    <row r="84" spans="2:12" ht="18.75" x14ac:dyDescent="0.25">
      <c r="B84" s="12" t="str">
        <f>Income_Statement!B9</f>
        <v>Net Sales</v>
      </c>
      <c r="C84" s="13">
        <f>Income_Statement!C9</f>
        <v>86118.25</v>
      </c>
      <c r="D84" s="13">
        <f>Income_Statement!D9</f>
        <v>99615</v>
      </c>
      <c r="E84" s="13">
        <f>Income_Statement!E9</f>
        <v>109078.63</v>
      </c>
      <c r="F84" s="13">
        <f>Income_Statement!F9</f>
        <v>111267.88</v>
      </c>
      <c r="G84" s="13">
        <f>Income_Statement!G9</f>
        <v>132669.28</v>
      </c>
      <c r="I84" s="37"/>
      <c r="J84" s="38"/>
      <c r="K84" s="38"/>
      <c r="L84" s="39"/>
    </row>
    <row r="85" spans="2:12" ht="19.5" thickBot="1" x14ac:dyDescent="0.3">
      <c r="B85" s="14" t="s">
        <v>175</v>
      </c>
      <c r="C85" s="14">
        <f>ROUND(C83/C84, 2)</f>
        <v>0</v>
      </c>
      <c r="D85" s="14">
        <f t="shared" ref="D85:G85" si="17">ROUND(D83/D84, 2)</f>
        <v>0</v>
      </c>
      <c r="E85" s="14">
        <f t="shared" si="17"/>
        <v>0</v>
      </c>
      <c r="F85" s="14">
        <f t="shared" si="17"/>
        <v>0</v>
      </c>
      <c r="G85" s="14">
        <f t="shared" si="17"/>
        <v>0</v>
      </c>
      <c r="I85" s="40"/>
      <c r="J85" s="41"/>
      <c r="K85" s="41"/>
      <c r="L85" s="42"/>
    </row>
    <row r="86" spans="2:12" ht="15.75" thickTop="1" x14ac:dyDescent="0.25"/>
    <row r="87" spans="2:12" ht="19.5" thickBot="1" x14ac:dyDescent="0.3">
      <c r="B87" s="43" t="s">
        <v>176</v>
      </c>
      <c r="C87" s="43"/>
      <c r="D87" s="43"/>
      <c r="E87" s="43"/>
      <c r="F87" s="43"/>
      <c r="G87" s="43"/>
    </row>
    <row r="88" spans="2:12" ht="19.5" thickTop="1" x14ac:dyDescent="0.25">
      <c r="B88" s="12" t="str">
        <f>Balance_Sheet!B70</f>
        <v>Cash And Cash Equivalents</v>
      </c>
      <c r="C88" s="13">
        <f>Balance_Sheet!C70</f>
        <v>4387.6000000000004</v>
      </c>
      <c r="D88" s="13">
        <f>Balance_Sheet!D70</f>
        <v>78666.972551924904</v>
      </c>
      <c r="E88" s="13">
        <f>Balance_Sheet!E70</f>
        <v>149735.78921654291</v>
      </c>
      <c r="F88" s="13">
        <f>Balance_Sheet!F70</f>
        <v>223804.47530674253</v>
      </c>
      <c r="G88" s="13">
        <f>Balance_Sheet!G70</f>
        <v>243866.62283174906</v>
      </c>
      <c r="I88" s="34"/>
      <c r="J88" s="35"/>
      <c r="K88" s="35"/>
      <c r="L88" s="36"/>
    </row>
    <row r="89" spans="2:12" ht="18.75" x14ac:dyDescent="0.25">
      <c r="B89" s="12" t="str">
        <f>Income_Statement!B17</f>
        <v>Cost Of Materials Consumed</v>
      </c>
      <c r="C89" s="13">
        <f>Income_Statement!C17</f>
        <v>0</v>
      </c>
      <c r="D89" s="13">
        <f>Income_Statement!D17</f>
        <v>0</v>
      </c>
      <c r="E89" s="13">
        <f>Income_Statement!E17</f>
        <v>0</v>
      </c>
      <c r="F89" s="13">
        <f>Income_Statement!F17</f>
        <v>0</v>
      </c>
      <c r="G89" s="13">
        <f>Income_Statement!G17</f>
        <v>0</v>
      </c>
      <c r="I89" s="37"/>
      <c r="J89" s="38"/>
      <c r="K89" s="38"/>
      <c r="L89" s="39"/>
    </row>
    <row r="90" spans="2:12" ht="19.5" thickBot="1" x14ac:dyDescent="0.3">
      <c r="B90" s="14" t="s">
        <v>177</v>
      </c>
      <c r="C90" s="14" t="e">
        <f>ROUND(C88/C89*365, 2)</f>
        <v>#DIV/0!</v>
      </c>
      <c r="D90" s="14" t="e">
        <f t="shared" ref="D90:G90" si="18">ROUND(D88/D89*365, 2)</f>
        <v>#DIV/0!</v>
      </c>
      <c r="E90" s="14" t="e">
        <f t="shared" si="18"/>
        <v>#DIV/0!</v>
      </c>
      <c r="F90" s="14" t="e">
        <f t="shared" si="18"/>
        <v>#DIV/0!</v>
      </c>
      <c r="G90" s="14" t="e">
        <f t="shared" si="18"/>
        <v>#DIV/0!</v>
      </c>
      <c r="I90" s="40"/>
      <c r="J90" s="41"/>
      <c r="K90" s="41"/>
      <c r="L90" s="42"/>
    </row>
    <row r="91" spans="2:12" ht="15.75" thickTop="1" x14ac:dyDescent="0.25"/>
    <row r="92" spans="2:12" ht="19.5" thickBot="1" x14ac:dyDescent="0.3">
      <c r="B92" s="43" t="s">
        <v>178</v>
      </c>
      <c r="C92" s="43"/>
      <c r="D92" s="43"/>
      <c r="E92" s="43"/>
      <c r="F92" s="43"/>
      <c r="G92" s="43"/>
    </row>
    <row r="93" spans="2:12" ht="19.5" thickTop="1" x14ac:dyDescent="0.25">
      <c r="B93" s="12" t="str">
        <f>Balance_Sheet!B70</f>
        <v>Cash And Cash Equivalents</v>
      </c>
      <c r="C93" s="13">
        <f>Balance_Sheet!C70</f>
        <v>4387.6000000000004</v>
      </c>
      <c r="D93" s="13">
        <f>Balance_Sheet!D70</f>
        <v>78666.972551924904</v>
      </c>
      <c r="E93" s="13">
        <f>Balance_Sheet!E70</f>
        <v>149735.78921654291</v>
      </c>
      <c r="F93" s="13">
        <f>Balance_Sheet!F70</f>
        <v>223804.47530674253</v>
      </c>
      <c r="G93" s="13">
        <f>Balance_Sheet!G70</f>
        <v>243866.62283174906</v>
      </c>
      <c r="I93" s="34"/>
      <c r="J93" s="35"/>
      <c r="K93" s="35"/>
      <c r="L93" s="36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37"/>
      <c r="J94" s="38"/>
      <c r="K94" s="38"/>
      <c r="L94" s="39"/>
    </row>
    <row r="95" spans="2:12" ht="19.5" thickBot="1" x14ac:dyDescent="0.3">
      <c r="B95" s="14" t="s">
        <v>180</v>
      </c>
      <c r="C95" s="14">
        <f>ROUND(C93/C94*365, 2)</f>
        <v>4387.6000000000004</v>
      </c>
      <c r="D95" s="14">
        <f t="shared" ref="D95:G95" si="19">ROUND(D93/D94*365, 2)</f>
        <v>78666.97</v>
      </c>
      <c r="E95" s="14">
        <f t="shared" si="19"/>
        <v>149735.79</v>
      </c>
      <c r="F95" s="14">
        <f t="shared" si="19"/>
        <v>223804.48</v>
      </c>
      <c r="G95" s="14">
        <f t="shared" si="19"/>
        <v>243866.62</v>
      </c>
      <c r="I95" s="40"/>
      <c r="J95" s="41"/>
      <c r="K95" s="41"/>
      <c r="L95" s="42"/>
    </row>
    <row r="96" spans="2:12" ht="15.75" thickTop="1" x14ac:dyDescent="0.25"/>
    <row r="97" spans="2:12" ht="19.5" thickBot="1" x14ac:dyDescent="0.3">
      <c r="B97" s="43" t="s">
        <v>181</v>
      </c>
      <c r="C97" s="43"/>
      <c r="D97" s="43"/>
      <c r="E97" s="43"/>
      <c r="F97" s="43"/>
      <c r="G97" s="43"/>
    </row>
    <row r="98" spans="2:12" ht="19.5" thickTop="1" x14ac:dyDescent="0.25">
      <c r="B98" s="12" t="str">
        <f>Income_Statement!B5</f>
        <v>Gross Sales</v>
      </c>
      <c r="C98" s="13">
        <f>Income_Statement!C5</f>
        <v>86118.25</v>
      </c>
      <c r="D98" s="13">
        <f>Income_Statement!D5</f>
        <v>99615</v>
      </c>
      <c r="E98" s="13">
        <f>Income_Statement!E5</f>
        <v>109078.63</v>
      </c>
      <c r="F98" s="13">
        <f>Income_Statement!F5</f>
        <v>111267.88</v>
      </c>
      <c r="G98" s="13">
        <f>Income_Statement!G5</f>
        <v>132669.28</v>
      </c>
      <c r="I98" s="34"/>
      <c r="J98" s="35"/>
      <c r="K98" s="35"/>
      <c r="L98" s="36"/>
    </row>
    <row r="99" spans="2:12" ht="18.75" x14ac:dyDescent="0.25">
      <c r="B99" s="12" t="str">
        <f>Balance_Sheet!B74</f>
        <v>Total Assets</v>
      </c>
      <c r="C99" s="13">
        <f>Balance_Sheet!C74</f>
        <v>282361.67</v>
      </c>
      <c r="D99" s="13">
        <f>Balance_Sheet!D74</f>
        <v>413327.04255192488</v>
      </c>
      <c r="E99" s="13">
        <f>Balance_Sheet!E74</f>
        <v>505684.2192165429</v>
      </c>
      <c r="F99" s="13">
        <f>Balance_Sheet!F74</f>
        <v>586805.51530674251</v>
      </c>
      <c r="G99" s="13">
        <f>Balance_Sheet!G74</f>
        <v>610661.9428317491</v>
      </c>
      <c r="I99" s="37"/>
      <c r="J99" s="38"/>
      <c r="K99" s="38"/>
      <c r="L99" s="39"/>
    </row>
    <row r="100" spans="2:12" ht="19.5" thickBot="1" x14ac:dyDescent="0.3">
      <c r="B100" s="14" t="s">
        <v>182</v>
      </c>
      <c r="C100" s="14">
        <f>ROUND(C98/C99, 2)</f>
        <v>0.3</v>
      </c>
      <c r="D100" s="14">
        <f t="shared" ref="D100:G100" si="20">ROUND(D98/D99, 2)</f>
        <v>0.24</v>
      </c>
      <c r="E100" s="14">
        <f t="shared" si="20"/>
        <v>0.22</v>
      </c>
      <c r="F100" s="14">
        <f t="shared" si="20"/>
        <v>0.19</v>
      </c>
      <c r="G100" s="14">
        <f t="shared" si="20"/>
        <v>0.22</v>
      </c>
      <c r="I100" s="40"/>
      <c r="J100" s="41"/>
      <c r="K100" s="41"/>
      <c r="L100" s="42"/>
    </row>
    <row r="101" spans="2:12" ht="15.75" thickTop="1" x14ac:dyDescent="0.25"/>
    <row r="102" spans="2:12" ht="19.5" thickBot="1" x14ac:dyDescent="0.3">
      <c r="B102" s="43" t="s">
        <v>183</v>
      </c>
      <c r="C102" s="43"/>
      <c r="D102" s="43"/>
      <c r="E102" s="43"/>
      <c r="F102" s="43"/>
      <c r="G102" s="43"/>
    </row>
    <row r="103" spans="2:12" ht="19.5" thickTop="1" x14ac:dyDescent="0.25">
      <c r="B103" s="12" t="str">
        <f>Income_Statement!B5</f>
        <v>Gross Sales</v>
      </c>
      <c r="C103" s="13">
        <f>Income_Statement!C5</f>
        <v>86118.25</v>
      </c>
      <c r="D103" s="13">
        <f>Income_Statement!D5</f>
        <v>99615</v>
      </c>
      <c r="E103" s="13">
        <f>Income_Statement!E5</f>
        <v>109078.63</v>
      </c>
      <c r="F103" s="13">
        <f>Income_Statement!F5</f>
        <v>111267.88</v>
      </c>
      <c r="G103" s="13">
        <f>Income_Statement!G5</f>
        <v>132669.28</v>
      </c>
      <c r="I103" s="34"/>
      <c r="J103" s="35"/>
      <c r="K103" s="35"/>
      <c r="L103" s="36"/>
    </row>
    <row r="104" spans="2:12" ht="18.75" x14ac:dyDescent="0.25">
      <c r="B104" s="12" t="str">
        <f>Balance_Sheet!B66</f>
        <v>Inventories</v>
      </c>
      <c r="C104" s="13">
        <f>Balance_Sheet!C66</f>
        <v>6140.29</v>
      </c>
      <c r="D104" s="13">
        <f>Balance_Sheet!D66</f>
        <v>8251.6200000000008</v>
      </c>
      <c r="E104" s="13">
        <f>Balance_Sheet!E66</f>
        <v>11138.54</v>
      </c>
      <c r="F104" s="13">
        <f>Balance_Sheet!F66</f>
        <v>9809.6</v>
      </c>
      <c r="G104" s="13">
        <f>Balance_Sheet!G66</f>
        <v>10139.290000000001</v>
      </c>
      <c r="I104" s="37"/>
      <c r="J104" s="38"/>
      <c r="K104" s="38"/>
      <c r="L104" s="39"/>
    </row>
    <row r="105" spans="2:12" ht="19.5" thickBot="1" x14ac:dyDescent="0.3">
      <c r="B105" s="14" t="s">
        <v>184</v>
      </c>
      <c r="C105" s="14">
        <f>ROUND(C103/C104, 2)</f>
        <v>14.03</v>
      </c>
      <c r="D105" s="14">
        <f t="shared" ref="D105:G105" si="21">ROUND(D103/D104, 2)</f>
        <v>12.07</v>
      </c>
      <c r="E105" s="14">
        <f t="shared" si="21"/>
        <v>9.7899999999999991</v>
      </c>
      <c r="F105" s="14">
        <f t="shared" si="21"/>
        <v>11.34</v>
      </c>
      <c r="G105" s="14">
        <f t="shared" si="21"/>
        <v>13.08</v>
      </c>
      <c r="I105" s="40"/>
      <c r="J105" s="41"/>
      <c r="K105" s="41"/>
      <c r="L105" s="42"/>
    </row>
    <row r="106" spans="2:12" ht="15.75" thickTop="1" x14ac:dyDescent="0.25"/>
    <row r="107" spans="2:12" ht="19.5" thickBot="1" x14ac:dyDescent="0.3">
      <c r="B107" s="43" t="s">
        <v>185</v>
      </c>
      <c r="C107" s="43"/>
      <c r="D107" s="43"/>
      <c r="E107" s="43"/>
      <c r="F107" s="43"/>
      <c r="G107" s="43"/>
    </row>
    <row r="108" spans="2:12" ht="19.5" thickTop="1" x14ac:dyDescent="0.25">
      <c r="B108" s="12" t="str">
        <f>Income_Statement!B5</f>
        <v>Gross Sales</v>
      </c>
      <c r="C108" s="13">
        <f>Income_Statement!C5</f>
        <v>86118.25</v>
      </c>
      <c r="D108" s="13">
        <f>Income_Statement!D5</f>
        <v>99615</v>
      </c>
      <c r="E108" s="13">
        <f>Income_Statement!E5</f>
        <v>109078.63</v>
      </c>
      <c r="F108" s="13">
        <f>Income_Statement!F5</f>
        <v>111267.88</v>
      </c>
      <c r="G108" s="13">
        <f>Income_Statement!G5</f>
        <v>132669.28</v>
      </c>
      <c r="I108" s="34"/>
      <c r="J108" s="35"/>
      <c r="K108" s="35"/>
      <c r="L108" s="36"/>
    </row>
    <row r="109" spans="2:12" ht="18.75" x14ac:dyDescent="0.25">
      <c r="B109" s="12" t="str">
        <f>Balance_Sheet!B68</f>
        <v>Trade Receivables</v>
      </c>
      <c r="C109" s="13">
        <f>Balance_Sheet!C68</f>
        <v>8812.19</v>
      </c>
      <c r="D109" s="13">
        <f>Balance_Sheet!D68</f>
        <v>12363.52</v>
      </c>
      <c r="E109" s="13">
        <f>Balance_Sheet!E68</f>
        <v>20314.59</v>
      </c>
      <c r="F109" s="13">
        <f>Balance_Sheet!F68</f>
        <v>17718.07</v>
      </c>
      <c r="G109" s="13">
        <f>Balance_Sheet!G68</f>
        <v>27342.080000000002</v>
      </c>
      <c r="I109" s="37"/>
      <c r="J109" s="38"/>
      <c r="K109" s="38"/>
      <c r="L109" s="39"/>
    </row>
    <row r="110" spans="2:12" ht="19.5" thickBot="1" x14ac:dyDescent="0.3">
      <c r="B110" s="14" t="s">
        <v>186</v>
      </c>
      <c r="C110" s="14">
        <f>ROUND(C108/C109, 2)</f>
        <v>9.77</v>
      </c>
      <c r="D110" s="14">
        <f t="shared" ref="D110:G110" si="22">ROUND(D108/D109, 2)</f>
        <v>8.06</v>
      </c>
      <c r="E110" s="14">
        <f t="shared" si="22"/>
        <v>5.37</v>
      </c>
      <c r="F110" s="14">
        <f t="shared" si="22"/>
        <v>6.28</v>
      </c>
      <c r="G110" s="14">
        <f t="shared" si="22"/>
        <v>4.8499999999999996</v>
      </c>
      <c r="I110" s="40"/>
      <c r="J110" s="41"/>
      <c r="K110" s="41"/>
      <c r="L110" s="42"/>
    </row>
    <row r="111" spans="2:12" ht="15.75" thickTop="1" x14ac:dyDescent="0.25"/>
    <row r="112" spans="2:12" ht="19.5" thickBot="1" x14ac:dyDescent="0.3">
      <c r="B112" s="43" t="s">
        <v>187</v>
      </c>
      <c r="C112" s="43"/>
      <c r="D112" s="43"/>
      <c r="E112" s="43"/>
      <c r="F112" s="43"/>
      <c r="G112" s="43"/>
    </row>
    <row r="113" spans="2:12" ht="19.5" thickTop="1" x14ac:dyDescent="0.25">
      <c r="B113" s="12" t="str">
        <f>Income_Statement!B5</f>
        <v>Gross Sales</v>
      </c>
      <c r="C113" s="13">
        <f>Income_Statement!C5</f>
        <v>86118.25</v>
      </c>
      <c r="D113" s="13">
        <f>Income_Statement!D5</f>
        <v>99615</v>
      </c>
      <c r="E113" s="13">
        <f>Income_Statement!E5</f>
        <v>109078.63</v>
      </c>
      <c r="F113" s="13">
        <f>Income_Statement!F5</f>
        <v>111267.88</v>
      </c>
      <c r="G113" s="13">
        <f>Income_Statement!G5</f>
        <v>132669.28</v>
      </c>
      <c r="I113" s="34"/>
      <c r="J113" s="35"/>
      <c r="K113" s="35"/>
      <c r="L113" s="36"/>
    </row>
    <row r="114" spans="2:12" ht="18.75" x14ac:dyDescent="0.25">
      <c r="B114" s="12" t="str">
        <f>Balance_Sheet!B40</f>
        <v>Tangible Assets</v>
      </c>
      <c r="C114" s="13">
        <f>Balance_Sheet!C40</f>
        <v>127913.66</v>
      </c>
      <c r="D114" s="13">
        <f>Balance_Sheet!D40</f>
        <v>150555.42000000001</v>
      </c>
      <c r="E114" s="13">
        <f>Balance_Sheet!E40</f>
        <v>187176.46</v>
      </c>
      <c r="F114" s="13">
        <f>Balance_Sheet!F40</f>
        <v>202598.05</v>
      </c>
      <c r="G114" s="13">
        <f>Balance_Sheet!G40</f>
        <v>316049.28000000003</v>
      </c>
      <c r="I114" s="37"/>
      <c r="J114" s="38"/>
      <c r="K114" s="38"/>
      <c r="L114" s="39"/>
    </row>
    <row r="115" spans="2:12" ht="19.5" thickBot="1" x14ac:dyDescent="0.3">
      <c r="B115" s="14" t="s">
        <v>188</v>
      </c>
      <c r="C115" s="14">
        <f>ROUND(C113/C114, 2)</f>
        <v>0.67</v>
      </c>
      <c r="D115" s="14">
        <f t="shared" ref="D115:G115" si="23">ROUND(D113/D114, 2)</f>
        <v>0.66</v>
      </c>
      <c r="E115" s="14">
        <f t="shared" si="23"/>
        <v>0.57999999999999996</v>
      </c>
      <c r="F115" s="14">
        <f t="shared" si="23"/>
        <v>0.55000000000000004</v>
      </c>
      <c r="G115" s="14">
        <f t="shared" si="23"/>
        <v>0.42</v>
      </c>
      <c r="I115" s="40"/>
      <c r="J115" s="41"/>
      <c r="K115" s="41"/>
      <c r="L115" s="42"/>
    </row>
    <row r="116" spans="2:12" ht="15.75" thickTop="1" x14ac:dyDescent="0.25"/>
    <row r="117" spans="2:12" ht="19.5" thickBot="1" x14ac:dyDescent="0.3">
      <c r="B117" s="43" t="s">
        <v>189</v>
      </c>
      <c r="C117" s="43"/>
      <c r="D117" s="43"/>
      <c r="E117" s="43"/>
      <c r="F117" s="43"/>
      <c r="G117" s="43"/>
    </row>
    <row r="118" spans="2:12" ht="19.5" thickTop="1" x14ac:dyDescent="0.25">
      <c r="B118" s="12" t="str">
        <f>Income_Statement!B17</f>
        <v>Cost Of Materials Consumed</v>
      </c>
      <c r="C118" s="13">
        <f>Income_Statement!C17</f>
        <v>0</v>
      </c>
      <c r="D118" s="13">
        <f>Income_Statement!D17</f>
        <v>0</v>
      </c>
      <c r="E118" s="13">
        <f>Income_Statement!E17</f>
        <v>0</v>
      </c>
      <c r="F118" s="13">
        <f>Income_Statement!F17</f>
        <v>0</v>
      </c>
      <c r="G118" s="13">
        <f>Income_Statement!G17</f>
        <v>0</v>
      </c>
      <c r="I118" s="34"/>
      <c r="J118" s="35"/>
      <c r="K118" s="35"/>
      <c r="L118" s="36"/>
    </row>
    <row r="119" spans="2:12" ht="18.75" x14ac:dyDescent="0.25">
      <c r="B119" s="12" t="str">
        <f>Balance_Sheet!B33</f>
        <v>Total Current Liabilities</v>
      </c>
      <c r="C119" s="13">
        <f>Balance_Sheet!C33</f>
        <v>43992.61</v>
      </c>
      <c r="D119" s="13">
        <f>Balance_Sheet!D33</f>
        <v>64036.08</v>
      </c>
      <c r="E119" s="13">
        <f>Balance_Sheet!E33</f>
        <v>55037.42</v>
      </c>
      <c r="F119" s="13">
        <f>Balance_Sheet!F33</f>
        <v>62579.68</v>
      </c>
      <c r="G119" s="13">
        <f>Balance_Sheet!G33</f>
        <v>56875.65</v>
      </c>
      <c r="I119" s="37"/>
      <c r="J119" s="38"/>
      <c r="K119" s="38"/>
      <c r="L119" s="39"/>
    </row>
    <row r="120" spans="2:12" ht="19.5" thickBot="1" x14ac:dyDescent="0.3">
      <c r="B120" s="14" t="s">
        <v>190</v>
      </c>
      <c r="C120" s="14">
        <f>ROUND(C118/C119, 2)</f>
        <v>0</v>
      </c>
      <c r="D120" s="14">
        <f t="shared" ref="D120:G120" si="24">ROUND(D118/D119, 2)</f>
        <v>0</v>
      </c>
      <c r="E120" s="14">
        <f t="shared" si="24"/>
        <v>0</v>
      </c>
      <c r="F120" s="14">
        <f t="shared" si="24"/>
        <v>0</v>
      </c>
      <c r="G120" s="14">
        <f t="shared" si="24"/>
        <v>0</v>
      </c>
      <c r="I120" s="40"/>
      <c r="J120" s="41"/>
      <c r="K120" s="41"/>
      <c r="L120" s="42"/>
    </row>
    <row r="121" spans="2:12" ht="15.75" thickTop="1" x14ac:dyDescent="0.25"/>
    <row r="122" spans="2:12" ht="19.5" thickBot="1" x14ac:dyDescent="0.3">
      <c r="B122" s="43" t="s">
        <v>191</v>
      </c>
      <c r="C122" s="43"/>
      <c r="D122" s="43"/>
      <c r="E122" s="43"/>
      <c r="F122" s="43"/>
      <c r="G122" s="43"/>
    </row>
    <row r="123" spans="2:12" ht="19.5" thickTop="1" x14ac:dyDescent="0.25">
      <c r="B123" s="12" t="str">
        <f>Income_Statement!B5</f>
        <v>Gross Sales</v>
      </c>
      <c r="C123" s="13">
        <f>Income_Statement!C5</f>
        <v>86118.25</v>
      </c>
      <c r="D123" s="13">
        <f>Income_Statement!D5</f>
        <v>99615</v>
      </c>
      <c r="E123" s="13">
        <f>Income_Statement!E5</f>
        <v>109078.63</v>
      </c>
      <c r="F123" s="13">
        <f>Income_Statement!F5</f>
        <v>111267.88</v>
      </c>
      <c r="G123" s="13">
        <f>Income_Statement!G5</f>
        <v>132669.28</v>
      </c>
      <c r="I123" s="34"/>
      <c r="J123" s="35"/>
      <c r="K123" s="35"/>
      <c r="L123" s="36"/>
    </row>
    <row r="124" spans="2:12" ht="18.75" x14ac:dyDescent="0.25">
      <c r="B124" s="12" t="str">
        <f>Balance_Sheet!B66</f>
        <v>Inventories</v>
      </c>
      <c r="C124" s="13">
        <f>Balance_Sheet!C66</f>
        <v>6140.29</v>
      </c>
      <c r="D124" s="13">
        <f>Balance_Sheet!D66</f>
        <v>8251.6200000000008</v>
      </c>
      <c r="E124" s="13">
        <f>Balance_Sheet!E66</f>
        <v>11138.54</v>
      </c>
      <c r="F124" s="13">
        <f>Balance_Sheet!F66</f>
        <v>9809.6</v>
      </c>
      <c r="G124" s="13">
        <f>Balance_Sheet!G66</f>
        <v>10139.290000000001</v>
      </c>
      <c r="I124" s="37"/>
      <c r="J124" s="38"/>
      <c r="K124" s="38"/>
      <c r="L124" s="39"/>
    </row>
    <row r="125" spans="2:12" ht="19.5" thickBot="1" x14ac:dyDescent="0.3">
      <c r="B125" s="14" t="s">
        <v>192</v>
      </c>
      <c r="C125" s="14">
        <f>ROUND(365/C123*C124, 2)</f>
        <v>26.02</v>
      </c>
      <c r="D125" s="14">
        <f t="shared" ref="D125:G125" si="25">ROUND(365/D123*D124, 2)</f>
        <v>30.23</v>
      </c>
      <c r="E125" s="14">
        <f t="shared" si="25"/>
        <v>37.270000000000003</v>
      </c>
      <c r="F125" s="14">
        <f t="shared" si="25"/>
        <v>32.18</v>
      </c>
      <c r="G125" s="14">
        <f t="shared" si="25"/>
        <v>27.9</v>
      </c>
      <c r="I125" s="40"/>
      <c r="J125" s="41"/>
      <c r="K125" s="41"/>
      <c r="L125" s="42"/>
    </row>
    <row r="126" spans="2:12" ht="15.75" thickTop="1" x14ac:dyDescent="0.25"/>
    <row r="127" spans="2:12" ht="19.5" thickBot="1" x14ac:dyDescent="0.3">
      <c r="B127" s="43" t="s">
        <v>193</v>
      </c>
      <c r="C127" s="43"/>
      <c r="D127" s="43"/>
      <c r="E127" s="43"/>
      <c r="F127" s="43"/>
      <c r="G127" s="43"/>
    </row>
    <row r="128" spans="2:12" ht="19.5" thickTop="1" x14ac:dyDescent="0.25">
      <c r="B128" s="12" t="str">
        <f>Income_Statement!B17</f>
        <v>Cost Of Materials Consumed</v>
      </c>
      <c r="C128" s="13">
        <f>Income_Statement!C17</f>
        <v>0</v>
      </c>
      <c r="D128" s="13">
        <f>Income_Statement!D17</f>
        <v>0</v>
      </c>
      <c r="E128" s="13">
        <f>Income_Statement!E17</f>
        <v>0</v>
      </c>
      <c r="F128" s="13">
        <f>Income_Statement!F17</f>
        <v>0</v>
      </c>
      <c r="G128" s="13">
        <f>Income_Statement!G17</f>
        <v>0</v>
      </c>
      <c r="I128" s="34"/>
      <c r="J128" s="35"/>
      <c r="K128" s="35"/>
      <c r="L128" s="36"/>
    </row>
    <row r="129" spans="2:12" ht="18.75" x14ac:dyDescent="0.25">
      <c r="B129" s="12" t="str">
        <f>Balance_Sheet!B33</f>
        <v>Total Current Liabilities</v>
      </c>
      <c r="C129" s="13">
        <f>Balance_Sheet!C33</f>
        <v>43992.61</v>
      </c>
      <c r="D129" s="13">
        <f>Balance_Sheet!D33</f>
        <v>64036.08</v>
      </c>
      <c r="E129" s="13">
        <f>Balance_Sheet!E33</f>
        <v>55037.42</v>
      </c>
      <c r="F129" s="13">
        <f>Balance_Sheet!F33</f>
        <v>62579.68</v>
      </c>
      <c r="G129" s="13">
        <f>Balance_Sheet!G33</f>
        <v>56875.65</v>
      </c>
      <c r="I129" s="37"/>
      <c r="J129" s="38"/>
      <c r="K129" s="38"/>
      <c r="L129" s="39"/>
    </row>
    <row r="130" spans="2:12" ht="19.5" thickBot="1" x14ac:dyDescent="0.3">
      <c r="B130" s="14" t="s">
        <v>194</v>
      </c>
      <c r="C130" s="14" t="e">
        <f>ROUND(365/C128*C129, 2)</f>
        <v>#DIV/0!</v>
      </c>
      <c r="D130" s="14" t="e">
        <f t="shared" ref="D130:G130" si="26">ROUND(365/D128*D129, 2)</f>
        <v>#DIV/0!</v>
      </c>
      <c r="E130" s="14" t="e">
        <f t="shared" si="26"/>
        <v>#DIV/0!</v>
      </c>
      <c r="F130" s="14" t="e">
        <f t="shared" si="26"/>
        <v>#DIV/0!</v>
      </c>
      <c r="G130" s="14" t="e">
        <f t="shared" si="26"/>
        <v>#DIV/0!</v>
      </c>
      <c r="I130" s="40"/>
      <c r="J130" s="41"/>
      <c r="K130" s="41"/>
      <c r="L130" s="42"/>
    </row>
    <row r="131" spans="2:12" ht="15.75" thickTop="1" x14ac:dyDescent="0.25"/>
    <row r="132" spans="2:12" ht="19.5" thickBot="1" x14ac:dyDescent="0.3">
      <c r="B132" s="43" t="s">
        <v>195</v>
      </c>
      <c r="C132" s="43"/>
      <c r="D132" s="43"/>
      <c r="E132" s="43"/>
      <c r="F132" s="43"/>
      <c r="G132" s="43"/>
    </row>
    <row r="133" spans="2:12" ht="19.5" thickTop="1" x14ac:dyDescent="0.25">
      <c r="B133" s="12" t="str">
        <f>Income_Statement!B5</f>
        <v>Gross Sales</v>
      </c>
      <c r="C133" s="13">
        <f>Income_Statement!C5</f>
        <v>86118.25</v>
      </c>
      <c r="D133" s="13">
        <f>Income_Statement!D5</f>
        <v>99615</v>
      </c>
      <c r="E133" s="13">
        <f>Income_Statement!E5</f>
        <v>109078.63</v>
      </c>
      <c r="F133" s="13">
        <f>Income_Statement!F5</f>
        <v>111267.88</v>
      </c>
      <c r="G133" s="13">
        <f>Income_Statement!G5</f>
        <v>132669.28</v>
      </c>
      <c r="I133" s="34"/>
      <c r="J133" s="35"/>
      <c r="K133" s="35"/>
      <c r="L133" s="36"/>
    </row>
    <row r="134" spans="2:12" ht="18.75" x14ac:dyDescent="0.25">
      <c r="B134" s="12" t="str">
        <f>Balance_Sheet!B68</f>
        <v>Trade Receivables</v>
      </c>
      <c r="C134" s="13">
        <f>Balance_Sheet!C68</f>
        <v>8812.19</v>
      </c>
      <c r="D134" s="13">
        <f>Balance_Sheet!D68</f>
        <v>12363.52</v>
      </c>
      <c r="E134" s="13">
        <f>Balance_Sheet!E68</f>
        <v>20314.59</v>
      </c>
      <c r="F134" s="13">
        <f>Balance_Sheet!F68</f>
        <v>17718.07</v>
      </c>
      <c r="G134" s="13">
        <f>Balance_Sheet!G68</f>
        <v>27342.080000000002</v>
      </c>
      <c r="I134" s="37"/>
      <c r="J134" s="38"/>
      <c r="K134" s="38"/>
      <c r="L134" s="39"/>
    </row>
    <row r="135" spans="2:12" ht="19.5" thickBot="1" x14ac:dyDescent="0.3">
      <c r="B135" s="14" t="s">
        <v>196</v>
      </c>
      <c r="C135" s="14">
        <f>ROUND(365/C133*C134, 2)</f>
        <v>37.35</v>
      </c>
      <c r="D135" s="14">
        <f t="shared" ref="D135:G135" si="27">ROUND(365/D133*D134, 2)</f>
        <v>45.3</v>
      </c>
      <c r="E135" s="14">
        <f t="shared" si="27"/>
        <v>67.98</v>
      </c>
      <c r="F135" s="14">
        <f t="shared" si="27"/>
        <v>58.12</v>
      </c>
      <c r="G135" s="14">
        <f t="shared" si="27"/>
        <v>75.22</v>
      </c>
      <c r="I135" s="40"/>
      <c r="J135" s="41"/>
      <c r="K135" s="41"/>
      <c r="L135" s="42"/>
    </row>
    <row r="136" spans="2:12" ht="15.75" thickTop="1" x14ac:dyDescent="0.25"/>
    <row r="137" spans="2:12" ht="18.75" x14ac:dyDescent="0.25">
      <c r="B137" s="43" t="s">
        <v>197</v>
      </c>
      <c r="C137" s="43"/>
      <c r="D137" s="43"/>
      <c r="E137" s="43"/>
      <c r="F137" s="43"/>
      <c r="G137" s="43"/>
    </row>
    <row r="138" spans="2:12" ht="18.75" x14ac:dyDescent="0.25">
      <c r="B138" s="12" t="str">
        <f>Income_Statement!B5</f>
        <v>Gross Sales</v>
      </c>
      <c r="C138" s="13">
        <f>Income_Statement!C5</f>
        <v>86118.25</v>
      </c>
      <c r="D138" s="13">
        <f>Income_Statement!D5</f>
        <v>99615</v>
      </c>
      <c r="E138" s="13">
        <f>Income_Statement!E5</f>
        <v>109078.63</v>
      </c>
      <c r="F138" s="13">
        <f>Income_Statement!F5</f>
        <v>111267.88</v>
      </c>
      <c r="G138" s="13">
        <f>Income_Statement!G5</f>
        <v>132669.28</v>
      </c>
    </row>
    <row r="139" spans="2:12" ht="18.75" x14ac:dyDescent="0.25">
      <c r="B139" s="12" t="str">
        <f>Balance_Sheet!B66</f>
        <v>Inventories</v>
      </c>
      <c r="C139" s="13">
        <f>Balance_Sheet!C66</f>
        <v>6140.29</v>
      </c>
      <c r="D139" s="13">
        <f>Balance_Sheet!D66</f>
        <v>8251.6200000000008</v>
      </c>
      <c r="E139" s="13">
        <f>Balance_Sheet!E66</f>
        <v>11138.54</v>
      </c>
      <c r="F139" s="13">
        <f>Balance_Sheet!F66</f>
        <v>9809.6</v>
      </c>
      <c r="G139" s="13">
        <f>Balance_Sheet!G66</f>
        <v>10139.290000000001</v>
      </c>
    </row>
    <row r="140" spans="2:12" ht="18.75" x14ac:dyDescent="0.25">
      <c r="B140" s="12" t="s">
        <v>192</v>
      </c>
      <c r="C140" s="13">
        <f>ROUND(365/C138*C139, 2)</f>
        <v>26.02</v>
      </c>
      <c r="D140" s="13">
        <f t="shared" ref="D140:G140" si="28">ROUND(365/D138*D139, 2)</f>
        <v>30.23</v>
      </c>
      <c r="E140" s="13">
        <f t="shared" si="28"/>
        <v>37.270000000000003</v>
      </c>
      <c r="F140" s="13">
        <f t="shared" si="28"/>
        <v>32.18</v>
      </c>
      <c r="G140" s="13">
        <f t="shared" si="28"/>
        <v>27.9</v>
      </c>
    </row>
    <row r="141" spans="2:12" ht="19.5" thickBot="1" x14ac:dyDescent="0.3">
      <c r="B141" s="12" t="str">
        <f>Income_Statement!B17</f>
        <v>Cost Of Materials Consumed</v>
      </c>
      <c r="C141" s="13">
        <f>Income_Statement!C17</f>
        <v>0</v>
      </c>
      <c r="D141" s="13">
        <f>Income_Statement!D17</f>
        <v>0</v>
      </c>
      <c r="E141" s="13">
        <f>Income_Statement!E17</f>
        <v>0</v>
      </c>
      <c r="F141" s="13">
        <f>Income_Statement!F17</f>
        <v>0</v>
      </c>
      <c r="G141" s="13">
        <f>Income_Statement!G17</f>
        <v>0</v>
      </c>
    </row>
    <row r="142" spans="2:12" ht="19.5" thickTop="1" x14ac:dyDescent="0.25">
      <c r="B142" s="12" t="str">
        <f>Balance_Sheet!B33</f>
        <v>Total Current Liabilities</v>
      </c>
      <c r="C142" s="13">
        <f>Balance_Sheet!C33</f>
        <v>43992.61</v>
      </c>
      <c r="D142" s="13">
        <f>Balance_Sheet!D33</f>
        <v>64036.08</v>
      </c>
      <c r="E142" s="13">
        <f>Balance_Sheet!E33</f>
        <v>55037.42</v>
      </c>
      <c r="F142" s="13">
        <f>Balance_Sheet!F33</f>
        <v>62579.68</v>
      </c>
      <c r="G142" s="13">
        <f>Balance_Sheet!G33</f>
        <v>56875.65</v>
      </c>
      <c r="I142" s="34"/>
      <c r="J142" s="35"/>
      <c r="K142" s="35"/>
      <c r="L142" s="36"/>
    </row>
    <row r="143" spans="2:12" ht="18.75" x14ac:dyDescent="0.25">
      <c r="B143" s="12" t="s">
        <v>194</v>
      </c>
      <c r="C143" s="13" t="e">
        <f>ROUND(365/C141*C142, 2)</f>
        <v>#DIV/0!</v>
      </c>
      <c r="D143" s="13" t="e">
        <f t="shared" ref="D143:G143" si="29">ROUND(365/D141*D142, 2)</f>
        <v>#DIV/0!</v>
      </c>
      <c r="E143" s="13" t="e">
        <f t="shared" si="29"/>
        <v>#DIV/0!</v>
      </c>
      <c r="F143" s="13" t="e">
        <f t="shared" si="29"/>
        <v>#DIV/0!</v>
      </c>
      <c r="G143" s="13" t="e">
        <f t="shared" si="29"/>
        <v>#DIV/0!</v>
      </c>
      <c r="I143" s="37"/>
      <c r="J143" s="38"/>
      <c r="K143" s="38"/>
      <c r="L143" s="39"/>
    </row>
    <row r="144" spans="2:12" ht="19.5" thickBot="1" x14ac:dyDescent="0.3">
      <c r="B144" s="14" t="s">
        <v>198</v>
      </c>
      <c r="C144" s="16" t="e">
        <f>ROUND(C143+C140, 2)</f>
        <v>#DIV/0!</v>
      </c>
      <c r="D144" s="16" t="e">
        <f t="shared" ref="D144:G144" si="30">ROUND(D143+D140, 2)</f>
        <v>#DIV/0!</v>
      </c>
      <c r="E144" s="16" t="e">
        <f t="shared" si="30"/>
        <v>#DIV/0!</v>
      </c>
      <c r="F144" s="16" t="e">
        <f t="shared" si="30"/>
        <v>#DIV/0!</v>
      </c>
      <c r="G144" s="16" t="e">
        <f t="shared" si="30"/>
        <v>#DIV/0!</v>
      </c>
      <c r="I144" s="40"/>
      <c r="J144" s="41"/>
      <c r="K144" s="41"/>
      <c r="L144" s="42"/>
    </row>
    <row r="145" spans="2:12" ht="15.75" thickTop="1" x14ac:dyDescent="0.25"/>
    <row r="146" spans="2:12" ht="18.75" x14ac:dyDescent="0.25">
      <c r="B146" s="43" t="s">
        <v>199</v>
      </c>
      <c r="C146" s="43"/>
      <c r="D146" s="43"/>
      <c r="E146" s="43"/>
      <c r="F146" s="43"/>
      <c r="G146" s="43"/>
    </row>
    <row r="147" spans="2:12" ht="18.75" x14ac:dyDescent="0.25">
      <c r="B147" s="12" t="str">
        <f>Income_Statement!B5</f>
        <v>Gross Sales</v>
      </c>
      <c r="C147" s="13">
        <f>Income_Statement!C5</f>
        <v>86118.25</v>
      </c>
      <c r="D147" s="13">
        <f>Income_Statement!D5</f>
        <v>99615</v>
      </c>
      <c r="E147" s="13">
        <f>Income_Statement!E5</f>
        <v>109078.63</v>
      </c>
      <c r="F147" s="13">
        <f>Income_Statement!F5</f>
        <v>111267.88</v>
      </c>
      <c r="G147" s="13">
        <f>Income_Statement!G5</f>
        <v>132669.28</v>
      </c>
    </row>
    <row r="148" spans="2:12" ht="18.75" x14ac:dyDescent="0.25">
      <c r="B148" s="12" t="str">
        <f>Balance_Sheet!B66</f>
        <v>Inventories</v>
      </c>
      <c r="C148" s="13">
        <f>Balance_Sheet!C66</f>
        <v>6140.29</v>
      </c>
      <c r="D148" s="13">
        <f>Balance_Sheet!D66</f>
        <v>8251.6200000000008</v>
      </c>
      <c r="E148" s="13">
        <f>Balance_Sheet!E66</f>
        <v>11138.54</v>
      </c>
      <c r="F148" s="13">
        <f>Balance_Sheet!F66</f>
        <v>9809.6</v>
      </c>
      <c r="G148" s="13">
        <f>Balance_Sheet!G66</f>
        <v>10139.290000000001</v>
      </c>
    </row>
    <row r="149" spans="2:12" ht="18.75" x14ac:dyDescent="0.25">
      <c r="B149" s="12" t="s">
        <v>192</v>
      </c>
      <c r="C149" s="13">
        <f>ROUND(365/C147*C148, 2)</f>
        <v>26.02</v>
      </c>
      <c r="D149" s="13">
        <f t="shared" ref="D149:G149" si="31">ROUND(365/D147*D148, 2)</f>
        <v>30.23</v>
      </c>
      <c r="E149" s="13">
        <f t="shared" si="31"/>
        <v>37.270000000000003</v>
      </c>
      <c r="F149" s="13">
        <f t="shared" si="31"/>
        <v>32.18</v>
      </c>
      <c r="G149" s="13">
        <f t="shared" si="31"/>
        <v>27.9</v>
      </c>
    </row>
    <row r="150" spans="2:12" ht="18.75" x14ac:dyDescent="0.25">
      <c r="B150" s="12" t="str">
        <f>Income_Statement!B17</f>
        <v>Cost Of Materials Consumed</v>
      </c>
      <c r="C150" s="13">
        <f>Income_Statement!C17</f>
        <v>0</v>
      </c>
      <c r="D150" s="13">
        <f>Income_Statement!D17</f>
        <v>0</v>
      </c>
      <c r="E150" s="13">
        <f>Income_Statement!E17</f>
        <v>0</v>
      </c>
      <c r="F150" s="13">
        <f>Income_Statement!F17</f>
        <v>0</v>
      </c>
      <c r="G150" s="13">
        <f>Income_Statement!G17</f>
        <v>0</v>
      </c>
    </row>
    <row r="151" spans="2:12" ht="18.75" x14ac:dyDescent="0.25">
      <c r="B151" s="12" t="str">
        <f>Balance_Sheet!B33</f>
        <v>Total Current Liabilities</v>
      </c>
      <c r="C151" s="13">
        <f>Balance_Sheet!C33</f>
        <v>43992.61</v>
      </c>
      <c r="D151" s="13">
        <f>Balance_Sheet!D33</f>
        <v>64036.08</v>
      </c>
      <c r="E151" s="13">
        <f>Balance_Sheet!E33</f>
        <v>55037.42</v>
      </c>
      <c r="F151" s="13">
        <f>Balance_Sheet!F33</f>
        <v>62579.68</v>
      </c>
      <c r="G151" s="13">
        <f>Balance_Sheet!G33</f>
        <v>56875.65</v>
      </c>
    </row>
    <row r="152" spans="2:12" ht="18.75" x14ac:dyDescent="0.25">
      <c r="B152" s="12" t="s">
        <v>194</v>
      </c>
      <c r="C152" s="13" t="e">
        <f>ROUND(365/C150*C151, 2)</f>
        <v>#DIV/0!</v>
      </c>
      <c r="D152" s="13" t="e">
        <f t="shared" ref="D152:G152" si="32">ROUND(365/D150*D151, 2)</f>
        <v>#DIV/0!</v>
      </c>
      <c r="E152" s="13" t="e">
        <f t="shared" si="32"/>
        <v>#DIV/0!</v>
      </c>
      <c r="F152" s="13" t="e">
        <f t="shared" si="32"/>
        <v>#DIV/0!</v>
      </c>
      <c r="G152" s="13" t="e">
        <f t="shared" si="32"/>
        <v>#DIV/0!</v>
      </c>
    </row>
    <row r="153" spans="2:12" ht="18.75" x14ac:dyDescent="0.25">
      <c r="B153" s="12" t="s">
        <v>200</v>
      </c>
      <c r="C153" s="13" t="e">
        <f>ROUND(C152+C149, 2)</f>
        <v>#DIV/0!</v>
      </c>
      <c r="D153" s="13" t="e">
        <f t="shared" ref="D153:G153" si="33">ROUND(D152+D149, 2)</f>
        <v>#DIV/0!</v>
      </c>
      <c r="E153" s="13" t="e">
        <f t="shared" si="33"/>
        <v>#DIV/0!</v>
      </c>
      <c r="F153" s="13" t="e">
        <f t="shared" si="33"/>
        <v>#DIV/0!</v>
      </c>
      <c r="G153" s="13" t="e">
        <f t="shared" si="33"/>
        <v>#DIV/0!</v>
      </c>
    </row>
    <row r="154" spans="2:12" ht="19.5" thickBot="1" x14ac:dyDescent="0.3">
      <c r="B154" s="12" t="str">
        <f>Income_Statement!B17</f>
        <v>Cost Of Materials Consumed</v>
      </c>
      <c r="C154" s="13">
        <f>Income_Statement!C17</f>
        <v>0</v>
      </c>
      <c r="D154" s="13">
        <f>Income_Statement!D17</f>
        <v>0</v>
      </c>
      <c r="E154" s="13">
        <f>Income_Statement!E17</f>
        <v>0</v>
      </c>
      <c r="F154" s="13">
        <f>Income_Statement!F17</f>
        <v>0</v>
      </c>
      <c r="G154" s="13">
        <f>Income_Statement!G17</f>
        <v>0</v>
      </c>
    </row>
    <row r="155" spans="2:12" ht="19.5" thickTop="1" x14ac:dyDescent="0.25">
      <c r="B155" s="12" t="str">
        <f>Balance_Sheet!B33</f>
        <v>Total Current Liabilities</v>
      </c>
      <c r="C155" s="13">
        <f>Balance_Sheet!C33</f>
        <v>43992.61</v>
      </c>
      <c r="D155" s="13">
        <f>Balance_Sheet!D33</f>
        <v>64036.08</v>
      </c>
      <c r="E155" s="13">
        <f>Balance_Sheet!E33</f>
        <v>55037.42</v>
      </c>
      <c r="F155" s="13">
        <f>Balance_Sheet!F33</f>
        <v>62579.68</v>
      </c>
      <c r="G155" s="13">
        <f>Balance_Sheet!G33</f>
        <v>56875.65</v>
      </c>
      <c r="I155" s="34"/>
      <c r="J155" s="35"/>
      <c r="K155" s="35"/>
      <c r="L155" s="36"/>
    </row>
    <row r="156" spans="2:12" ht="18.75" x14ac:dyDescent="0.25">
      <c r="B156" s="12" t="s">
        <v>194</v>
      </c>
      <c r="C156" s="13" t="e">
        <f>ROUND(365/C154*C155, 2)</f>
        <v>#DIV/0!</v>
      </c>
      <c r="D156" s="13" t="e">
        <f t="shared" ref="D156:G156" si="34">ROUND(365/D154*D155, 2)</f>
        <v>#DIV/0!</v>
      </c>
      <c r="E156" s="13" t="e">
        <f t="shared" si="34"/>
        <v>#DIV/0!</v>
      </c>
      <c r="F156" s="13" t="e">
        <f t="shared" si="34"/>
        <v>#DIV/0!</v>
      </c>
      <c r="G156" s="13" t="e">
        <f t="shared" si="34"/>
        <v>#DIV/0!</v>
      </c>
      <c r="I156" s="37"/>
      <c r="J156" s="38"/>
      <c r="K156" s="38"/>
      <c r="L156" s="39"/>
    </row>
    <row r="157" spans="2:12" ht="19.5" thickBot="1" x14ac:dyDescent="0.3">
      <c r="B157" s="14" t="s">
        <v>201</v>
      </c>
      <c r="C157" s="16" t="e">
        <f>ROUND(C156-C153, 2)</f>
        <v>#DIV/0!</v>
      </c>
      <c r="D157" s="16" t="e">
        <f t="shared" ref="D157:G157" si="35">ROUND(D156-D153, 2)</f>
        <v>#DIV/0!</v>
      </c>
      <c r="E157" s="16" t="e">
        <f t="shared" si="35"/>
        <v>#DIV/0!</v>
      </c>
      <c r="F157" s="16" t="e">
        <f t="shared" si="35"/>
        <v>#DIV/0!</v>
      </c>
      <c r="G157" s="16" t="e">
        <f t="shared" si="35"/>
        <v>#DIV/0!</v>
      </c>
      <c r="I157" s="40"/>
      <c r="J157" s="41"/>
      <c r="K157" s="41"/>
      <c r="L157" s="42"/>
    </row>
    <row r="158" spans="2:12" ht="15.75" thickTop="1" x14ac:dyDescent="0.25"/>
  </sheetData>
  <mergeCells count="54">
    <mergeCell ref="I16:L18"/>
    <mergeCell ref="B5:G5"/>
    <mergeCell ref="I6:L8"/>
    <mergeCell ref="B10:G10"/>
    <mergeCell ref="I11:L13"/>
    <mergeCell ref="B15:G15"/>
    <mergeCell ref="I52:L54"/>
    <mergeCell ref="B20:G20"/>
    <mergeCell ref="I25:L27"/>
    <mergeCell ref="B29:G29"/>
    <mergeCell ref="I31:L33"/>
    <mergeCell ref="B35:G35"/>
    <mergeCell ref="I36:L38"/>
    <mergeCell ref="B40:G40"/>
    <mergeCell ref="I41:L43"/>
    <mergeCell ref="B45:G45"/>
    <mergeCell ref="I46:L48"/>
    <mergeCell ref="B50:G50"/>
    <mergeCell ref="I83:L85"/>
    <mergeCell ref="B56:G56"/>
    <mergeCell ref="I57:L59"/>
    <mergeCell ref="B61:G61"/>
    <mergeCell ref="I62:L64"/>
    <mergeCell ref="B66:G66"/>
    <mergeCell ref="I67:L69"/>
    <mergeCell ref="B71:G71"/>
    <mergeCell ref="I73:L75"/>
    <mergeCell ref="B77:G77"/>
    <mergeCell ref="I78:L80"/>
    <mergeCell ref="B82:G82"/>
    <mergeCell ref="I113:L115"/>
    <mergeCell ref="B87:G87"/>
    <mergeCell ref="I88:L90"/>
    <mergeCell ref="B92:G92"/>
    <mergeCell ref="I93:L95"/>
    <mergeCell ref="B97:G97"/>
    <mergeCell ref="I98:L100"/>
    <mergeCell ref="B102:G102"/>
    <mergeCell ref="I103:L105"/>
    <mergeCell ref="B107:G107"/>
    <mergeCell ref="I108:L110"/>
    <mergeCell ref="B112:G112"/>
    <mergeCell ref="I155:L157"/>
    <mergeCell ref="B117:G117"/>
    <mergeCell ref="I118:L120"/>
    <mergeCell ref="B122:G122"/>
    <mergeCell ref="I123:L125"/>
    <mergeCell ref="B127:G127"/>
    <mergeCell ref="I128:L130"/>
    <mergeCell ref="B132:G132"/>
    <mergeCell ref="I133:L135"/>
    <mergeCell ref="B137:G137"/>
    <mergeCell ref="I142:L144"/>
    <mergeCell ref="B146:G146"/>
  </mergeCells>
  <hyperlinks>
    <hyperlink ref="F1" location="Index_Data!A1" tooltip="Hi click here To return Index page" display="Index_Data!A1" xr:uid="{AF9D1B29-F7B2-4F4C-B68A-07A21C1966D4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E1E34B4D-A0E0-4F4B-B40F-A83DCAB7A37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  <x14:sparklineGroup type="column" displayEmptyCellsAs="gap" high="1" xr2:uid="{E7A08C8E-B6B2-49D1-810E-C34706B0623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BC166F56-2329-4651-A606-D0F5D5160C9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659A03A2-3F99-47AE-9031-C517C7DCAA7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03EF8470-174A-460A-B841-B18E6296C2D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FFF067A8-F48B-40A9-86EA-31D3B28BF1F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0A175C96-8D94-4CC4-819D-0E10E6CE1F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5080D5DD-8C21-4296-AD18-90B27601DFF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8894164F-CB88-40C8-8A13-95CD2160F14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4ECDBE4D-A49D-4ABB-8F44-E7CF8FED9D0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6C6A7551-090E-48E0-9B14-C371762E9ED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EB2C31E2-34CB-4CB2-874B-1D3DA4DFF84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62A84344-9B7C-44E8-9FB6-D9260BF2610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54DE4DD4-B4F4-4CB1-A478-53847D2FF73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4AA0E22B-03EB-42AA-89CC-3A5BE55C38B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457D4582-F10F-4724-9BAE-06747C3B4FB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3DA722BB-114A-4748-9B74-043CB2F6EBB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46EB1974-D836-4ACA-B63B-7621DC5747B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A10CDABF-0D63-46C6-A99B-C67CEB02F85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8408E7D1-6024-419D-9F5F-84CAA26F371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6A9B6009-33CB-4933-930B-30E1DC355A7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228DB20D-18F5-42E0-929C-7F296CEA668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32653AB4-0979-4ECE-80AE-4B8C6EE5113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E1753370-8341-4DA0-862F-15D881123F6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8D6B204A-CA2A-4928-98BA-069B7FCBD14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62CEF21A-F1C5-4B48-ADCC-7C9506B0D0B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A26471DE-5E9C-4388-B2FF-ADBDA4F3A38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4FF95-1DD9-4CFE-BBCA-F872AEF846B1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145</v>
      </c>
      <c r="C5" s="43"/>
      <c r="D5" s="43"/>
      <c r="E5" s="43"/>
      <c r="F5" s="43"/>
      <c r="G5" s="43"/>
    </row>
    <row r="6" spans="2:15" ht="18.75" x14ac:dyDescent="0.25">
      <c r="B6" s="12" t="str">
        <f>Income_Statement!B49</f>
        <v>Reported Net Profit(PAT)</v>
      </c>
      <c r="C6" s="13">
        <f>Income_Statement!C49</f>
        <v>57783.528094654728</v>
      </c>
      <c r="D6" s="13">
        <f>Income_Statement!D49</f>
        <v>76447.022551924907</v>
      </c>
      <c r="E6" s="13">
        <f>Income_Statement!E49</f>
        <v>68611.756664617977</v>
      </c>
      <c r="F6" s="13">
        <f>Income_Statement!F49</f>
        <v>73268.786090199617</v>
      </c>
      <c r="G6" s="13">
        <f>Income_Statement!G49</f>
        <v>15941.177525006546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5253.0480086049756</v>
      </c>
      <c r="D7" s="13">
        <f>Income_Statement!D61</f>
        <v>5460.5016108517793</v>
      </c>
      <c r="E7" s="13">
        <f>Income_Statement!E61</f>
        <v>5717.6463887181644</v>
      </c>
      <c r="F7" s="13">
        <f>Income_Statement!F61</f>
        <v>4884.5857393466413</v>
      </c>
      <c r="G7" s="13">
        <f>Income_Statement!G61</f>
        <v>937.71632500038504</v>
      </c>
    </row>
    <row r="8" spans="2:15" ht="18.75" x14ac:dyDescent="0.25">
      <c r="B8" s="14" t="s">
        <v>146</v>
      </c>
      <c r="C8" s="14">
        <f>ROUND(C6/C7, 2)</f>
        <v>11</v>
      </c>
      <c r="D8" s="14">
        <f t="shared" ref="D8:G8" si="0">ROUND(D6/D7, 2)</f>
        <v>14</v>
      </c>
      <c r="E8" s="14">
        <f t="shared" si="0"/>
        <v>12</v>
      </c>
      <c r="F8" s="14">
        <f t="shared" si="0"/>
        <v>15</v>
      </c>
      <c r="G8" s="14">
        <f t="shared" si="0"/>
        <v>17</v>
      </c>
    </row>
  </sheetData>
  <mergeCells count="1">
    <mergeCell ref="B5:G5"/>
  </mergeCells>
  <hyperlinks>
    <hyperlink ref="F1" location="Index_Data!A1" tooltip="Hi click here To return Index page" display="Index_Data!A1" xr:uid="{59A33124-0AE9-4B94-B60F-D262707747D8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78381-6814-4A2B-933A-F4647CC81BC9}"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1" spans="2:15" x14ac:dyDescent="0.25">
      <c r="F1" s="44" t="s">
        <v>271</v>
      </c>
      <c r="O1" s="45"/>
    </row>
    <row r="3" spans="2:15" ht="18.75" x14ac:dyDescent="0.25">
      <c r="B3" s="11" t="s">
        <v>144</v>
      </c>
      <c r="C3" s="11">
        <v>2018</v>
      </c>
      <c r="D3" s="11">
        <v>2019</v>
      </c>
      <c r="E3" s="11">
        <v>2020</v>
      </c>
      <c r="F3" s="11">
        <v>2021</v>
      </c>
      <c r="G3" s="11">
        <v>2022</v>
      </c>
    </row>
    <row r="5" spans="2:15" ht="18.75" x14ac:dyDescent="0.25">
      <c r="B5" s="43" t="s">
        <v>147</v>
      </c>
      <c r="C5" s="43"/>
      <c r="D5" s="43"/>
      <c r="E5" s="43"/>
      <c r="F5" s="43"/>
      <c r="G5" s="43"/>
    </row>
    <row r="6" spans="2:15" ht="18.75" x14ac:dyDescent="0.25">
      <c r="B6" s="12" t="str">
        <f>Income_Statement!B51</f>
        <v>Equity Share Dividend</v>
      </c>
      <c r="C6" s="13">
        <f>Income_Statement!C51</f>
        <v>4040.28</v>
      </c>
      <c r="D6" s="13">
        <f>Income_Statement!D51</f>
        <v>3019.88</v>
      </c>
      <c r="E6" s="13">
        <f>Income_Statement!E51</f>
        <v>494.73</v>
      </c>
      <c r="F6" s="13">
        <f>Income_Statement!F51</f>
        <v>5531.06</v>
      </c>
      <c r="G6" s="13">
        <f>Income_Statement!G51</f>
        <v>0</v>
      </c>
    </row>
    <row r="7" spans="2:15" ht="18.75" x14ac:dyDescent="0.25">
      <c r="B7" s="12" t="str">
        <f>Income_Statement!B61</f>
        <v>Total Shares Outstanding(cr)</v>
      </c>
      <c r="C7" s="13">
        <f>Income_Statement!C61</f>
        <v>5253.0480086049756</v>
      </c>
      <c r="D7" s="13">
        <f>Income_Statement!D61</f>
        <v>5460.5016108517793</v>
      </c>
      <c r="E7" s="13">
        <f>Income_Statement!E61</f>
        <v>5717.6463887181644</v>
      </c>
      <c r="F7" s="13">
        <f>Income_Statement!F61</f>
        <v>4884.5857393466413</v>
      </c>
      <c r="G7" s="13">
        <f>Income_Statement!G61</f>
        <v>937.71632500038504</v>
      </c>
    </row>
    <row r="8" spans="2:15" ht="18.75" x14ac:dyDescent="0.25">
      <c r="B8" s="14" t="s">
        <v>148</v>
      </c>
      <c r="C8" s="14">
        <f>ROUND(C6/C7, 2)</f>
        <v>0.77</v>
      </c>
      <c r="D8" s="14">
        <f t="shared" ref="D8:G8" si="0">ROUND(D6/D7, 2)</f>
        <v>0.55000000000000004</v>
      </c>
      <c r="E8" s="14">
        <f t="shared" si="0"/>
        <v>0.09</v>
      </c>
      <c r="F8" s="14">
        <f t="shared" si="0"/>
        <v>1.1299999999999999</v>
      </c>
      <c r="G8" s="14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4A85FA69-379D-404A-B7A9-A7E87EFCF065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84</vt:i4>
      </vt:variant>
    </vt:vector>
  </HeadingPairs>
  <TitlesOfParts>
    <vt:vector size="132" baseType="lpstr">
      <vt:lpstr>BSInput</vt:lpstr>
      <vt:lpstr>ISMInput</vt:lpstr>
      <vt:lpstr>Index_Data</vt:lpstr>
      <vt:lpstr>Income_Statement</vt:lpstr>
      <vt:lpstr>Balance_Sheet</vt:lpstr>
      <vt:lpstr>CashFlow_Statement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BS_Backup</vt:lpstr>
      <vt:lpstr>ISM_Backup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2022-07-03T11:34:52Z</dcterms:created>
  <dcterms:modified xsi:type="dcterms:W3CDTF">2022-07-04T08:20:15Z</dcterms:modified>
</cp:coreProperties>
</file>