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C81DD64D-815F-4733-93D0-79361F1D9B4D}" xr6:coauthVersionLast="47" xr6:coauthVersionMax="47" xr10:uidLastSave="{00000000-0000-0000-0000-000000000000}"/>
  <bookViews>
    <workbookView xWindow="-120" yWindow="-120" windowWidth="20730" windowHeight="11160" firstSheet="2" activeTab="2" xr2:uid="{C4AB8D7D-2D58-41AE-90F8-416CB490843E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/>
  <c r="K64" i="3"/>
  <c r="L64" i="3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K7" i="5" s="1"/>
  <c r="L31" i="3"/>
  <c r="L7" i="5" s="1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J45" i="4" s="1"/>
  <c r="J47" i="5"/>
  <c r="H46" i="5"/>
  <c r="H47" i="5" s="1"/>
  <c r="I46" i="5"/>
  <c r="I47" i="5" s="1"/>
  <c r="J46" i="5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I10" i="5"/>
  <c r="H9" i="5"/>
  <c r="I9" i="5"/>
  <c r="J9" i="5"/>
  <c r="K9" i="5"/>
  <c r="L9" i="5"/>
  <c r="H8" i="5"/>
  <c r="I8" i="5"/>
  <c r="J8" i="5"/>
  <c r="K8" i="5"/>
  <c r="L8" i="5"/>
  <c r="H7" i="5"/>
  <c r="I7" i="5"/>
  <c r="J7" i="5"/>
  <c r="L66" i="4"/>
  <c r="H66" i="4"/>
  <c r="I67" i="4"/>
  <c r="J67" i="4" s="1"/>
  <c r="K67" i="4" s="1"/>
  <c r="L67" i="4" s="1"/>
  <c r="H67" i="4"/>
  <c r="K64" i="4"/>
  <c r="L64" i="4"/>
  <c r="H64" i="4"/>
  <c r="I65" i="4"/>
  <c r="J65" i="4" s="1"/>
  <c r="K65" i="4" s="1"/>
  <c r="L65" i="4" s="1"/>
  <c r="H65" i="4"/>
  <c r="H62" i="4"/>
  <c r="I63" i="4"/>
  <c r="I62" i="4" s="1"/>
  <c r="H63" i="4"/>
  <c r="H58" i="4"/>
  <c r="I59" i="4"/>
  <c r="I58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H42" i="4"/>
  <c r="I43" i="4"/>
  <c r="I42" i="4" s="1"/>
  <c r="J43" i="4"/>
  <c r="J42" i="4" s="1"/>
  <c r="K43" i="4"/>
  <c r="L43" i="4" s="1"/>
  <c r="L42" i="4" s="1"/>
  <c r="H43" i="4"/>
  <c r="H40" i="4"/>
  <c r="H46" i="4" s="1"/>
  <c r="I41" i="4"/>
  <c r="I40" i="4" s="1"/>
  <c r="J41" i="4"/>
  <c r="J40" i="4" s="1"/>
  <c r="K41" i="4"/>
  <c r="L41" i="4" s="1"/>
  <c r="L40" i="4" s="1"/>
  <c r="H41" i="4"/>
  <c r="K35" i="4"/>
  <c r="L35" i="4"/>
  <c r="H35" i="4"/>
  <c r="I36" i="4"/>
  <c r="J36" i="4" s="1"/>
  <c r="K36" i="4" s="1"/>
  <c r="L36" i="4" s="1"/>
  <c r="H36" i="4"/>
  <c r="L31" i="4"/>
  <c r="H31" i="4"/>
  <c r="I32" i="4"/>
  <c r="J32" i="4" s="1"/>
  <c r="K32" i="4" s="1"/>
  <c r="L32" i="4" s="1"/>
  <c r="H32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L25" i="4"/>
  <c r="H25" i="4"/>
  <c r="I26" i="4"/>
  <c r="J26" i="4" s="1"/>
  <c r="K26" i="4" s="1"/>
  <c r="L26" i="4" s="1"/>
  <c r="H26" i="4"/>
  <c r="L23" i="4"/>
  <c r="L33" i="4" s="1"/>
  <c r="L34" i="4" s="1"/>
  <c r="H23" i="4"/>
  <c r="H33" i="4" s="1"/>
  <c r="H34" i="4" s="1"/>
  <c r="I24" i="4"/>
  <c r="J24" i="4" s="1"/>
  <c r="K24" i="4" s="1"/>
  <c r="L24" i="4" s="1"/>
  <c r="H24" i="4"/>
  <c r="L21" i="4"/>
  <c r="H21" i="4"/>
  <c r="I22" i="4"/>
  <c r="J22" i="4" s="1"/>
  <c r="K22" i="4" s="1"/>
  <c r="L22" i="4" s="1"/>
  <c r="H22" i="4"/>
  <c r="L19" i="4"/>
  <c r="H19" i="4"/>
  <c r="I20" i="4"/>
  <c r="J20" i="4" s="1"/>
  <c r="K20" i="4" s="1"/>
  <c r="L20" i="4" s="1"/>
  <c r="H20" i="4"/>
  <c r="K17" i="4"/>
  <c r="L17" i="4"/>
  <c r="H17" i="4"/>
  <c r="I18" i="4"/>
  <c r="J18" i="4" s="1"/>
  <c r="K18" i="4" s="1"/>
  <c r="L18" i="4" s="1"/>
  <c r="H18" i="4"/>
  <c r="L15" i="4"/>
  <c r="H15" i="4"/>
  <c r="I16" i="4"/>
  <c r="J16" i="4" s="1"/>
  <c r="K16" i="4" s="1"/>
  <c r="L16" i="4" s="1"/>
  <c r="H16" i="4"/>
  <c r="H13" i="4"/>
  <c r="H14" i="4" s="1"/>
  <c r="I13" i="4"/>
  <c r="J13" i="4"/>
  <c r="K13" i="4"/>
  <c r="K14" i="4" s="1"/>
  <c r="L13" i="4"/>
  <c r="I14" i="4"/>
  <c r="J14" i="4"/>
  <c r="L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I68" i="4"/>
  <c r="L68" i="4"/>
  <c r="H68" i="4"/>
  <c r="I69" i="4"/>
  <c r="J69" i="4" s="1"/>
  <c r="K69" i="4" s="1"/>
  <c r="L69" i="4" s="1"/>
  <c r="H69" i="4"/>
  <c r="H53" i="3"/>
  <c r="I54" i="3"/>
  <c r="I53" i="3" s="1"/>
  <c r="H54" i="3"/>
  <c r="H51" i="3"/>
  <c r="I52" i="3"/>
  <c r="I51" i="3" s="1"/>
  <c r="H52" i="3"/>
  <c r="L43" i="3"/>
  <c r="H43" i="3"/>
  <c r="I44" i="3"/>
  <c r="J44" i="3" s="1"/>
  <c r="K44" i="3" s="1"/>
  <c r="L44" i="3" s="1"/>
  <c r="H44" i="3"/>
  <c r="L39" i="3"/>
  <c r="H39" i="3"/>
  <c r="I40" i="3"/>
  <c r="J40" i="3" s="1"/>
  <c r="K40" i="3" s="1"/>
  <c r="L40" i="3" s="1"/>
  <c r="H40" i="3"/>
  <c r="H33" i="3"/>
  <c r="H34" i="3" s="1"/>
  <c r="I33" i="3"/>
  <c r="I37" i="3" s="1"/>
  <c r="J33" i="3"/>
  <c r="J37" i="3" s="1"/>
  <c r="I34" i="3"/>
  <c r="J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H21" i="3"/>
  <c r="I22" i="3"/>
  <c r="I21" i="3" s="1"/>
  <c r="H22" i="3"/>
  <c r="H19" i="3"/>
  <c r="I20" i="3"/>
  <c r="I19" i="3" s="1"/>
  <c r="H20" i="3"/>
  <c r="H17" i="3"/>
  <c r="I18" i="3"/>
  <c r="I17" i="3" s="1"/>
  <c r="H18" i="3"/>
  <c r="H15" i="3"/>
  <c r="I15" i="3"/>
  <c r="J15" i="3"/>
  <c r="K15" i="3"/>
  <c r="K16" i="3" s="1"/>
  <c r="L15" i="3"/>
  <c r="H16" i="3"/>
  <c r="I16" i="3"/>
  <c r="J16" i="3"/>
  <c r="L16" i="3"/>
  <c r="K13" i="3"/>
  <c r="L13" i="3"/>
  <c r="H13" i="3"/>
  <c r="I14" i="3"/>
  <c r="J14" i="3" s="1"/>
  <c r="K14" i="3" s="1"/>
  <c r="L14" i="3" s="1"/>
  <c r="H14" i="3"/>
  <c r="H11" i="3"/>
  <c r="I12" i="3"/>
  <c r="J12" i="3" s="1"/>
  <c r="K12" i="3" s="1"/>
  <c r="L12" i="3" s="1"/>
  <c r="L11" i="3" s="1"/>
  <c r="H12" i="3"/>
  <c r="H9" i="3"/>
  <c r="I9" i="3"/>
  <c r="J9" i="3"/>
  <c r="K9" i="3"/>
  <c r="K10" i="3" s="1"/>
  <c r="L9" i="3"/>
  <c r="H10" i="3"/>
  <c r="I10" i="3"/>
  <c r="J10" i="3"/>
  <c r="L10" i="3"/>
  <c r="L7" i="3"/>
  <c r="H7" i="3"/>
  <c r="I8" i="3"/>
  <c r="J8" i="3" s="1"/>
  <c r="K8" i="3" s="1"/>
  <c r="L8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F10" i="5" s="1"/>
  <c r="G7" i="5"/>
  <c r="D7" i="5"/>
  <c r="D10" i="5" s="1"/>
  <c r="D33" i="4"/>
  <c r="D10" i="33" s="1"/>
  <c r="E33" i="4"/>
  <c r="E10" i="32" s="1"/>
  <c r="F33" i="4"/>
  <c r="F7" i="30" s="1"/>
  <c r="G33" i="4"/>
  <c r="D21" i="4"/>
  <c r="D6" i="17" s="1"/>
  <c r="E21" i="4"/>
  <c r="E7" i="15" s="1"/>
  <c r="F21" i="4"/>
  <c r="F62" i="6" s="1"/>
  <c r="G21" i="4"/>
  <c r="D9" i="4"/>
  <c r="E9" i="4"/>
  <c r="F9" i="4"/>
  <c r="G9" i="4"/>
  <c r="C72" i="4"/>
  <c r="C72" i="6" s="1"/>
  <c r="C46" i="4"/>
  <c r="C54" i="4" s="1"/>
  <c r="C33" i="4"/>
  <c r="C119" i="6" s="1"/>
  <c r="C120" i="6" s="1"/>
  <c r="C21" i="4"/>
  <c r="C9" i="4"/>
  <c r="C13" i="4" s="1"/>
  <c r="C7" i="17" s="1"/>
  <c r="D25" i="3"/>
  <c r="D5" i="44" s="1"/>
  <c r="E25" i="3"/>
  <c r="E26" i="3" s="1"/>
  <c r="F25" i="3"/>
  <c r="F26" i="3" s="1"/>
  <c r="G25" i="3"/>
  <c r="G26" i="3" s="1"/>
  <c r="D9" i="3"/>
  <c r="E9" i="3"/>
  <c r="E10" i="3" s="1"/>
  <c r="F9" i="3"/>
  <c r="F10" i="3" s="1"/>
  <c r="G9" i="3"/>
  <c r="G10" i="3" s="1"/>
  <c r="C25" i="3"/>
  <c r="C26" i="3" s="1"/>
  <c r="C9" i="3"/>
  <c r="C10" i="3" s="1"/>
  <c r="L37" i="4" l="1"/>
  <c r="L38" i="4" s="1"/>
  <c r="H37" i="4"/>
  <c r="H38" i="4" s="1"/>
  <c r="K10" i="5"/>
  <c r="J10" i="5"/>
  <c r="L10" i="5"/>
  <c r="H10" i="5"/>
  <c r="I41" i="3"/>
  <c r="I38" i="3"/>
  <c r="J38" i="3"/>
  <c r="J41" i="3"/>
  <c r="L33" i="3"/>
  <c r="K33" i="3"/>
  <c r="H37" i="3"/>
  <c r="I45" i="4"/>
  <c r="H45" i="4"/>
  <c r="J46" i="4"/>
  <c r="J47" i="4" s="1"/>
  <c r="K44" i="4"/>
  <c r="I46" i="4"/>
  <c r="I47" i="4" s="1"/>
  <c r="H54" i="4"/>
  <c r="H55" i="4" s="1"/>
  <c r="H47" i="4"/>
  <c r="K68" i="4"/>
  <c r="J68" i="4"/>
  <c r="K66" i="4"/>
  <c r="J66" i="4"/>
  <c r="I66" i="4"/>
  <c r="J64" i="4"/>
  <c r="I64" i="4"/>
  <c r="J63" i="4"/>
  <c r="J59" i="4"/>
  <c r="K56" i="4"/>
  <c r="J56" i="4"/>
  <c r="I56" i="4"/>
  <c r="K52" i="4"/>
  <c r="J52" i="4"/>
  <c r="I52" i="4"/>
  <c r="K50" i="4"/>
  <c r="J50" i="4"/>
  <c r="I50" i="4"/>
  <c r="K48" i="4"/>
  <c r="J48" i="4"/>
  <c r="I48" i="4"/>
  <c r="K42" i="4"/>
  <c r="K40" i="4"/>
  <c r="K46" i="4" s="1"/>
  <c r="J35" i="4"/>
  <c r="I35" i="4"/>
  <c r="K31" i="4"/>
  <c r="J31" i="4"/>
  <c r="I31" i="4"/>
  <c r="K29" i="4"/>
  <c r="J29" i="4"/>
  <c r="I29" i="4"/>
  <c r="K27" i="4"/>
  <c r="J27" i="4"/>
  <c r="I27" i="4"/>
  <c r="K25" i="4"/>
  <c r="J25" i="4"/>
  <c r="I25" i="4"/>
  <c r="K23" i="4"/>
  <c r="J23" i="4"/>
  <c r="J33" i="4" s="1"/>
  <c r="J34" i="4" s="1"/>
  <c r="I23" i="4"/>
  <c r="K21" i="4"/>
  <c r="J21" i="4"/>
  <c r="J37" i="4" s="1"/>
  <c r="J38" i="4" s="1"/>
  <c r="I21" i="4"/>
  <c r="K19" i="4"/>
  <c r="J19" i="4"/>
  <c r="I19" i="4"/>
  <c r="J17" i="4"/>
  <c r="I17" i="4"/>
  <c r="K15" i="4"/>
  <c r="J15" i="4"/>
  <c r="I15" i="4"/>
  <c r="K80" i="4"/>
  <c r="L80" i="4" s="1"/>
  <c r="J54" i="3"/>
  <c r="J52" i="3"/>
  <c r="K43" i="3"/>
  <c r="J43" i="3"/>
  <c r="I43" i="3"/>
  <c r="K39" i="3"/>
  <c r="J39" i="3"/>
  <c r="I39" i="3"/>
  <c r="K23" i="3"/>
  <c r="J23" i="3"/>
  <c r="I23" i="3"/>
  <c r="J22" i="3"/>
  <c r="J20" i="3"/>
  <c r="J18" i="3"/>
  <c r="J13" i="3"/>
  <c r="I13" i="3"/>
  <c r="K11" i="3"/>
  <c r="J11" i="3"/>
  <c r="I11" i="3"/>
  <c r="K7" i="3"/>
  <c r="J7" i="3"/>
  <c r="I7" i="3"/>
  <c r="I6" i="3"/>
  <c r="K5" i="3"/>
  <c r="G10" i="5"/>
  <c r="D26" i="3"/>
  <c r="E10" i="5"/>
  <c r="F38" i="6"/>
  <c r="D8" i="25"/>
  <c r="D8" i="26"/>
  <c r="D8" i="27"/>
  <c r="G8" i="29"/>
  <c r="C8" i="29"/>
  <c r="F8" i="31"/>
  <c r="F8" i="32"/>
  <c r="E8" i="33"/>
  <c r="F8" i="30"/>
  <c r="F8" i="12"/>
  <c r="D8" i="33"/>
  <c r="F105" i="6"/>
  <c r="F110" i="6"/>
  <c r="F115" i="6"/>
  <c r="E125" i="6"/>
  <c r="D135" i="6"/>
  <c r="D140" i="6"/>
  <c r="G149" i="6"/>
  <c r="C149" i="6"/>
  <c r="E8" i="12"/>
  <c r="D10" i="3"/>
  <c r="D15" i="3" s="1"/>
  <c r="E38" i="6"/>
  <c r="D105" i="6"/>
  <c r="D110" i="6"/>
  <c r="D115" i="6"/>
  <c r="G125" i="6"/>
  <c r="C125" i="6"/>
  <c r="F135" i="6"/>
  <c r="F140" i="6"/>
  <c r="E149" i="6"/>
  <c r="F8" i="25"/>
  <c r="F8" i="26"/>
  <c r="F8" i="27"/>
  <c r="E8" i="29"/>
  <c r="D8" i="31"/>
  <c r="D8" i="32"/>
  <c r="G8" i="33"/>
  <c r="C8" i="33"/>
  <c r="G38" i="6"/>
  <c r="C38" i="6"/>
  <c r="D38" i="6"/>
  <c r="G8" i="12"/>
  <c r="C8" i="12"/>
  <c r="D8" i="12"/>
  <c r="G5" i="44"/>
  <c r="G7" i="13"/>
  <c r="G8" i="13" s="1"/>
  <c r="G42" i="6"/>
  <c r="G43" i="6" s="1"/>
  <c r="D42" i="6"/>
  <c r="D43" i="6" s="1"/>
  <c r="D84" i="6"/>
  <c r="D85" i="6" s="1"/>
  <c r="D7" i="13"/>
  <c r="D8" i="13" s="1"/>
  <c r="D7" i="21"/>
  <c r="D8" i="21" s="1"/>
  <c r="C7" i="21"/>
  <c r="C8" i="21" s="1"/>
  <c r="C84" i="6"/>
  <c r="C85" i="6" s="1"/>
  <c r="F7" i="21"/>
  <c r="F8" i="21" s="1"/>
  <c r="F84" i="6"/>
  <c r="F85" i="6" s="1"/>
  <c r="F15" i="3"/>
  <c r="F16" i="3" s="1"/>
  <c r="F7" i="13"/>
  <c r="F8" i="13" s="1"/>
  <c r="F42" i="6"/>
  <c r="F43" i="6" s="1"/>
  <c r="G7" i="21"/>
  <c r="G8" i="21" s="1"/>
  <c r="G84" i="6"/>
  <c r="G85" i="6" s="1"/>
  <c r="G15" i="3"/>
  <c r="G16" i="3" s="1"/>
  <c r="C15" i="3"/>
  <c r="C16" i="3" s="1"/>
  <c r="E7" i="21"/>
  <c r="E8" i="21" s="1"/>
  <c r="E84" i="6"/>
  <c r="E85" i="6" s="1"/>
  <c r="E15" i="3"/>
  <c r="E16" i="3" s="1"/>
  <c r="E7" i="13"/>
  <c r="E8" i="13" s="1"/>
  <c r="E42" i="6"/>
  <c r="E43" i="6" s="1"/>
  <c r="E5" i="44"/>
  <c r="F5" i="44"/>
  <c r="C5" i="44"/>
  <c r="C7" i="13"/>
  <c r="C8" i="13" s="1"/>
  <c r="C42" i="6"/>
  <c r="C43" i="6" s="1"/>
  <c r="E105" i="6"/>
  <c r="E110" i="6"/>
  <c r="E115" i="6"/>
  <c r="D125" i="6"/>
  <c r="G135" i="6"/>
  <c r="C135" i="6"/>
  <c r="G140" i="6"/>
  <c r="C140" i="6"/>
  <c r="F149" i="6"/>
  <c r="E8" i="25"/>
  <c r="E8" i="26"/>
  <c r="E8" i="27"/>
  <c r="D8" i="29"/>
  <c r="G8" i="31"/>
  <c r="C8" i="31"/>
  <c r="G8" i="32"/>
  <c r="C8" i="32"/>
  <c r="F8" i="33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E35" i="47"/>
  <c r="E30" i="47"/>
  <c r="F35" i="47"/>
  <c r="F30" i="47"/>
  <c r="C35" i="47"/>
  <c r="C30" i="47"/>
  <c r="G35" i="47"/>
  <c r="G30" i="47"/>
  <c r="D30" i="47"/>
  <c r="D35" i="47"/>
  <c r="C129" i="6"/>
  <c r="C130" i="6" s="1"/>
  <c r="E47" i="5"/>
  <c r="C53" i="6"/>
  <c r="D7" i="28"/>
  <c r="D8" i="28" s="1"/>
  <c r="F35" i="5"/>
  <c r="E35" i="5"/>
  <c r="G47" i="5"/>
  <c r="D52" i="6"/>
  <c r="E119" i="6"/>
  <c r="E120" i="6" s="1"/>
  <c r="D155" i="6"/>
  <c r="D156" i="6" s="1"/>
  <c r="D8" i="19"/>
  <c r="F47" i="5"/>
  <c r="D47" i="5"/>
  <c r="C68" i="6"/>
  <c r="E74" i="6"/>
  <c r="G35" i="5"/>
  <c r="F142" i="6"/>
  <c r="F143" i="6" s="1"/>
  <c r="C6" i="17"/>
  <c r="C8" i="17" s="1"/>
  <c r="C7" i="15"/>
  <c r="C52" i="6"/>
  <c r="C6" i="40"/>
  <c r="G6" i="17"/>
  <c r="G6" i="40"/>
  <c r="G7" i="15"/>
  <c r="G52" i="6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G155" i="6"/>
  <c r="G156" i="6" s="1"/>
  <c r="G142" i="6"/>
  <c r="G143" i="6" s="1"/>
  <c r="G6" i="36"/>
  <c r="G119" i="6"/>
  <c r="G120" i="6" s="1"/>
  <c r="G74" i="6"/>
  <c r="G129" i="6"/>
  <c r="G130" i="6" s="1"/>
  <c r="D46" i="4"/>
  <c r="E44" i="4"/>
  <c r="G62" i="6"/>
  <c r="C6" i="42"/>
  <c r="C74" i="4"/>
  <c r="C71" i="4" s="1"/>
  <c r="C6" i="43"/>
  <c r="C6" i="19"/>
  <c r="C5" i="36"/>
  <c r="C6" i="18"/>
  <c r="C67" i="6"/>
  <c r="C62" i="6"/>
  <c r="G68" i="6"/>
  <c r="E11" i="32"/>
  <c r="F10" i="32"/>
  <c r="F11" i="32" s="1"/>
  <c r="F12" i="32" s="1"/>
  <c r="F6" i="41"/>
  <c r="F10" i="33"/>
  <c r="F11" i="33" s="1"/>
  <c r="F7" i="28"/>
  <c r="F8" i="28" s="1"/>
  <c r="F8" i="19"/>
  <c r="F6" i="36"/>
  <c r="F68" i="6"/>
  <c r="D74" i="6"/>
  <c r="D119" i="6"/>
  <c r="D120" i="6" s="1"/>
  <c r="F129" i="6"/>
  <c r="F130" i="6" s="1"/>
  <c r="E142" i="6"/>
  <c r="E143" i="6" s="1"/>
  <c r="F151" i="6"/>
  <c r="F152" i="6" s="1"/>
  <c r="F14" i="33"/>
  <c r="F15" i="33" s="1"/>
  <c r="D6" i="41"/>
  <c r="F6" i="40"/>
  <c r="F7" i="15"/>
  <c r="E6" i="40"/>
  <c r="E6" i="17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D35" i="5"/>
  <c r="F52" i="6"/>
  <c r="C58" i="6"/>
  <c r="E62" i="6"/>
  <c r="E68" i="6"/>
  <c r="C74" i="6"/>
  <c r="C75" i="6" s="1"/>
  <c r="E129" i="6"/>
  <c r="E130" i="6" s="1"/>
  <c r="D142" i="6"/>
  <c r="D143" i="6" s="1"/>
  <c r="D151" i="6"/>
  <c r="D152" i="6" s="1"/>
  <c r="C6" i="9"/>
  <c r="F7" i="18"/>
  <c r="D11" i="33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7" i="28"/>
  <c r="C8" i="28" s="1"/>
  <c r="C8" i="19"/>
  <c r="C155" i="6"/>
  <c r="C156" i="6" s="1"/>
  <c r="C37" i="4"/>
  <c r="C38" i="4" s="1"/>
  <c r="C5" i="34"/>
  <c r="C8" i="15"/>
  <c r="C7" i="16"/>
  <c r="D6" i="40"/>
  <c r="D7" i="15"/>
  <c r="D6" i="36"/>
  <c r="D14" i="33"/>
  <c r="D15" i="33" s="1"/>
  <c r="D7" i="30"/>
  <c r="D8" i="30" s="1"/>
  <c r="D10" i="32"/>
  <c r="D11" i="32" s="1"/>
  <c r="C16" i="6"/>
  <c r="E52" i="6"/>
  <c r="C63" i="6"/>
  <c r="D62" i="6"/>
  <c r="D68" i="6"/>
  <c r="F74" i="6"/>
  <c r="F119" i="6"/>
  <c r="F120" i="6" s="1"/>
  <c r="D129" i="6"/>
  <c r="D130" i="6" s="1"/>
  <c r="C142" i="6"/>
  <c r="C143" i="6" s="1"/>
  <c r="F155" i="6"/>
  <c r="F156" i="6" s="1"/>
  <c r="F6" i="17"/>
  <c r="D7" i="18"/>
  <c r="C6" i="36"/>
  <c r="E25" i="46"/>
  <c r="J54" i="4" l="1"/>
  <c r="J55" i="4" s="1"/>
  <c r="J45" i="3"/>
  <c r="J42" i="3"/>
  <c r="K34" i="3"/>
  <c r="K37" i="3"/>
  <c r="L37" i="3"/>
  <c r="L34" i="3"/>
  <c r="I42" i="3"/>
  <c r="I45" i="3"/>
  <c r="L44" i="4"/>
  <c r="K45" i="4"/>
  <c r="I54" i="4"/>
  <c r="I55" i="4" s="1"/>
  <c r="H38" i="3"/>
  <c r="H41" i="3"/>
  <c r="I33" i="4"/>
  <c r="I34" i="4" s="1"/>
  <c r="I37" i="4"/>
  <c r="I38" i="4" s="1"/>
  <c r="K47" i="4"/>
  <c r="K54" i="4"/>
  <c r="K55" i="4" s="1"/>
  <c r="K33" i="4"/>
  <c r="K34" i="4" s="1"/>
  <c r="K37" i="4"/>
  <c r="K38" i="4" s="1"/>
  <c r="J62" i="4"/>
  <c r="K63" i="4"/>
  <c r="J58" i="4"/>
  <c r="K59" i="4"/>
  <c r="J53" i="3"/>
  <c r="K54" i="3"/>
  <c r="J51" i="3"/>
  <c r="K52" i="3"/>
  <c r="J21" i="3"/>
  <c r="K22" i="3"/>
  <c r="J19" i="3"/>
  <c r="K20" i="3"/>
  <c r="J17" i="3"/>
  <c r="K18" i="3"/>
  <c r="L5" i="3"/>
  <c r="L6" i="3" s="1"/>
  <c r="K6" i="3"/>
  <c r="E12" i="33"/>
  <c r="D6" i="39"/>
  <c r="D16" i="3"/>
  <c r="D144" i="6"/>
  <c r="C12" i="33"/>
  <c r="C16" i="33" s="1"/>
  <c r="E144" i="6"/>
  <c r="G144" i="6"/>
  <c r="G12" i="33"/>
  <c r="G16" i="33" s="1"/>
  <c r="D27" i="3"/>
  <c r="D6" i="44"/>
  <c r="C153" i="6"/>
  <c r="C157" i="6" s="1"/>
  <c r="D12" i="33"/>
  <c r="D16" i="33" s="1"/>
  <c r="E153" i="6"/>
  <c r="E157" i="6" s="1"/>
  <c r="G153" i="6"/>
  <c r="C144" i="6"/>
  <c r="G12" i="32"/>
  <c r="D12" i="32"/>
  <c r="E12" i="32"/>
  <c r="F144" i="6"/>
  <c r="C12" i="32"/>
  <c r="F153" i="6"/>
  <c r="F157" i="6" s="1"/>
  <c r="F12" i="33"/>
  <c r="F16" i="33" s="1"/>
  <c r="F6" i="44"/>
  <c r="F6" i="39"/>
  <c r="F27" i="3"/>
  <c r="C6" i="44"/>
  <c r="C6" i="39"/>
  <c r="C27" i="3"/>
  <c r="G6" i="44"/>
  <c r="G6" i="39"/>
  <c r="G27" i="3"/>
  <c r="D153" i="6"/>
  <c r="D157" i="6" s="1"/>
  <c r="E6" i="39"/>
  <c r="E27" i="3"/>
  <c r="E6" i="44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D54" i="4"/>
  <c r="C47" i="4"/>
  <c r="C41" i="4"/>
  <c r="C43" i="4"/>
  <c r="C34" i="4"/>
  <c r="C36" i="4"/>
  <c r="C30" i="4"/>
  <c r="C32" i="4"/>
  <c r="C26" i="4"/>
  <c r="C28" i="4"/>
  <c r="C22" i="4"/>
  <c r="C24" i="4"/>
  <c r="C18" i="4"/>
  <c r="C20" i="4"/>
  <c r="C14" i="4"/>
  <c r="C16" i="4"/>
  <c r="C10" i="4"/>
  <c r="C12" i="4"/>
  <c r="C69" i="6"/>
  <c r="G157" i="6"/>
  <c r="C6" i="4"/>
  <c r="C8" i="4"/>
  <c r="C5" i="41"/>
  <c r="C6" i="34"/>
  <c r="C5" i="40"/>
  <c r="E16" i="33"/>
  <c r="C64" i="6"/>
  <c r="C9" i="19"/>
  <c r="C8" i="18"/>
  <c r="C5" i="42"/>
  <c r="C7" i="24"/>
  <c r="C8" i="24" s="1"/>
  <c r="C7" i="14"/>
  <c r="C99" i="6"/>
  <c r="C100" i="6" s="1"/>
  <c r="C47" i="6"/>
  <c r="C5" i="43"/>
  <c r="F44" i="4"/>
  <c r="E46" i="4"/>
  <c r="E26" i="46"/>
  <c r="E30" i="46" s="1"/>
  <c r="F25" i="46"/>
  <c r="L41" i="3" l="1"/>
  <c r="L38" i="3"/>
  <c r="J49" i="3"/>
  <c r="J5" i="5"/>
  <c r="J27" i="5" s="1"/>
  <c r="J48" i="5" s="1"/>
  <c r="J46" i="3"/>
  <c r="I49" i="3"/>
  <c r="I46" i="3"/>
  <c r="I5" i="5"/>
  <c r="I27" i="5" s="1"/>
  <c r="I48" i="5" s="1"/>
  <c r="K38" i="3"/>
  <c r="K41" i="3"/>
  <c r="H45" i="3"/>
  <c r="H42" i="3"/>
  <c r="L45" i="4"/>
  <c r="L46" i="4"/>
  <c r="L63" i="4"/>
  <c r="L62" i="4" s="1"/>
  <c r="K62" i="4"/>
  <c r="L59" i="4"/>
  <c r="L58" i="4" s="1"/>
  <c r="K58" i="4"/>
  <c r="L54" i="3"/>
  <c r="L53" i="3" s="1"/>
  <c r="K53" i="3"/>
  <c r="L52" i="3"/>
  <c r="L51" i="3" s="1"/>
  <c r="K51" i="3"/>
  <c r="L22" i="3"/>
  <c r="L21" i="3" s="1"/>
  <c r="K21" i="3"/>
  <c r="L20" i="3"/>
  <c r="L19" i="3" s="1"/>
  <c r="K19" i="3"/>
  <c r="L18" i="3"/>
  <c r="L17" i="3" s="1"/>
  <c r="K17" i="3"/>
  <c r="C29" i="3"/>
  <c r="C30" i="3" s="1"/>
  <c r="C28" i="3"/>
  <c r="F29" i="3"/>
  <c r="F30" i="3" s="1"/>
  <c r="F28" i="3"/>
  <c r="D29" i="3"/>
  <c r="D33" i="3" s="1"/>
  <c r="D34" i="3" s="1"/>
  <c r="D28" i="3"/>
  <c r="G29" i="3"/>
  <c r="G33" i="3" s="1"/>
  <c r="G34" i="3" s="1"/>
  <c r="G28" i="3"/>
  <c r="E29" i="3"/>
  <c r="E30" i="3" s="1"/>
  <c r="E28" i="3"/>
  <c r="C5" i="35"/>
  <c r="C33" i="3"/>
  <c r="C34" i="3" s="1"/>
  <c r="D6" i="42"/>
  <c r="E54" i="4"/>
  <c r="F46" i="4"/>
  <c r="G44" i="4"/>
  <c r="F26" i="46"/>
  <c r="F30" i="46" s="1"/>
  <c r="G25" i="46"/>
  <c r="G26" i="46" s="1"/>
  <c r="G30" i="46" s="1"/>
  <c r="J50" i="3" l="1"/>
  <c r="J55" i="3"/>
  <c r="J56" i="3" s="1"/>
  <c r="K42" i="3"/>
  <c r="K45" i="3"/>
  <c r="I50" i="3"/>
  <c r="I55" i="3"/>
  <c r="I56" i="3" s="1"/>
  <c r="L45" i="3"/>
  <c r="L42" i="3"/>
  <c r="H5" i="5"/>
  <c r="H27" i="5" s="1"/>
  <c r="H48" i="5" s="1"/>
  <c r="H70" i="4" s="1"/>
  <c r="H49" i="3"/>
  <c r="H46" i="3"/>
  <c r="L47" i="4"/>
  <c r="L54" i="4"/>
  <c r="L55" i="4" s="1"/>
  <c r="F5" i="35"/>
  <c r="F33" i="3"/>
  <c r="F34" i="3" s="1"/>
  <c r="E33" i="3"/>
  <c r="E34" i="3" s="1"/>
  <c r="D6" i="35"/>
  <c r="D6" i="20"/>
  <c r="D8" i="20" s="1"/>
  <c r="D37" i="3"/>
  <c r="D51" i="6"/>
  <c r="D54" i="6" s="1"/>
  <c r="E5" i="35"/>
  <c r="G5" i="35"/>
  <c r="G30" i="3"/>
  <c r="D5" i="35"/>
  <c r="D30" i="3"/>
  <c r="D6" i="15"/>
  <c r="D9" i="15" s="1"/>
  <c r="D78" i="6"/>
  <c r="D80" i="6" s="1"/>
  <c r="G6" i="35"/>
  <c r="G6" i="15"/>
  <c r="G9" i="15" s="1"/>
  <c r="G51" i="6"/>
  <c r="G54" i="6" s="1"/>
  <c r="G6" i="20"/>
  <c r="G8" i="20" s="1"/>
  <c r="G78" i="6"/>
  <c r="G80" i="6" s="1"/>
  <c r="G37" i="3"/>
  <c r="E6" i="35"/>
  <c r="E37" i="3"/>
  <c r="C6" i="35"/>
  <c r="C6" i="15"/>
  <c r="C9" i="15" s="1"/>
  <c r="C51" i="6"/>
  <c r="C54" i="6" s="1"/>
  <c r="C6" i="20"/>
  <c r="C8" i="20" s="1"/>
  <c r="C78" i="6"/>
  <c r="C80" i="6" s="1"/>
  <c r="C37" i="3"/>
  <c r="F6" i="15"/>
  <c r="F9" i="15" s="1"/>
  <c r="F51" i="6"/>
  <c r="F54" i="6" s="1"/>
  <c r="F6" i="20"/>
  <c r="F8" i="20" s="1"/>
  <c r="F78" i="6"/>
  <c r="F80" i="6" s="1"/>
  <c r="F6" i="35"/>
  <c r="F37" i="3"/>
  <c r="E6" i="42"/>
  <c r="F54" i="4"/>
  <c r="G46" i="4"/>
  <c r="L46" i="3" l="1"/>
  <c r="L5" i="5"/>
  <c r="L27" i="5" s="1"/>
  <c r="L48" i="5" s="1"/>
  <c r="L49" i="3"/>
  <c r="K46" i="3"/>
  <c r="K5" i="5"/>
  <c r="K27" i="5" s="1"/>
  <c r="K48" i="5" s="1"/>
  <c r="K49" i="3"/>
  <c r="H55" i="3"/>
  <c r="H56" i="3" s="1"/>
  <c r="H50" i="3"/>
  <c r="I70" i="4"/>
  <c r="H71" i="4"/>
  <c r="H72" i="4"/>
  <c r="H73" i="4" s="1"/>
  <c r="E51" i="6"/>
  <c r="E54" i="6" s="1"/>
  <c r="E78" i="6"/>
  <c r="E80" i="6" s="1"/>
  <c r="E6" i="15"/>
  <c r="E9" i="15" s="1"/>
  <c r="E6" i="20"/>
  <c r="E8" i="20" s="1"/>
  <c r="C41" i="3"/>
  <c r="C38" i="3"/>
  <c r="G41" i="3"/>
  <c r="G38" i="3"/>
  <c r="F41" i="3"/>
  <c r="F38" i="3"/>
  <c r="D41" i="3"/>
  <c r="D38" i="3"/>
  <c r="E41" i="3"/>
  <c r="E38" i="3"/>
  <c r="F6" i="42"/>
  <c r="G54" i="4"/>
  <c r="L55" i="3" l="1"/>
  <c r="L56" i="3" s="1"/>
  <c r="L50" i="3"/>
  <c r="K50" i="3"/>
  <c r="K55" i="3"/>
  <c r="K56" i="3" s="1"/>
  <c r="J70" i="4"/>
  <c r="I71" i="4"/>
  <c r="I72" i="4"/>
  <c r="I73" i="4" s="1"/>
  <c r="D45" i="3"/>
  <c r="D46" i="3" s="1"/>
  <c r="D42" i="3"/>
  <c r="G45" i="3"/>
  <c r="G46" i="3" s="1"/>
  <c r="G42" i="3"/>
  <c r="E45" i="3"/>
  <c r="E46" i="3" s="1"/>
  <c r="E42" i="3"/>
  <c r="F45" i="3"/>
  <c r="F46" i="3" s="1"/>
  <c r="F42" i="3"/>
  <c r="C45" i="3"/>
  <c r="C42" i="3"/>
  <c r="G6" i="42"/>
  <c r="K70" i="4" l="1"/>
  <c r="J71" i="4"/>
  <c r="J72" i="4"/>
  <c r="J73" i="4" s="1"/>
  <c r="C49" i="3"/>
  <c r="C50" i="3" s="1"/>
  <c r="C46" i="3"/>
  <c r="F5" i="5"/>
  <c r="F27" i="5" s="1"/>
  <c r="F48" i="5" s="1"/>
  <c r="F49" i="3"/>
  <c r="F50" i="3" s="1"/>
  <c r="G49" i="3"/>
  <c r="G50" i="3" s="1"/>
  <c r="G5" i="5"/>
  <c r="G27" i="5" s="1"/>
  <c r="G48" i="5" s="1"/>
  <c r="C6" i="14"/>
  <c r="C8" i="14" s="1"/>
  <c r="C6" i="7"/>
  <c r="C57" i="6"/>
  <c r="C59" i="6" s="1"/>
  <c r="C55" i="3"/>
  <c r="C5" i="45" s="1"/>
  <c r="C9" i="10"/>
  <c r="C46" i="6"/>
  <c r="C48" i="6" s="1"/>
  <c r="C24" i="6"/>
  <c r="C6" i="6"/>
  <c r="C6" i="16"/>
  <c r="C8" i="16" s="1"/>
  <c r="C61" i="3"/>
  <c r="C6" i="45"/>
  <c r="E49" i="3"/>
  <c r="E50" i="3" s="1"/>
  <c r="E5" i="5"/>
  <c r="E27" i="5" s="1"/>
  <c r="E48" i="5" s="1"/>
  <c r="D49" i="3"/>
  <c r="D50" i="3" s="1"/>
  <c r="D5" i="5"/>
  <c r="D27" i="5" s="1"/>
  <c r="D48" i="5" s="1"/>
  <c r="L70" i="4" l="1"/>
  <c r="K71" i="4"/>
  <c r="K72" i="4"/>
  <c r="K73" i="4" s="1"/>
  <c r="E9" i="10"/>
  <c r="E6" i="6"/>
  <c r="E46" i="6"/>
  <c r="E6" i="7"/>
  <c r="E57" i="6"/>
  <c r="E61" i="3"/>
  <c r="E24" i="6"/>
  <c r="E6" i="14"/>
  <c r="E6" i="45"/>
  <c r="E55" i="3"/>
  <c r="E6" i="16"/>
  <c r="D70" i="4"/>
  <c r="E70" i="4" s="1"/>
  <c r="D38" i="46"/>
  <c r="D39" i="46" s="1"/>
  <c r="D40" i="46" s="1"/>
  <c r="G6" i="14"/>
  <c r="G57" i="6"/>
  <c r="G61" i="3"/>
  <c r="G9" i="10"/>
  <c r="G46" i="6"/>
  <c r="G24" i="6"/>
  <c r="G6" i="45"/>
  <c r="G6" i="16"/>
  <c r="G55" i="3"/>
  <c r="G5" i="45" s="1"/>
  <c r="G6" i="7"/>
  <c r="G6" i="6"/>
  <c r="D6" i="45"/>
  <c r="D9" i="10"/>
  <c r="D61" i="3"/>
  <c r="D6" i="16"/>
  <c r="D46" i="6"/>
  <c r="D6" i="7"/>
  <c r="D55" i="3"/>
  <c r="D24" i="6"/>
  <c r="D57" i="6"/>
  <c r="D6" i="14"/>
  <c r="D6" i="6"/>
  <c r="C7" i="11"/>
  <c r="C8" i="11" s="1"/>
  <c r="C9" i="11" s="1"/>
  <c r="C17" i="6"/>
  <c r="C18" i="6" s="1"/>
  <c r="C22" i="6"/>
  <c r="C23" i="6" s="1"/>
  <c r="C31" i="6"/>
  <c r="C32" i="6" s="1"/>
  <c r="C33" i="6" s="1"/>
  <c r="C7" i="8"/>
  <c r="C8" i="8" s="1"/>
  <c r="C7" i="7"/>
  <c r="C8" i="7" s="1"/>
  <c r="C7" i="6"/>
  <c r="C8" i="6" s="1"/>
  <c r="C12" i="6"/>
  <c r="C13" i="6" s="1"/>
  <c r="C7" i="10"/>
  <c r="C8" i="10" s="1"/>
  <c r="C12" i="10" s="1"/>
  <c r="C10" i="10"/>
  <c r="C11" i="10" s="1"/>
  <c r="C25" i="6"/>
  <c r="C26" i="6" s="1"/>
  <c r="C7" i="9"/>
  <c r="C8" i="9" s="1"/>
  <c r="F6" i="16"/>
  <c r="F6" i="45"/>
  <c r="F55" i="3"/>
  <c r="F5" i="45" s="1"/>
  <c r="F61" i="3"/>
  <c r="F9" i="10"/>
  <c r="F6" i="7"/>
  <c r="F46" i="6"/>
  <c r="F6" i="14"/>
  <c r="F57" i="6"/>
  <c r="F6" i="6"/>
  <c r="F24" i="6"/>
  <c r="E38" i="46"/>
  <c r="L71" i="4" l="1"/>
  <c r="L72" i="4"/>
  <c r="L73" i="4" s="1"/>
  <c r="F38" i="46"/>
  <c r="E39" i="46"/>
  <c r="E40" i="46" s="1"/>
  <c r="G7" i="7"/>
  <c r="G8" i="7" s="1"/>
  <c r="G7" i="6"/>
  <c r="G8" i="6" s="1"/>
  <c r="G7" i="9"/>
  <c r="G7" i="10"/>
  <c r="G8" i="10" s="1"/>
  <c r="G31" i="6"/>
  <c r="G32" i="6" s="1"/>
  <c r="G33" i="6" s="1"/>
  <c r="G10" i="10"/>
  <c r="G11" i="10" s="1"/>
  <c r="G7" i="11"/>
  <c r="G8" i="11" s="1"/>
  <c r="G9" i="11" s="1"/>
  <c r="G7" i="8"/>
  <c r="G8" i="8" s="1"/>
  <c r="G17" i="6"/>
  <c r="G22" i="6"/>
  <c r="G23" i="6" s="1"/>
  <c r="G25" i="6"/>
  <c r="G12" i="6"/>
  <c r="G13" i="6" s="1"/>
  <c r="D6" i="22"/>
  <c r="D8" i="22" s="1"/>
  <c r="D88" i="6"/>
  <c r="D90" i="6" s="1"/>
  <c r="D6" i="23"/>
  <c r="D8" i="23" s="1"/>
  <c r="D93" i="6"/>
  <c r="D95" i="6" s="1"/>
  <c r="D72" i="4"/>
  <c r="E88" i="6"/>
  <c r="E90" i="6" s="1"/>
  <c r="E6" i="22"/>
  <c r="E8" i="22" s="1"/>
  <c r="E72" i="4"/>
  <c r="F70" i="4"/>
  <c r="E93" i="6"/>
  <c r="E95" i="6" s="1"/>
  <c r="E6" i="23"/>
  <c r="E8" i="23" s="1"/>
  <c r="F7" i="7"/>
  <c r="F8" i="7" s="1"/>
  <c r="F25" i="6"/>
  <c r="F26" i="6" s="1"/>
  <c r="F7" i="10"/>
  <c r="F8" i="10" s="1"/>
  <c r="F7" i="6"/>
  <c r="F8" i="6" s="1"/>
  <c r="F31" i="6"/>
  <c r="F32" i="6" s="1"/>
  <c r="F33" i="6" s="1"/>
  <c r="F7" i="8"/>
  <c r="F8" i="8" s="1"/>
  <c r="F17" i="6"/>
  <c r="F10" i="10"/>
  <c r="F11" i="10" s="1"/>
  <c r="F7" i="11"/>
  <c r="F8" i="11" s="1"/>
  <c r="F9" i="11" s="1"/>
  <c r="F12" i="6"/>
  <c r="F13" i="6" s="1"/>
  <c r="F22" i="6"/>
  <c r="F23" i="6" s="1"/>
  <c r="F27" i="6" s="1"/>
  <c r="F7" i="9"/>
  <c r="D11" i="4"/>
  <c r="D13" i="4" s="1"/>
  <c r="D5" i="45"/>
  <c r="D8" i="46"/>
  <c r="D9" i="46" s="1"/>
  <c r="D21" i="46" s="1"/>
  <c r="D7" i="10"/>
  <c r="D8" i="10" s="1"/>
  <c r="D31" i="6"/>
  <c r="D32" i="6" s="1"/>
  <c r="D33" i="6" s="1"/>
  <c r="D22" i="6"/>
  <c r="D23" i="6" s="1"/>
  <c r="D17" i="6"/>
  <c r="D7" i="8"/>
  <c r="D8" i="8" s="1"/>
  <c r="D25" i="6"/>
  <c r="D26" i="6" s="1"/>
  <c r="D7" i="6"/>
  <c r="D8" i="6" s="1"/>
  <c r="D7" i="9"/>
  <c r="D10" i="10"/>
  <c r="D11" i="10" s="1"/>
  <c r="D7" i="11"/>
  <c r="D8" i="11" s="1"/>
  <c r="D9" i="11" s="1"/>
  <c r="D12" i="6"/>
  <c r="D13" i="6" s="1"/>
  <c r="D7" i="7"/>
  <c r="D8" i="7" s="1"/>
  <c r="G26" i="6"/>
  <c r="C27" i="6"/>
  <c r="E5" i="45"/>
  <c r="E11" i="4"/>
  <c r="E7" i="9"/>
  <c r="E7" i="6"/>
  <c r="E8" i="6" s="1"/>
  <c r="E31" i="6"/>
  <c r="E32" i="6" s="1"/>
  <c r="E33" i="6" s="1"/>
  <c r="E10" i="10"/>
  <c r="E11" i="10" s="1"/>
  <c r="E7" i="10"/>
  <c r="E8" i="10" s="1"/>
  <c r="E7" i="7"/>
  <c r="E8" i="7" s="1"/>
  <c r="E17" i="6"/>
  <c r="E7" i="8"/>
  <c r="E8" i="8" s="1"/>
  <c r="E25" i="6"/>
  <c r="E26" i="6" s="1"/>
  <c r="E12" i="6"/>
  <c r="E13" i="6" s="1"/>
  <c r="E7" i="11"/>
  <c r="E8" i="11" s="1"/>
  <c r="E9" i="11" s="1"/>
  <c r="E22" i="6"/>
  <c r="E23" i="6" s="1"/>
  <c r="F12" i="10" l="1"/>
  <c r="E8" i="46"/>
  <c r="F8" i="46" s="1"/>
  <c r="E12" i="10"/>
  <c r="G27" i="6"/>
  <c r="E27" i="6"/>
  <c r="E9" i="46"/>
  <c r="E21" i="46" s="1"/>
  <c r="D27" i="6"/>
  <c r="F72" i="4"/>
  <c r="F88" i="6"/>
  <c r="F90" i="6" s="1"/>
  <c r="F6" i="23"/>
  <c r="F8" i="23" s="1"/>
  <c r="G70" i="4"/>
  <c r="F6" i="22"/>
  <c r="F8" i="22" s="1"/>
  <c r="F93" i="6"/>
  <c r="F95" i="6" s="1"/>
  <c r="D67" i="6"/>
  <c r="D69" i="6" s="1"/>
  <c r="D74" i="4"/>
  <c r="D73" i="4" s="1"/>
  <c r="D6" i="18"/>
  <c r="D8" i="18" s="1"/>
  <c r="D72" i="6"/>
  <c r="D75" i="6" s="1"/>
  <c r="D5" i="36"/>
  <c r="D6" i="19"/>
  <c r="D9" i="19" s="1"/>
  <c r="D6" i="43"/>
  <c r="E13" i="4"/>
  <c r="F11" i="4"/>
  <c r="D7" i="17"/>
  <c r="D8" i="17" s="1"/>
  <c r="D5" i="34"/>
  <c r="D16" i="6"/>
  <c r="D18" i="6" s="1"/>
  <c r="D7" i="16"/>
  <c r="D8" i="16" s="1"/>
  <c r="D58" i="6"/>
  <c r="D59" i="6" s="1"/>
  <c r="D53" i="6"/>
  <c r="D6" i="9"/>
  <c r="D8" i="9" s="1"/>
  <c r="D37" i="4"/>
  <c r="D14" i="4"/>
  <c r="D8" i="15"/>
  <c r="D63" i="6"/>
  <c r="D64" i="6" s="1"/>
  <c r="E74" i="4"/>
  <c r="E12" i="4" s="1"/>
  <c r="E6" i="43"/>
  <c r="E67" i="6"/>
  <c r="E69" i="6" s="1"/>
  <c r="E6" i="18"/>
  <c r="E8" i="18" s="1"/>
  <c r="E5" i="36"/>
  <c r="E6" i="19"/>
  <c r="E9" i="19" s="1"/>
  <c r="E72" i="6"/>
  <c r="E75" i="6" s="1"/>
  <c r="G12" i="10"/>
  <c r="D12" i="10"/>
  <c r="G38" i="46"/>
  <c r="G39" i="46" s="1"/>
  <c r="G40" i="46" s="1"/>
  <c r="F39" i="46"/>
  <c r="F40" i="46" s="1"/>
  <c r="G8" i="46" l="1"/>
  <c r="G9" i="46" s="1"/>
  <c r="G21" i="46" s="1"/>
  <c r="F9" i="46"/>
  <c r="F21" i="46" s="1"/>
  <c r="E73" i="4"/>
  <c r="E71" i="4"/>
  <c r="E53" i="4"/>
  <c r="E20" i="4"/>
  <c r="E59" i="4"/>
  <c r="E6" i="4"/>
  <c r="E69" i="4"/>
  <c r="E5" i="42"/>
  <c r="E43" i="4"/>
  <c r="E10" i="4"/>
  <c r="E24" i="4"/>
  <c r="E63" i="4"/>
  <c r="E7" i="24"/>
  <c r="E8" i="24" s="1"/>
  <c r="E75" i="4"/>
  <c r="E45" i="4"/>
  <c r="E7" i="14"/>
  <c r="E8" i="14" s="1"/>
  <c r="E47" i="4"/>
  <c r="E5" i="43"/>
  <c r="E61" i="4"/>
  <c r="E34" i="4"/>
  <c r="E65" i="4"/>
  <c r="E36" i="4"/>
  <c r="E32" i="4"/>
  <c r="E30" i="4"/>
  <c r="E49" i="4"/>
  <c r="E41" i="4"/>
  <c r="E55" i="4"/>
  <c r="E26" i="4"/>
  <c r="E99" i="6"/>
  <c r="E100" i="6" s="1"/>
  <c r="E18" i="4"/>
  <c r="E57" i="4"/>
  <c r="E28" i="4"/>
  <c r="E67" i="4"/>
  <c r="E22" i="4"/>
  <c r="E16" i="4"/>
  <c r="E8" i="4"/>
  <c r="E51" i="4"/>
  <c r="E47" i="6"/>
  <c r="E48" i="6" s="1"/>
  <c r="D38" i="4"/>
  <c r="D5" i="41"/>
  <c r="D6" i="34"/>
  <c r="D5" i="40"/>
  <c r="F13" i="4"/>
  <c r="G11" i="4"/>
  <c r="G13" i="4" s="1"/>
  <c r="F6" i="18"/>
  <c r="F8" i="18" s="1"/>
  <c r="F72" i="6"/>
  <c r="F75" i="6" s="1"/>
  <c r="F5" i="36"/>
  <c r="F74" i="4"/>
  <c r="F67" i="6"/>
  <c r="F69" i="6" s="1"/>
  <c r="F6" i="19"/>
  <c r="F9" i="19" s="1"/>
  <c r="F6" i="43"/>
  <c r="E16" i="6"/>
  <c r="E18" i="6" s="1"/>
  <c r="E7" i="17"/>
  <c r="E8" i="17" s="1"/>
  <c r="E5" i="34"/>
  <c r="E8" i="15"/>
  <c r="E63" i="6"/>
  <c r="E64" i="6" s="1"/>
  <c r="E7" i="16"/>
  <c r="E8" i="16" s="1"/>
  <c r="E53" i="6"/>
  <c r="E37" i="4"/>
  <c r="E6" i="9"/>
  <c r="E8" i="9" s="1"/>
  <c r="E58" i="6"/>
  <c r="E59" i="6" s="1"/>
  <c r="E14" i="4"/>
  <c r="D12" i="4"/>
  <c r="D75" i="4"/>
  <c r="D30" i="4"/>
  <c r="D63" i="4"/>
  <c r="D32" i="4"/>
  <c r="D65" i="4"/>
  <c r="D34" i="4"/>
  <c r="D99" i="6"/>
  <c r="D100" i="6" s="1"/>
  <c r="D49" i="4"/>
  <c r="D20" i="4"/>
  <c r="D69" i="4"/>
  <c r="D22" i="4"/>
  <c r="D55" i="4"/>
  <c r="D24" i="4"/>
  <c r="D57" i="4"/>
  <c r="D26" i="4"/>
  <c r="D7" i="14"/>
  <c r="D8" i="14" s="1"/>
  <c r="D45" i="4"/>
  <c r="D5" i="43"/>
  <c r="D61" i="4"/>
  <c r="D6" i="4"/>
  <c r="D53" i="4"/>
  <c r="D16" i="4"/>
  <c r="D47" i="4"/>
  <c r="D18" i="4"/>
  <c r="D67" i="4"/>
  <c r="D36" i="4"/>
  <c r="D47" i="6"/>
  <c r="D48" i="6" s="1"/>
  <c r="D71" i="4"/>
  <c r="D51" i="4"/>
  <c r="D5" i="42"/>
  <c r="D41" i="4"/>
  <c r="D8" i="4"/>
  <c r="D43" i="4"/>
  <c r="D10" i="4"/>
  <c r="D59" i="4"/>
  <c r="D28" i="4"/>
  <c r="D7" i="24"/>
  <c r="D8" i="24" s="1"/>
  <c r="G72" i="4"/>
  <c r="G93" i="6"/>
  <c r="G95" i="6" s="1"/>
  <c r="G6" i="22"/>
  <c r="G8" i="22" s="1"/>
  <c r="G6" i="23"/>
  <c r="G8" i="23" s="1"/>
  <c r="G88" i="6"/>
  <c r="G90" i="6" s="1"/>
  <c r="G37" i="4"/>
  <c r="G58" i="6"/>
  <c r="G59" i="6" s="1"/>
  <c r="G53" i="6"/>
  <c r="G63" i="6"/>
  <c r="G64" i="6" s="1"/>
  <c r="G7" i="16"/>
  <c r="G8" i="16" s="1"/>
  <c r="G16" i="6"/>
  <c r="G18" i="6" s="1"/>
  <c r="G6" i="9"/>
  <c r="G8" i="9" s="1"/>
  <c r="G5" i="34"/>
  <c r="G8" i="15"/>
  <c r="G7" i="17"/>
  <c r="G8" i="17" s="1"/>
  <c r="G67" i="6" l="1"/>
  <c r="G69" i="6" s="1"/>
  <c r="G5" i="36"/>
  <c r="G72" i="6"/>
  <c r="G75" i="6" s="1"/>
  <c r="G6" i="18"/>
  <c r="G8" i="18" s="1"/>
  <c r="G6" i="43"/>
  <c r="G74" i="4"/>
  <c r="G6" i="19"/>
  <c r="G9" i="19" s="1"/>
  <c r="F73" i="4"/>
  <c r="F75" i="4"/>
  <c r="F30" i="4"/>
  <c r="F24" i="4"/>
  <c r="F49" i="4"/>
  <c r="F99" i="6"/>
  <c r="F100" i="6" s="1"/>
  <c r="F43" i="4"/>
  <c r="F61" i="4"/>
  <c r="F63" i="4"/>
  <c r="F22" i="4"/>
  <c r="F8" i="4"/>
  <c r="F41" i="4"/>
  <c r="F67" i="4"/>
  <c r="F34" i="4"/>
  <c r="F7" i="24"/>
  <c r="F8" i="24" s="1"/>
  <c r="F53" i="4"/>
  <c r="F55" i="4"/>
  <c r="F6" i="4"/>
  <c r="F65" i="4"/>
  <c r="F32" i="4"/>
  <c r="F59" i="4"/>
  <c r="F26" i="4"/>
  <c r="F47" i="6"/>
  <c r="F48" i="6" s="1"/>
  <c r="F45" i="4"/>
  <c r="F5" i="43"/>
  <c r="F71" i="4"/>
  <c r="F47" i="4"/>
  <c r="F5" i="42"/>
  <c r="F57" i="4"/>
  <c r="F16" i="4"/>
  <c r="F51" i="4"/>
  <c r="F18" i="4"/>
  <c r="F69" i="4"/>
  <c r="F36" i="4"/>
  <c r="F7" i="14"/>
  <c r="F8" i="14" s="1"/>
  <c r="F10" i="4"/>
  <c r="F28" i="4"/>
  <c r="F20" i="4"/>
  <c r="E6" i="34"/>
  <c r="E38" i="4"/>
  <c r="E5" i="40"/>
  <c r="E5" i="41"/>
  <c r="F7" i="17"/>
  <c r="F8" i="17" s="1"/>
  <c r="F6" i="9"/>
  <c r="F8" i="9" s="1"/>
  <c r="F53" i="6"/>
  <c r="F5" i="34"/>
  <c r="F7" i="16"/>
  <c r="F8" i="16" s="1"/>
  <c r="F63" i="6"/>
  <c r="F64" i="6" s="1"/>
  <c r="F16" i="6"/>
  <c r="F18" i="6" s="1"/>
  <c r="F8" i="15"/>
  <c r="F14" i="4"/>
  <c r="F37" i="4"/>
  <c r="F58" i="6"/>
  <c r="F59" i="6" s="1"/>
  <c r="G73" i="4"/>
  <c r="F12" i="4"/>
  <c r="G5" i="41"/>
  <c r="G6" i="34"/>
  <c r="G5" i="40"/>
  <c r="G38" i="4"/>
  <c r="F38" i="4" l="1"/>
  <c r="F5" i="41"/>
  <c r="F6" i="34"/>
  <c r="F5" i="40"/>
  <c r="G12" i="4"/>
  <c r="G71" i="4"/>
  <c r="G49" i="4"/>
  <c r="G16" i="4"/>
  <c r="G59" i="4"/>
  <c r="G26" i="4"/>
  <c r="G47" i="6"/>
  <c r="G48" i="6" s="1"/>
  <c r="G69" i="4"/>
  <c r="G36" i="4"/>
  <c r="G55" i="4"/>
  <c r="G6" i="4"/>
  <c r="G10" i="4"/>
  <c r="G7" i="24"/>
  <c r="G8" i="24" s="1"/>
  <c r="G7" i="14"/>
  <c r="G8" i="14" s="1"/>
  <c r="G75" i="4"/>
  <c r="G41" i="4"/>
  <c r="G8" i="4"/>
  <c r="G51" i="4"/>
  <c r="G18" i="4"/>
  <c r="G28" i="4"/>
  <c r="G61" i="4"/>
  <c r="G20" i="4"/>
  <c r="G47" i="4"/>
  <c r="G53" i="4"/>
  <c r="G22" i="4"/>
  <c r="G65" i="4"/>
  <c r="G32" i="4"/>
  <c r="G99" i="6"/>
  <c r="G100" i="6" s="1"/>
  <c r="G43" i="4"/>
  <c r="G5" i="43"/>
  <c r="G30" i="4"/>
  <c r="G63" i="4"/>
  <c r="G14" i="4"/>
  <c r="G57" i="4"/>
  <c r="G24" i="4"/>
  <c r="G67" i="4"/>
  <c r="G34" i="4"/>
  <c r="G5" i="42"/>
  <c r="G45" i="4"/>
</calcChain>
</file>

<file path=xl/sharedStrings.xml><?xml version="1.0" encoding="utf-8"?>
<sst xmlns="http://schemas.openxmlformats.org/spreadsheetml/2006/main" count="720" uniqueCount="288">
  <si>
    <t>Balance Sheet of GAIL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</si>
  <si>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</si>
  <si>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</si>
  <si>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</si>
  <si>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</si>
  <si>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</si>
  <si>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</si>
  <si>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</si>
  <si>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</si>
  <si>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</si>
  <si>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</si>
  <si>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</si>
  <si>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</si>
  <si>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</si>
  <si>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</si>
  <si>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</si>
  <si>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</si>
  <si>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</si>
  <si>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</si>
  <si>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</si>
  <si>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</si>
  <si>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</si>
  <si>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</si>
  <si>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</si>
  <si>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</si>
  <si>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</si>
  <si>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</si>
  <si>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</si>
  <si>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</si>
  <si>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</si>
  <si>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</si>
  <si>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</si>
  <si>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</si>
  <si>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</si>
  <si>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</si>
  <si>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</si>
  <si>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</si>
  <si>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</si>
  <si>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</si>
  <si>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</si>
  <si>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</si>
  <si>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</si>
  <si>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</si>
  <si>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</si>
  <si>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</si>
  <si>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</si>
  <si>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</si>
  <si>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</si>
  <si>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</si>
  <si>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</si>
  <si>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</si>
  <si>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</si>
  <si>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</si>
  <si>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</si>
  <si>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</si>
  <si>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GAIL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</si>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</sst>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C0-4342-8E6E-1FE1FB3B7B4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C0-4342-8E6E-1FE1FB3B7B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21</c:v>
                </c:pt>
                <c:pt idx="1">
                  <c:v>29</c:v>
                </c:pt>
                <c:pt idx="2">
                  <c:v>21</c:v>
                </c:pt>
                <c:pt idx="3">
                  <c:v>14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C0-4342-8E6E-1FE1FB3B7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7536"/>
        <c:axId val="553815240"/>
      </c:lineChart>
      <c:catAx>
        <c:axId val="55381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7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641-41FB-9665-0C3F7191A0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0.49</c:v>
                </c:pt>
                <c:pt idx="1">
                  <c:v>0.3</c:v>
                </c:pt>
                <c:pt idx="2">
                  <c:v>0.19</c:v>
                </c:pt>
                <c:pt idx="3">
                  <c:v>0.11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41-41FB-9665-0C3F7191A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464"/>
        <c:axId val="447841480"/>
      </c:lineChart>
      <c:catAx>
        <c:axId val="4478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480"/>
        <c:crosses val="autoZero"/>
        <c:auto val="0"/>
        <c:lblAlgn val="ctr"/>
        <c:lblOffset val="100"/>
        <c:noMultiLvlLbl val="0"/>
      </c:catAx>
      <c:valAx>
        <c:axId val="447841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7842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0.17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C6-4049-8185-4A3837298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7048"/>
        <c:axId val="442856392"/>
      </c:lineChart>
      <c:catAx>
        <c:axId val="44285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6392"/>
        <c:crosses val="autoZero"/>
        <c:auto val="0"/>
        <c:lblAlgn val="ctr"/>
        <c:lblOffset val="100"/>
        <c:noMultiLvlLbl val="0"/>
      </c:catAx>
      <c:valAx>
        <c:axId val="442856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1E-41D0-9D27-75369A4472E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01E-41D0-9D27-75369A4472E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01E-41D0-9D27-75369A4472E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01E-41D0-9D27-75369A4472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5.0999999999999996</c:v>
                </c:pt>
                <c:pt idx="2">
                  <c:v>8.35</c:v>
                </c:pt>
                <c:pt idx="3">
                  <c:v>9.58</c:v>
                </c:pt>
                <c:pt idx="4">
                  <c:v>11.51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1E-41D0-9D27-75369A447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5408"/>
        <c:axId val="442855736"/>
      </c:lineChart>
      <c:catAx>
        <c:axId val="44285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5736"/>
        <c:crosses val="autoZero"/>
        <c:auto val="0"/>
        <c:lblAlgn val="ctr"/>
        <c:lblOffset val="100"/>
        <c:noMultiLvlLbl val="0"/>
      </c:catAx>
      <c:valAx>
        <c:axId val="44285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5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0A-4F86-9B0D-415D4B8EE9D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0A-4F86-9B0D-415D4B8EE9D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60A-4F86-9B0D-415D4B8EE9D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0A-4F86-9B0D-415D4B8EE9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1</c:v>
                </c:pt>
                <c:pt idx="1">
                  <c:v>4.92</c:v>
                </c:pt>
                <c:pt idx="2">
                  <c:v>8.14</c:v>
                </c:pt>
                <c:pt idx="3">
                  <c:v>9.41</c:v>
                </c:pt>
                <c:pt idx="4">
                  <c:v>11.33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0A-4F86-9B0D-415D4B8EE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4120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11-4057-B43E-0FF35509BD6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411-4057-B43E-0FF35509BD6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411-4057-B43E-0FF35509BD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147.88999999999999</c:v>
                </c:pt>
                <c:pt idx="1">
                  <c:v>396.7</c:v>
                </c:pt>
                <c:pt idx="2">
                  <c:v>196.77</c:v>
                </c:pt>
                <c:pt idx="3">
                  <c:v>255.43</c:v>
                </c:pt>
                <c:pt idx="4">
                  <c:v>360.08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11-4057-B43E-0FF35509B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814256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256"/>
        <c:crosses val="autoZero"/>
        <c:auto val="0"/>
        <c:lblAlgn val="ctr"/>
        <c:lblOffset val="100"/>
        <c:noMultiLvlLbl val="0"/>
      </c:catAx>
      <c:valAx>
        <c:axId val="55381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181-422C-8450-2A6E8BF36B2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181-422C-8450-2A6E8BF36B2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81-422C-8450-2A6E8BF36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296"/>
        <c:axId val="553512312"/>
      </c:lineChart>
      <c:catAx>
        <c:axId val="55351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2312"/>
        <c:crosses val="autoZero"/>
        <c:auto val="0"/>
        <c:lblAlgn val="ctr"/>
        <c:lblOffset val="100"/>
        <c:noMultiLvlLbl val="0"/>
      </c:catAx>
      <c:valAx>
        <c:axId val="553512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57-44DA-846A-FB42599D940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57-44DA-846A-FB42599D940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57-44DA-846A-FB42599D94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251.97</c:v>
                </c:pt>
                <c:pt idx="1">
                  <c:v>4051.95</c:v>
                </c:pt>
                <c:pt idx="2">
                  <c:v>9339.61</c:v>
                </c:pt>
                <c:pt idx="3">
                  <c:v>14358.2</c:v>
                </c:pt>
                <c:pt idx="4">
                  <c:v>7082.9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57-44DA-846A-FB42599D9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5128"/>
        <c:axId val="441530840"/>
      </c:lineChart>
      <c:catAx>
        <c:axId val="62751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840"/>
        <c:crosses val="autoZero"/>
        <c:auto val="0"/>
        <c:lblAlgn val="ctr"/>
        <c:lblOffset val="100"/>
        <c:noMultiLvlLbl val="0"/>
      </c:catAx>
      <c:valAx>
        <c:axId val="44153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5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A5C-42ED-971C-536B82670BF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A5C-42ED-971C-536B82670BF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A5C-42ED-971C-536B82670BF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A5C-42ED-971C-536B82670B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2858.54</c:v>
                </c:pt>
                <c:pt idx="1">
                  <c:v>56392.41</c:v>
                </c:pt>
                <c:pt idx="2">
                  <c:v>112893.33</c:v>
                </c:pt>
                <c:pt idx="3">
                  <c:v>153647.64000000001</c:v>
                </c:pt>
                <c:pt idx="4">
                  <c:v>215461.47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5C-42ED-971C-536B82670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30512"/>
        <c:axId val="441528216"/>
      </c:lineChart>
      <c:catAx>
        <c:axId val="44153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28216"/>
        <c:crosses val="autoZero"/>
        <c:auto val="0"/>
        <c:lblAlgn val="ctr"/>
        <c:lblOffset val="100"/>
        <c:noMultiLvlLbl val="0"/>
      </c:catAx>
      <c:valAx>
        <c:axId val="441528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3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11F-4910-9EBA-FD8CD44A7B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0.89</c:v>
                </c:pt>
                <c:pt idx="1">
                  <c:v>0.62</c:v>
                </c:pt>
                <c:pt idx="2">
                  <c:v>0.4</c:v>
                </c:pt>
                <c:pt idx="3">
                  <c:v>0.25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1F-4910-9EBA-FD8CD44A7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3632"/>
        <c:axId val="446750024"/>
      </c:lineChart>
      <c:catAx>
        <c:axId val="44675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36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D6-41B7-A3DC-63C9510D2B7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D6-41B7-A3DC-63C9510D2B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28.23</c:v>
                </c:pt>
                <c:pt idx="1">
                  <c:v>30.33</c:v>
                </c:pt>
                <c:pt idx="2">
                  <c:v>22.75</c:v>
                </c:pt>
                <c:pt idx="3">
                  <c:v>19.13</c:v>
                </c:pt>
                <c:pt idx="4">
                  <c:v>25.97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D6-41B7-A3DC-63C9510D2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4944"/>
        <c:axId val="446752976"/>
      </c:lineChart>
      <c:catAx>
        <c:axId val="4467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976"/>
        <c:crosses val="autoZero"/>
        <c:auto val="0"/>
        <c:lblAlgn val="ctr"/>
        <c:lblOffset val="100"/>
        <c:noMultiLvlLbl val="0"/>
      </c:catAx>
      <c:valAx>
        <c:axId val="44675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4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A5-4ECF-96E5-EE6D2E9E5C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1.07</c:v>
                </c:pt>
                <c:pt idx="1">
                  <c:v>0.84</c:v>
                </c:pt>
                <c:pt idx="2">
                  <c:v>1.1599999999999999</c:v>
                </c:pt>
                <c:pt idx="3">
                  <c:v>0.71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A5-4ECF-96E5-EE6D2E9E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594608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608"/>
        <c:crosses val="autoZero"/>
        <c:auto val="0"/>
        <c:lblAlgn val="ctr"/>
        <c:lblOffset val="100"/>
        <c:noMultiLvlLbl val="0"/>
      </c:catAx>
      <c:valAx>
        <c:axId val="553594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C6-45C8-BDEB-5BC1FC6D463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6C6-45C8-BDEB-5BC1FC6D46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15.91</c:v>
                </c:pt>
                <c:pt idx="1">
                  <c:v>17.399999999999999</c:v>
                </c:pt>
                <c:pt idx="2">
                  <c:v>15.03</c:v>
                </c:pt>
                <c:pt idx="3">
                  <c:v>16.34</c:v>
                </c:pt>
                <c:pt idx="4">
                  <c:v>12.47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C6-45C8-BDEB-5BC1FC6D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0512"/>
        <c:axId val="446641168"/>
      </c:lineChart>
      <c:catAx>
        <c:axId val="4466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1168"/>
        <c:crosses val="autoZero"/>
        <c:auto val="0"/>
        <c:lblAlgn val="ctr"/>
        <c:lblOffset val="100"/>
        <c:noMultiLvlLbl val="0"/>
      </c:catAx>
      <c:valAx>
        <c:axId val="446641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1E0-4F23-899F-F4F043E80C1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1E0-4F23-899F-F4F043E80C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1.85</c:v>
                </c:pt>
                <c:pt idx="1">
                  <c:v>2.4300000000000002</c:v>
                </c:pt>
                <c:pt idx="2">
                  <c:v>1.99</c:v>
                </c:pt>
                <c:pt idx="3">
                  <c:v>1.47</c:v>
                </c:pt>
                <c:pt idx="4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E0-4F23-899F-F4F043E80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59864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9864"/>
        <c:crosses val="autoZero"/>
        <c:auto val="0"/>
        <c:lblAlgn val="ctr"/>
        <c:lblOffset val="100"/>
        <c:noMultiLvlLbl val="0"/>
      </c:catAx>
      <c:valAx>
        <c:axId val="446759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FF1-4D0C-8898-72AA800002C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FF1-4D0C-8898-72AA800002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0.33</c:v>
                </c:pt>
                <c:pt idx="1">
                  <c:v>0.37</c:v>
                </c:pt>
                <c:pt idx="2">
                  <c:v>0.28999999999999998</c:v>
                </c:pt>
                <c:pt idx="3">
                  <c:v>0.23</c:v>
                </c:pt>
                <c:pt idx="4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F1-4D0C-8898-72AA80000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10944"/>
        <c:axId val="546608648"/>
      </c:lineChart>
      <c:catAx>
        <c:axId val="5466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08648"/>
        <c:crosses val="autoZero"/>
        <c:auto val="0"/>
        <c:lblAlgn val="ctr"/>
        <c:lblOffset val="100"/>
        <c:noMultiLvlLbl val="0"/>
      </c:catAx>
      <c:valAx>
        <c:axId val="546608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10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46D-4706-A0ED-0A682440F77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46D-4706-A0ED-0A682440F7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12.93</c:v>
                </c:pt>
                <c:pt idx="1">
                  <c:v>12.03</c:v>
                </c:pt>
                <c:pt idx="2">
                  <c:v>16.04</c:v>
                </c:pt>
                <c:pt idx="3">
                  <c:v>19.079999999999998</c:v>
                </c:pt>
                <c:pt idx="4">
                  <c:v>14.06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6D-4706-A0ED-0A682440F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1984"/>
        <c:axId val="442857704"/>
      </c:lineChart>
      <c:catAx>
        <c:axId val="55351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704"/>
        <c:crosses val="autoZero"/>
        <c:auto val="0"/>
        <c:lblAlgn val="ctr"/>
        <c:lblOffset val="100"/>
        <c:noMultiLvlLbl val="0"/>
      </c:catAx>
      <c:valAx>
        <c:axId val="44285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1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F91-42B5-B865-CAEED7C2CA8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F91-42B5-B865-CAEED7C2CA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1100.1600000000001</c:v>
                </c:pt>
                <c:pt idx="1">
                  <c:v>989.9</c:v>
                </c:pt>
                <c:pt idx="2">
                  <c:v>1256.01</c:v>
                </c:pt>
                <c:pt idx="3">
                  <c:v>1612.59</c:v>
                </c:pt>
                <c:pt idx="4">
                  <c:v>664.84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91-42B5-B865-CAEED7C2C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3464"/>
        <c:axId val="446639856"/>
      </c:lineChart>
      <c:catAx>
        <c:axId val="44664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39856"/>
        <c:crosses val="autoZero"/>
        <c:auto val="0"/>
        <c:lblAlgn val="ctr"/>
        <c:lblOffset val="100"/>
        <c:noMultiLvlLbl val="0"/>
      </c:catAx>
      <c:valAx>
        <c:axId val="44663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3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18B-4A93-A25E-7A190284BB1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8B-4A93-A25E-7A190284B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22.94</c:v>
                </c:pt>
                <c:pt idx="1">
                  <c:v>20.98</c:v>
                </c:pt>
                <c:pt idx="2">
                  <c:v>24.28</c:v>
                </c:pt>
                <c:pt idx="3">
                  <c:v>22.34</c:v>
                </c:pt>
                <c:pt idx="4">
                  <c:v>29.27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B-4A93-A25E-7A190284B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384"/>
        <c:axId val="361708992"/>
      </c:lineChart>
      <c:catAx>
        <c:axId val="5495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708992"/>
        <c:crosses val="autoZero"/>
        <c:auto val="0"/>
        <c:lblAlgn val="ctr"/>
        <c:lblOffset val="100"/>
        <c:noMultiLvlLbl val="0"/>
      </c:catAx>
      <c:valAx>
        <c:axId val="361708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099-41A4-9BF8-80B1929D566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099-41A4-9BF8-80B1929D56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1113.0899999999999</c:v>
                </c:pt>
                <c:pt idx="1">
                  <c:v>1001.93</c:v>
                </c:pt>
                <c:pt idx="2">
                  <c:v>1272.05</c:v>
                </c:pt>
                <c:pt idx="3">
                  <c:v>1631.67</c:v>
                </c:pt>
                <c:pt idx="4">
                  <c:v>678.9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99-41A4-9BF8-80B1929D5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708664"/>
        <c:axId val="361707024"/>
      </c:lineChart>
      <c:catAx>
        <c:axId val="36170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707024"/>
        <c:crosses val="autoZero"/>
        <c:auto val="0"/>
        <c:lblAlgn val="ctr"/>
        <c:lblOffset val="100"/>
        <c:noMultiLvlLbl val="0"/>
      </c:catAx>
      <c:valAx>
        <c:axId val="361707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708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606-40E4-9100-917F4683A32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606-40E4-9100-917F4683A3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-12.93</c:v>
                </c:pt>
                <c:pt idx="1">
                  <c:v>-12.03</c:v>
                </c:pt>
                <c:pt idx="2">
                  <c:v>-16.04</c:v>
                </c:pt>
                <c:pt idx="3">
                  <c:v>-19.079999999999998</c:v>
                </c:pt>
                <c:pt idx="4">
                  <c:v>-14.06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06-40E4-9100-917F4683A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3918840"/>
        <c:axId val="633919496"/>
      </c:lineChart>
      <c:catAx>
        <c:axId val="63391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3919496"/>
        <c:crosses val="autoZero"/>
        <c:auto val="0"/>
        <c:lblAlgn val="ctr"/>
        <c:lblOffset val="100"/>
        <c:noMultiLvlLbl val="0"/>
      </c:catAx>
      <c:valAx>
        <c:axId val="633919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3918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41678.57</c:v>
                </c:pt>
                <c:pt idx="1">
                  <c:v>99304.765412447217</c:v>
                </c:pt>
                <c:pt idx="2">
                  <c:v>157164.60581837589</c:v>
                </c:pt>
                <c:pt idx="3">
                  <c:v>198884.72441451225</c:v>
                </c:pt>
                <c:pt idx="4">
                  <c:v>268430.92591678491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0A-47B7-A96E-98D4144C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079176"/>
        <c:axId val="55107819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121708.06541244722</c:v>
                </c:pt>
                <c:pt idx="2">
                  <c:v>182810.53581837591</c:v>
                </c:pt>
                <c:pt idx="3">
                  <c:v>227087.34441451225</c:v>
                </c:pt>
                <c:pt idx="4">
                  <c:v>300876.0459167849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0A-47B7-A96E-98D4144C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079176"/>
        <c:axId val="551078192"/>
      </c:lineChart>
      <c:catAx>
        <c:axId val="55107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8192"/>
        <c:crosses val="autoZero"/>
        <c:auto val="1"/>
        <c:lblAlgn val="ctr"/>
        <c:lblOffset val="100"/>
        <c:noMultiLvlLbl val="0"/>
      </c:catAx>
      <c:valAx>
        <c:axId val="55107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9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45141.651268402849</c:v>
                </c:pt>
                <c:pt idx="1">
                  <c:v>64821.065412447213</c:v>
                </c:pt>
                <c:pt idx="2">
                  <c:v>62869.180405928666</c:v>
                </c:pt>
                <c:pt idx="3">
                  <c:v>47964.168596136355</c:v>
                </c:pt>
                <c:pt idx="4">
                  <c:v>75328.741502272664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6-4F49-8AF1-CC3F54E1A1E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43614.76126840285</c:v>
                </c:pt>
                <c:pt idx="1">
                  <c:v>63154.425412447214</c:v>
                </c:pt>
                <c:pt idx="2">
                  <c:v>60789.020405928663</c:v>
                </c:pt>
                <c:pt idx="3">
                  <c:v>45790.348596136355</c:v>
                </c:pt>
                <c:pt idx="4">
                  <c:v>72908.571502272665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46-4F49-8AF1-CC3F54E1A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60848"/>
        <c:axId val="446761176"/>
      </c:barChart>
      <c:catAx>
        <c:axId val="44676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1176"/>
        <c:crosses val="autoZero"/>
        <c:auto val="1"/>
        <c:lblAlgn val="ctr"/>
        <c:lblOffset val="100"/>
        <c:noMultiLvlLbl val="0"/>
      </c:catAx>
      <c:valAx>
        <c:axId val="446761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8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19-4813-8E8F-5623AEF334A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119-4813-8E8F-5623AEF334A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119-4813-8E8F-5623AEF334A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119-4813-8E8F-5623AEF334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21.25</c:v>
                </c:pt>
                <c:pt idx="1">
                  <c:v>48.22</c:v>
                </c:pt>
                <c:pt idx="2">
                  <c:v>55.41</c:v>
                </c:pt>
                <c:pt idx="3">
                  <c:v>63.24</c:v>
                </c:pt>
                <c:pt idx="4">
                  <c:v>108.07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19-4813-8E8F-5623AEF33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3096"/>
        <c:axId val="559957032"/>
      </c:lineChart>
      <c:catAx>
        <c:axId val="55995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7032"/>
        <c:crosses val="autoZero"/>
        <c:auto val="0"/>
        <c:lblAlgn val="ctr"/>
        <c:lblOffset val="100"/>
        <c:noMultiLvlLbl val="0"/>
      </c:catAx>
      <c:valAx>
        <c:axId val="559957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30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14463.59</c:v>
                </c:pt>
                <c:pt idx="1">
                  <c:v>70311.20541244722</c:v>
                </c:pt>
                <c:pt idx="2">
                  <c:v>126768.45581837588</c:v>
                </c:pt>
                <c:pt idx="3">
                  <c:v>165390.22441451222</c:v>
                </c:pt>
                <c:pt idx="4">
                  <c:v>232746.22591678493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DC-4DA6-85F3-348E5C5EEB4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12481.24</c:v>
                </c:pt>
                <c:pt idx="1">
                  <c:v>13776.74</c:v>
                </c:pt>
                <c:pt idx="2">
                  <c:v>15182.099999999999</c:v>
                </c:pt>
                <c:pt idx="3">
                  <c:v>17256.37</c:v>
                </c:pt>
                <c:pt idx="4">
                  <c:v>20224.45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DC-4DA6-85F3-348E5C5EE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044400"/>
        <c:axId val="364045384"/>
      </c:barChart>
      <c:catAx>
        <c:axId val="36404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1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589.1</c:v>
                </c:pt>
                <c:pt idx="1">
                  <c:v>702.04</c:v>
                </c:pt>
                <c:pt idx="2">
                  <c:v>538.51</c:v>
                </c:pt>
                <c:pt idx="3">
                  <c:v>557.02</c:v>
                </c:pt>
                <c:pt idx="4">
                  <c:v>676.08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DA-4816-927B-6FE2E2DCD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51680"/>
        <c:axId val="546949712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865.08</c:v>
                </c:pt>
                <c:pt idx="1">
                  <c:v>755.05</c:v>
                </c:pt>
                <c:pt idx="2">
                  <c:v>775.16</c:v>
                </c:pt>
                <c:pt idx="3">
                  <c:v>828.71</c:v>
                </c:pt>
                <c:pt idx="4">
                  <c:v>873.2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DA-4816-927B-6FE2E2DCD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590760"/>
        <c:axId val="546950368"/>
      </c:lineChart>
      <c:catAx>
        <c:axId val="5469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6949712"/>
        <c:crosses val="autoZero"/>
        <c:auto val="1"/>
        <c:lblAlgn val="ctr"/>
        <c:lblOffset val="100"/>
        <c:noMultiLvlLbl val="0"/>
      </c:catAx>
      <c:valAx>
        <c:axId val="546949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51680"/>
        <c:crosses val="autoZero"/>
        <c:crossBetween val="between"/>
      </c:valAx>
      <c:valAx>
        <c:axId val="5469503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8590760"/>
        <c:crosses val="max"/>
        <c:crossBetween val="between"/>
      </c:valAx>
      <c:catAx>
        <c:axId val="548590760"/>
        <c:scaling>
          <c:orientation val="minMax"/>
        </c:scaling>
        <c:delete val="1"/>
        <c:axPos val="b"/>
        <c:majorTickMark val="out"/>
        <c:minorTickMark val="none"/>
        <c:tickLblPos val="nextTo"/>
        <c:crossAx val="5469503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4140.8999999999996</c:v>
                </c:pt>
                <c:pt idx="1">
                  <c:v>5079.83</c:v>
                </c:pt>
                <c:pt idx="2">
                  <c:v>4411.97</c:v>
                </c:pt>
                <c:pt idx="3">
                  <c:v>3905.88</c:v>
                </c:pt>
                <c:pt idx="4">
                  <c:v>11103.28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85-4EB0-B2F2-E81D15CEF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51784"/>
        <c:axId val="5599583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85-4EB0-B2F2-E81D15CEF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629688"/>
        <c:axId val="632628376"/>
      </c:lineChart>
      <c:catAx>
        <c:axId val="55995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9958344"/>
        <c:crosses val="autoZero"/>
        <c:auto val="1"/>
        <c:lblAlgn val="ctr"/>
        <c:lblOffset val="100"/>
        <c:noMultiLvlLbl val="0"/>
      </c:catAx>
      <c:valAx>
        <c:axId val="559958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1784"/>
        <c:crosses val="autoZero"/>
        <c:crossBetween val="between"/>
      </c:valAx>
      <c:valAx>
        <c:axId val="6326283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2629688"/>
        <c:crosses val="max"/>
        <c:crossBetween val="between"/>
      </c:valAx>
      <c:catAx>
        <c:axId val="632629688"/>
        <c:scaling>
          <c:orientation val="minMax"/>
        </c:scaling>
        <c:delete val="1"/>
        <c:axPos val="b"/>
        <c:majorTickMark val="out"/>
        <c:minorTickMark val="none"/>
        <c:tickLblPos val="nextTo"/>
        <c:crossAx val="63262837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54556.09</c:v>
                </c:pt>
                <c:pt idx="1">
                  <c:v>75912.02</c:v>
                </c:pt>
                <c:pt idx="2">
                  <c:v>72423.56</c:v>
                </c:pt>
                <c:pt idx="3">
                  <c:v>57208.12</c:v>
                </c:pt>
                <c:pt idx="4">
                  <c:v>92873.82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9-4BE8-A8C2-4D58C8EE9AC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55171.861268402849</c:v>
                </c:pt>
                <c:pt idx="1">
                  <c:v>77083.025412447212</c:v>
                </c:pt>
                <c:pt idx="2">
                  <c:v>73902.45040592867</c:v>
                </c:pt>
                <c:pt idx="3">
                  <c:v>58272.988596136354</c:v>
                </c:pt>
                <c:pt idx="4">
                  <c:v>93943.091502272655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9-4BE8-A8C2-4D58C8EE9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06896"/>
        <c:axId val="450106240"/>
      </c:barChart>
      <c:catAx>
        <c:axId val="45010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06240"/>
        <c:crosses val="autoZero"/>
        <c:auto val="1"/>
        <c:lblAlgn val="ctr"/>
        <c:lblOffset val="100"/>
        <c:noMultiLvlLbl val="0"/>
      </c:catAx>
      <c:valAx>
        <c:axId val="450106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06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121708.06541244722</c:v>
                </c:pt>
                <c:pt idx="2">
                  <c:v>182810.53581837591</c:v>
                </c:pt>
                <c:pt idx="3">
                  <c:v>227087.34441451225</c:v>
                </c:pt>
                <c:pt idx="4">
                  <c:v>300876.0459167849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C6-4910-8B81-5C54EBF7AA71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7135.41</c:v>
                </c:pt>
                <c:pt idx="1">
                  <c:v>8580.61</c:v>
                </c:pt>
                <c:pt idx="2">
                  <c:v>10376.790000000001</c:v>
                </c:pt>
                <c:pt idx="3">
                  <c:v>10848.76</c:v>
                </c:pt>
                <c:pt idx="4">
                  <c:v>12029.49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C6-4910-8B81-5C54EBF7A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312648"/>
        <c:axId val="553314288"/>
      </c:barChart>
      <c:catAx>
        <c:axId val="55331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14288"/>
        <c:crosses val="autoZero"/>
        <c:auto val="1"/>
        <c:lblAlgn val="ctr"/>
        <c:lblOffset val="100"/>
        <c:noMultiLvlLbl val="0"/>
      </c:catAx>
      <c:valAx>
        <c:axId val="553314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12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121708.06541244722</c:v>
                </c:pt>
                <c:pt idx="2">
                  <c:v>182810.53581837591</c:v>
                </c:pt>
                <c:pt idx="3">
                  <c:v>227087.34441451225</c:v>
                </c:pt>
                <c:pt idx="4">
                  <c:v>300876.0459167849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54-47D9-8576-2882EDA94E4B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12481.24</c:v>
                </c:pt>
                <c:pt idx="1">
                  <c:v>13776.74</c:v>
                </c:pt>
                <c:pt idx="2">
                  <c:v>15182.099999999999</c:v>
                </c:pt>
                <c:pt idx="3">
                  <c:v>17256.37</c:v>
                </c:pt>
                <c:pt idx="4">
                  <c:v>20224.45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54-47D9-8576-2882EDA94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885136"/>
        <c:axId val="549887432"/>
      </c:barChart>
      <c:catAx>
        <c:axId val="54988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887432"/>
        <c:crosses val="autoZero"/>
        <c:auto val="1"/>
        <c:lblAlgn val="ctr"/>
        <c:lblOffset val="100"/>
        <c:noMultiLvlLbl val="0"/>
      </c:catAx>
      <c:valAx>
        <c:axId val="549887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8851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61334.14</c:v>
                </c:pt>
                <c:pt idx="1">
                  <c:v>121708.06541244722</c:v>
                </c:pt>
                <c:pt idx="2">
                  <c:v>182810.53581837588</c:v>
                </c:pt>
                <c:pt idx="3">
                  <c:v>227087.34441451222</c:v>
                </c:pt>
                <c:pt idx="4">
                  <c:v>300876.0459167849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E9-4F95-946F-604432DDFAE6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46870.55</c:v>
                </c:pt>
                <c:pt idx="1">
                  <c:v>51396.86</c:v>
                </c:pt>
                <c:pt idx="2">
                  <c:v>56042.080000000002</c:v>
                </c:pt>
                <c:pt idx="3">
                  <c:v>61697.12000000001</c:v>
                </c:pt>
                <c:pt idx="4">
                  <c:v>68129.820000000007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E9-4F95-946F-604432DDF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116256"/>
        <c:axId val="364112976"/>
      </c:barChart>
      <c:catAx>
        <c:axId val="3641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112976"/>
        <c:crosses val="autoZero"/>
        <c:auto val="1"/>
        <c:lblAlgn val="ctr"/>
        <c:lblOffset val="100"/>
        <c:noMultiLvlLbl val="0"/>
      </c:catAx>
      <c:valAx>
        <c:axId val="36411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1162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61334.14</c:v>
                </c:pt>
                <c:pt idx="1">
                  <c:v>121708.06541244722</c:v>
                </c:pt>
                <c:pt idx="2">
                  <c:v>182810.53581837588</c:v>
                </c:pt>
                <c:pt idx="3">
                  <c:v>227087.34441451222</c:v>
                </c:pt>
                <c:pt idx="4">
                  <c:v>300876.0459167849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9-46D2-86D2-FE9A07FD8DFC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14463.59</c:v>
                </c:pt>
                <c:pt idx="1">
                  <c:v>70311.20541244722</c:v>
                </c:pt>
                <c:pt idx="2">
                  <c:v>126768.45581837588</c:v>
                </c:pt>
                <c:pt idx="3">
                  <c:v>165390.22441451222</c:v>
                </c:pt>
                <c:pt idx="4">
                  <c:v>232746.22591678493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9-46D2-86D2-FE9A07FD8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8588792"/>
        <c:axId val="548590104"/>
      </c:barChart>
      <c:catAx>
        <c:axId val="54858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590104"/>
        <c:crosses val="autoZero"/>
        <c:auto val="1"/>
        <c:lblAlgn val="ctr"/>
        <c:lblOffset val="100"/>
        <c:noMultiLvlLbl val="0"/>
      </c:catAx>
      <c:valAx>
        <c:axId val="548590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588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10030.209999999999</c:v>
                </c:pt>
                <c:pt idx="1">
                  <c:v>12261.96</c:v>
                </c:pt>
                <c:pt idx="2">
                  <c:v>11033.27</c:v>
                </c:pt>
                <c:pt idx="3">
                  <c:v>10308.82</c:v>
                </c:pt>
                <c:pt idx="4">
                  <c:v>18614.349999999999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DA-4368-8227-7841D0C37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204328"/>
        <c:axId val="62720137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55171.861268402849</c:v>
                </c:pt>
                <c:pt idx="1">
                  <c:v>77083.025412447212</c:v>
                </c:pt>
                <c:pt idx="2">
                  <c:v>73902.45040592867</c:v>
                </c:pt>
                <c:pt idx="3">
                  <c:v>58272.988596136354</c:v>
                </c:pt>
                <c:pt idx="4">
                  <c:v>93943.091502272655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DA-4368-8227-7841D0C37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163584"/>
        <c:axId val="627207608"/>
      </c:lineChart>
      <c:catAx>
        <c:axId val="62720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201376"/>
        <c:crosses val="autoZero"/>
        <c:auto val="1"/>
        <c:lblAlgn val="ctr"/>
        <c:lblOffset val="100"/>
        <c:noMultiLvlLbl val="0"/>
      </c:catAx>
      <c:valAx>
        <c:axId val="627201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204328"/>
        <c:crosses val="autoZero"/>
        <c:crossBetween val="between"/>
      </c:valAx>
      <c:valAx>
        <c:axId val="6272076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2163584"/>
        <c:crosses val="max"/>
        <c:crossBetween val="between"/>
      </c:valAx>
      <c:catAx>
        <c:axId val="552163584"/>
        <c:scaling>
          <c:orientation val="minMax"/>
        </c:scaling>
        <c:delete val="1"/>
        <c:axPos val="b"/>
        <c:majorTickMark val="out"/>
        <c:minorTickMark val="none"/>
        <c:tickLblPos val="nextTo"/>
        <c:crossAx val="62720760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39090.141268402847</c:v>
                </c:pt>
                <c:pt idx="1">
                  <c:v>57626.195412447218</c:v>
                </c:pt>
                <c:pt idx="2">
                  <c:v>55604.770405928655</c:v>
                </c:pt>
                <c:pt idx="3">
                  <c:v>41789.868596136359</c:v>
                </c:pt>
                <c:pt idx="4">
                  <c:v>69546.20150227267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53-4D17-8869-5F694CBB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763344"/>
        <c:axId val="55076367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41197.001268402848</c:v>
                </c:pt>
                <c:pt idx="1">
                  <c:v>59716.805412447218</c:v>
                </c:pt>
                <c:pt idx="2">
                  <c:v>59565.780405928657</c:v>
                </c:pt>
                <c:pt idx="3">
                  <c:v>44028.448596136361</c:v>
                </c:pt>
                <c:pt idx="4">
                  <c:v>69546.20150227267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53-4D17-8869-5F694CBB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753832"/>
        <c:axId val="550759736"/>
      </c:lineChart>
      <c:catAx>
        <c:axId val="55076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3672"/>
        <c:crosses val="autoZero"/>
        <c:auto val="1"/>
        <c:lblAlgn val="ctr"/>
        <c:lblOffset val="100"/>
        <c:noMultiLvlLbl val="0"/>
      </c:catAx>
      <c:valAx>
        <c:axId val="550763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3344"/>
        <c:crosses val="autoZero"/>
        <c:crossBetween val="between"/>
      </c:valAx>
      <c:valAx>
        <c:axId val="5507597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0753832"/>
        <c:crosses val="max"/>
        <c:crossBetween val="between"/>
      </c:valAx>
      <c:catAx>
        <c:axId val="550753832"/>
        <c:scaling>
          <c:orientation val="minMax"/>
        </c:scaling>
        <c:delete val="1"/>
        <c:axPos val="b"/>
        <c:majorTickMark val="out"/>
        <c:minorTickMark val="none"/>
        <c:tickLblPos val="nextTo"/>
        <c:crossAx val="55075973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1D-44F4-93C0-A0A6F131A4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0.05</c:v>
                </c:pt>
                <c:pt idx="1">
                  <c:v>0.03</c:v>
                </c:pt>
                <c:pt idx="2">
                  <c:v>0.06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1D-44F4-93C0-A0A6F131A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248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248"/>
        <c:crosses val="autoZero"/>
        <c:auto val="0"/>
        <c:lblAlgn val="ctr"/>
        <c:lblOffset val="100"/>
        <c:noMultiLvlLbl val="0"/>
      </c:catAx>
      <c:valAx>
        <c:axId val="553596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E2A-43B4-96AD-BDB5DF9F8C6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E2A-43B4-96AD-BDB5DF9F8C6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E2A-43B4-96AD-BDB5DF9F8C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-7.0000000000000062E-2</c:v>
                </c:pt>
                <c:pt idx="1">
                  <c:v>0.16000000000000003</c:v>
                </c:pt>
                <c:pt idx="2">
                  <c:v>-0.15999999999999992</c:v>
                </c:pt>
                <c:pt idx="3">
                  <c:v>0.29000000000000004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2A-43B4-96AD-BDB5DF9F8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62080"/>
        <c:axId val="442962736"/>
      </c:lineChart>
      <c:catAx>
        <c:axId val="4429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2736"/>
        <c:crosses val="autoZero"/>
        <c:auto val="0"/>
        <c:lblAlgn val="ctr"/>
        <c:lblOffset val="100"/>
        <c:noMultiLvlLbl val="0"/>
      </c:catAx>
      <c:valAx>
        <c:axId val="442962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2962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A2C-4146-A790-BCA689E3B96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A2C-4146-A790-BCA689E3B96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50415.19</c:v>
                </c:pt>
                <c:pt idx="1">
                  <c:v>70832.19</c:v>
                </c:pt>
                <c:pt idx="2">
                  <c:v>68011.59</c:v>
                </c:pt>
                <c:pt idx="3">
                  <c:v>53302.239999999998</c:v>
                </c:pt>
                <c:pt idx="4">
                  <c:v>81770.539999999994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2C-4146-A790-BCA689E3B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0472"/>
        <c:axId val="559954080"/>
      </c:lineChart>
      <c:catAx>
        <c:axId val="55995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4080"/>
        <c:crosses val="autoZero"/>
        <c:auto val="0"/>
        <c:lblAlgn val="ctr"/>
        <c:lblOffset val="100"/>
        <c:noMultiLvlLbl val="0"/>
      </c:catAx>
      <c:valAx>
        <c:axId val="559954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9950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DC-4F68-A6C1-6078166DB70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DC-4F68-A6C1-6078166DB7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44525.88</c:v>
                </c:pt>
                <c:pt idx="1">
                  <c:v>63650.06</c:v>
                </c:pt>
                <c:pt idx="2">
                  <c:v>61390.29</c:v>
                </c:pt>
                <c:pt idx="3">
                  <c:v>46899.3</c:v>
                </c:pt>
                <c:pt idx="4">
                  <c:v>74259.47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DC-4F68-A6C1-6078166DB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224"/>
        <c:axId val="446750352"/>
      </c:lineChart>
      <c:catAx>
        <c:axId val="44675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352"/>
        <c:crosses val="autoZero"/>
        <c:auto val="0"/>
        <c:lblAlgn val="ctr"/>
        <c:lblOffset val="100"/>
        <c:noMultiLvlLbl val="0"/>
      </c:catAx>
      <c:valAx>
        <c:axId val="446750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6758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CB-4F60-B3F1-714276A2ED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0.67</c:v>
                </c:pt>
                <c:pt idx="1">
                  <c:v>0.49</c:v>
                </c:pt>
                <c:pt idx="2">
                  <c:v>0.33</c:v>
                </c:pt>
                <c:pt idx="3">
                  <c:v>0.19</c:v>
                </c:pt>
                <c:pt idx="4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CB-4F60-B3F1-714276A2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1624"/>
        <c:axId val="559963920"/>
      </c:lineChart>
      <c:catAx>
        <c:axId val="55996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3920"/>
        <c:crosses val="autoZero"/>
        <c:auto val="0"/>
        <c:lblAlgn val="ctr"/>
        <c:lblOffset val="100"/>
        <c:noMultiLvlLbl val="0"/>
      </c:catAx>
      <c:valAx>
        <c:axId val="559963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961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86-49FF-AB4A-22315102697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86-49FF-AB4A-2231510269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3.06</c:v>
                </c:pt>
                <c:pt idx="1">
                  <c:v>3.68</c:v>
                </c:pt>
                <c:pt idx="2">
                  <c:v>2.93</c:v>
                </c:pt>
                <c:pt idx="3">
                  <c:v>2.11</c:v>
                </c:pt>
                <c:pt idx="4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86-49FF-AB4A-22315102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3592"/>
        <c:axId val="559959984"/>
      </c:lineChart>
      <c:catAx>
        <c:axId val="55996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9984"/>
        <c:crosses val="autoZero"/>
        <c:auto val="0"/>
        <c:lblAlgn val="ctr"/>
        <c:lblOffset val="100"/>
        <c:noMultiLvlLbl val="0"/>
      </c:catAx>
      <c:valAx>
        <c:axId val="55995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9635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DF0A1-B5C1-B7F5-C268-DAE10B387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190775-08D7-147E-B88B-17DEB0945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20AF87-3F27-3A0F-E13F-85239BE3A7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E92ECA-7D75-1EBE-538C-7FA9F1127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A4124A-F0DD-423D-0C74-DE3EA1F2BB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C755F0-46F3-6CDD-1BE5-01B4B6801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AF5ECC-3F01-C0FD-7883-458972700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BE7C0-F6D5-09B6-9469-82D489875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4B5C0E-0373-D942-044F-CEFCC9C838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7E1CC-3DBB-A9DF-9E67-464B7A2ADD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1D9041-E61C-E371-D4A9-BB235C24F9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9C4AEF-B53A-628F-5B5A-9FB1D08026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DC0F8E-E38A-D89D-311C-970009DC1C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7635BE-A667-FEA9-85E7-CEB28CA0C2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6C52F-8B4D-F4EB-790D-487DA5E0B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81437B-C956-AB01-26BD-4268D05CAF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4CAEF7-DB45-1DD1-E8CD-A6DF86932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8A36B-D19F-34AB-214C-CADD4906D2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4B475-CC49-17EE-2DA5-B01B0688E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F3F753-429B-8845-D80A-C712F08A62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726E7150-17EB-DE60-79EB-3B8051026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DB1C0F0-D6FE-B294-DE30-4A8D541B15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63C274-A31B-B207-65E9-67C2CA7C7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C8CBCD4E-00CD-1B07-581D-AEF646C89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6753B2B2-CF46-3FD4-4BC1-9342F6007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C89C2D28-79A3-4C0F-25AB-C7A1740F28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50822414-BB4B-2B88-F534-06B42F538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A804BCC9-2D40-D962-0568-E9B87456F2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6E491B00-E7A2-83B4-E14D-B3E284D841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BE99ED46-7116-DBB5-274A-39AAF2F343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7BF419F-5D50-1D86-2A11-5DF80B8F2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61061C15-51D3-2A02-3460-C0D5ACC166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F36E1000-45AA-732A-7B49-E76E4A1CE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F1334E-C5B9-518F-15C1-69A70E8C8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29E8A-081F-0FF3-1B3B-A4FA1DD156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CE970A-2055-8DC5-BB87-336AE3FC2D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D95D6F-2DF3-9A4A-BBB4-EE9A4C49A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40A9A1-C81A-B990-3F60-3489AF48B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7427E4-0790-3F41-2F72-569EACFA2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E5D9B-8D10-4BA1-871B-6ED9598E1CA3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2255.0700000000002</v>
      </c>
      <c r="D6" s="2">
        <v>2255.0700000000002</v>
      </c>
      <c r="E6" s="2">
        <v>4510.1400000000003</v>
      </c>
      <c r="F6" s="2">
        <v>4440.3900000000003</v>
      </c>
      <c r="G6" s="2">
        <v>4440.3900000000003</v>
      </c>
      <c r="H6" t="s">
        <v>1</v>
      </c>
    </row>
    <row r="7" spans="1:15" x14ac:dyDescent="0.25">
      <c r="B7" t="s">
        <v>6</v>
      </c>
      <c r="C7" s="2">
        <v>2255.0700000000002</v>
      </c>
      <c r="D7" s="2">
        <v>2255.0700000000002</v>
      </c>
      <c r="E7" s="2">
        <v>4510.1400000000003</v>
      </c>
      <c r="F7" s="2">
        <v>4440.3900000000003</v>
      </c>
      <c r="G7" s="2">
        <v>4440.3900000000003</v>
      </c>
      <c r="H7" t="s">
        <v>1</v>
      </c>
    </row>
    <row r="8" spans="1:15" x14ac:dyDescent="0.25">
      <c r="A8" t="s">
        <v>90</v>
      </c>
      <c r="B8" t="s">
        <v>7</v>
      </c>
      <c r="C8" s="2">
        <v>39423.5</v>
      </c>
      <c r="D8" s="2">
        <v>43749.03</v>
      </c>
      <c r="E8" s="2">
        <v>44758.11</v>
      </c>
      <c r="F8" s="2">
        <v>48741.95</v>
      </c>
      <c r="G8" s="2">
        <v>59673.89</v>
      </c>
      <c r="H8" t="s">
        <v>1</v>
      </c>
    </row>
    <row r="9" spans="1:15" x14ac:dyDescent="0.25">
      <c r="B9" t="s">
        <v>8</v>
      </c>
      <c r="C9" s="2">
        <v>39423.5</v>
      </c>
      <c r="D9" s="2">
        <v>43749.03</v>
      </c>
      <c r="E9" s="2">
        <v>44758.11</v>
      </c>
      <c r="F9" s="2">
        <v>48741.95</v>
      </c>
      <c r="G9" s="2">
        <v>59673.89</v>
      </c>
      <c r="H9" t="s">
        <v>1</v>
      </c>
    </row>
    <row r="10" spans="1:15" x14ac:dyDescent="0.25">
      <c r="B10" t="s">
        <v>9</v>
      </c>
      <c r="C10" s="2">
        <v>41678.57</v>
      </c>
      <c r="D10" s="2">
        <v>46004.1</v>
      </c>
      <c r="E10" s="2">
        <v>49268.25</v>
      </c>
      <c r="F10" s="2">
        <v>53182.34</v>
      </c>
      <c r="G10" s="2">
        <v>64114.28</v>
      </c>
      <c r="H10" t="s">
        <v>1</v>
      </c>
    </row>
    <row r="11" spans="1:15" x14ac:dyDescent="0.25">
      <c r="A11" t="s">
        <v>10</v>
      </c>
      <c r="B11" t="s">
        <v>10</v>
      </c>
      <c r="C11">
        <v>38.92</v>
      </c>
      <c r="D11">
        <v>45.95</v>
      </c>
      <c r="E11">
        <v>87.04</v>
      </c>
      <c r="F11">
        <v>97.49</v>
      </c>
      <c r="G11">
        <v>191.18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1118.6400000000001</v>
      </c>
      <c r="D13" s="2">
        <v>1027.83</v>
      </c>
      <c r="E13" s="2">
        <v>3773.4</v>
      </c>
      <c r="F13" s="2">
        <v>5237.3999999999996</v>
      </c>
      <c r="G13" s="2">
        <v>5468.06</v>
      </c>
      <c r="H13" t="s">
        <v>1</v>
      </c>
    </row>
    <row r="14" spans="1:15" x14ac:dyDescent="0.25">
      <c r="A14" t="s">
        <v>91</v>
      </c>
      <c r="B14" t="s">
        <v>13</v>
      </c>
      <c r="C14" s="2">
        <v>5039.1099999999997</v>
      </c>
      <c r="D14" s="2">
        <v>6509.88</v>
      </c>
      <c r="E14" s="2">
        <v>4039.19</v>
      </c>
      <c r="F14" s="2">
        <v>4088.46</v>
      </c>
      <c r="G14" s="2">
        <v>4199.17</v>
      </c>
      <c r="H14" t="s">
        <v>1</v>
      </c>
    </row>
    <row r="15" spans="1:15" x14ac:dyDescent="0.25">
      <c r="A15" t="s">
        <v>92</v>
      </c>
      <c r="B15" t="s">
        <v>14</v>
      </c>
      <c r="C15" s="2">
        <v>1683.5</v>
      </c>
      <c r="D15" s="2">
        <v>3457.58</v>
      </c>
      <c r="E15" s="2">
        <v>4731.6400000000003</v>
      </c>
      <c r="F15" s="2">
        <v>5669.92</v>
      </c>
      <c r="G15" s="2">
        <v>6817.9</v>
      </c>
      <c r="H15" t="s">
        <v>1</v>
      </c>
    </row>
    <row r="16" spans="1:15" x14ac:dyDescent="0.25">
      <c r="A16" t="s">
        <v>93</v>
      </c>
      <c r="B16" t="s">
        <v>15</v>
      </c>
      <c r="C16">
        <v>589.1</v>
      </c>
      <c r="D16">
        <v>702.04</v>
      </c>
      <c r="E16">
        <v>538.51</v>
      </c>
      <c r="F16">
        <v>557.02</v>
      </c>
      <c r="G16">
        <v>676.08</v>
      </c>
      <c r="H16" t="s">
        <v>1</v>
      </c>
    </row>
    <row r="17" spans="1:8" x14ac:dyDescent="0.25">
      <c r="B17" t="s">
        <v>16</v>
      </c>
      <c r="C17" s="2">
        <v>8430.35</v>
      </c>
      <c r="D17" s="2">
        <v>11697.33</v>
      </c>
      <c r="E17" s="2">
        <v>13082.74</v>
      </c>
      <c r="F17" s="2">
        <v>15552.8</v>
      </c>
      <c r="G17" s="2">
        <v>17161.21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977.66</v>
      </c>
      <c r="D19" s="2">
        <v>1042.9000000000001</v>
      </c>
      <c r="E19" s="2">
        <v>2564.1999999999998</v>
      </c>
      <c r="F19" s="2">
        <v>1522.9</v>
      </c>
      <c r="G19">
        <v>2362.2600000000002</v>
      </c>
      <c r="H19" t="s">
        <v>1</v>
      </c>
    </row>
    <row r="20" spans="1:8" x14ac:dyDescent="0.25">
      <c r="A20" t="s">
        <v>92</v>
      </c>
      <c r="B20" t="s">
        <v>19</v>
      </c>
      <c r="C20" s="2">
        <v>3903.89</v>
      </c>
      <c r="D20" s="2">
        <v>3876.07</v>
      </c>
      <c r="E20" s="2">
        <v>3922.18</v>
      </c>
      <c r="F20" s="2">
        <v>4453.18</v>
      </c>
      <c r="G20" s="2">
        <v>5361.26</v>
      </c>
      <c r="H20" t="s">
        <v>1</v>
      </c>
    </row>
    <row r="21" spans="1:8" x14ac:dyDescent="0.25">
      <c r="A21" t="s">
        <v>92</v>
      </c>
      <c r="B21" t="s">
        <v>20</v>
      </c>
      <c r="C21" s="2">
        <v>5439.67</v>
      </c>
      <c r="D21" s="2">
        <v>4986</v>
      </c>
      <c r="E21" s="2">
        <v>5214.6099999999997</v>
      </c>
      <c r="F21" s="2">
        <v>5747.54</v>
      </c>
      <c r="G21" s="2">
        <v>6496.01</v>
      </c>
      <c r="H21" t="s">
        <v>1</v>
      </c>
    </row>
    <row r="22" spans="1:8" x14ac:dyDescent="0.25">
      <c r="A22" t="s">
        <v>93</v>
      </c>
      <c r="B22" t="s">
        <v>21</v>
      </c>
      <c r="C22">
        <v>865.08</v>
      </c>
      <c r="D22">
        <v>755.05</v>
      </c>
      <c r="E22">
        <v>775.16</v>
      </c>
      <c r="F22">
        <v>828.71</v>
      </c>
      <c r="G22">
        <v>873.2</v>
      </c>
      <c r="H22" t="s">
        <v>1</v>
      </c>
    </row>
    <row r="23" spans="1:8" x14ac:dyDescent="0.25">
      <c r="B23" t="s">
        <v>22</v>
      </c>
      <c r="C23" s="2">
        <v>11186.3</v>
      </c>
      <c r="D23" s="2">
        <v>10660.02</v>
      </c>
      <c r="E23" s="2">
        <v>12476.15</v>
      </c>
      <c r="F23" s="2">
        <v>12552.33</v>
      </c>
      <c r="G23" s="2">
        <v>15092.73</v>
      </c>
      <c r="H23" t="s">
        <v>1</v>
      </c>
    </row>
    <row r="24" spans="1:8" x14ac:dyDescent="0.25">
      <c r="B24" t="s">
        <v>23</v>
      </c>
      <c r="C24" s="2">
        <v>61334.14</v>
      </c>
      <c r="D24" s="2">
        <v>68407.399999999994</v>
      </c>
      <c r="E24" s="2">
        <v>74914.179999999993</v>
      </c>
      <c r="F24" s="2">
        <v>81384.960000000006</v>
      </c>
      <c r="G24" s="2">
        <v>96559.4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29416.84</v>
      </c>
      <c r="D27" s="2">
        <v>31287.77</v>
      </c>
      <c r="E27" s="2">
        <v>36349.26</v>
      </c>
      <c r="F27" s="2">
        <v>38859.660000000003</v>
      </c>
      <c r="G27" s="2">
        <v>60062.46</v>
      </c>
      <c r="H27" t="s">
        <v>1</v>
      </c>
    </row>
    <row r="28" spans="1:8" x14ac:dyDescent="0.25">
      <c r="A28" t="s">
        <v>29</v>
      </c>
      <c r="B28" t="s">
        <v>27</v>
      </c>
      <c r="C28">
        <v>1063.45</v>
      </c>
      <c r="D28" s="2">
        <v>1412.51</v>
      </c>
      <c r="E28" s="2">
        <v>1880.36</v>
      </c>
      <c r="F28" s="2">
        <v>2300.6799999999998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5798.26</v>
      </c>
      <c r="D29" s="2">
        <v>9737.5</v>
      </c>
      <c r="E29" s="2">
        <v>11666.31</v>
      </c>
      <c r="F29" s="2">
        <v>13399.66</v>
      </c>
      <c r="G29" s="2">
        <v>0</v>
      </c>
      <c r="H29" t="s">
        <v>1</v>
      </c>
    </row>
    <row r="30" spans="1:8" x14ac:dyDescent="0.25">
      <c r="B30" t="s">
        <v>29</v>
      </c>
      <c r="C30" s="2">
        <v>36418.68</v>
      </c>
      <c r="D30" s="2">
        <v>42437.78</v>
      </c>
      <c r="E30" s="2">
        <v>49895.93</v>
      </c>
      <c r="F30" s="2">
        <v>54560</v>
      </c>
      <c r="G30" s="2">
        <v>60062.46</v>
      </c>
      <c r="H30" t="s">
        <v>1</v>
      </c>
    </row>
    <row r="31" spans="1:8" x14ac:dyDescent="0.25">
      <c r="A31" t="s">
        <v>94</v>
      </c>
      <c r="B31" t="s">
        <v>30</v>
      </c>
      <c r="C31" s="2">
        <v>10070.4</v>
      </c>
      <c r="D31" s="2">
        <v>10625.72</v>
      </c>
      <c r="E31" s="2">
        <v>9892.9500000000007</v>
      </c>
      <c r="F31" s="2">
        <v>12589.26</v>
      </c>
      <c r="G31" s="2">
        <v>16408.150000000001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432.04</v>
      </c>
      <c r="H32" t="s">
        <v>1</v>
      </c>
    </row>
    <row r="33" spans="1:8" x14ac:dyDescent="0.25">
      <c r="A33" t="s">
        <v>95</v>
      </c>
      <c r="B33" t="s">
        <v>32</v>
      </c>
      <c r="C33">
        <v>550.05999999999995</v>
      </c>
      <c r="D33">
        <v>669.29</v>
      </c>
      <c r="E33">
        <v>556.12</v>
      </c>
      <c r="F33">
        <v>390.36</v>
      </c>
      <c r="G33">
        <v>285.37</v>
      </c>
      <c r="H33" t="s">
        <v>1</v>
      </c>
    </row>
    <row r="34" spans="1:8" x14ac:dyDescent="0.25">
      <c r="A34" t="s">
        <v>95</v>
      </c>
      <c r="B34" t="s">
        <v>33</v>
      </c>
      <c r="C34" s="2">
        <v>3406.58</v>
      </c>
      <c r="D34" s="2">
        <v>3625.98</v>
      </c>
      <c r="E34" s="2">
        <v>2574.75</v>
      </c>
      <c r="F34" s="2">
        <v>2978.11</v>
      </c>
      <c r="G34" s="2">
        <v>3064.23</v>
      </c>
      <c r="H34" t="s">
        <v>1</v>
      </c>
    </row>
    <row r="35" spans="1:8" x14ac:dyDescent="0.25">
      <c r="B35" t="s">
        <v>34</v>
      </c>
      <c r="C35" s="2">
        <v>50445.72</v>
      </c>
      <c r="D35" s="2">
        <v>57358.77</v>
      </c>
      <c r="E35" s="2">
        <v>62919.75</v>
      </c>
      <c r="F35" s="2">
        <v>70517.73</v>
      </c>
      <c r="G35" s="2">
        <v>80252.25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381.47</v>
      </c>
      <c r="D37">
        <v>0</v>
      </c>
      <c r="E37">
        <v>0</v>
      </c>
      <c r="F37">
        <v>468.48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1932.51</v>
      </c>
      <c r="D38" s="2">
        <v>2502.64</v>
      </c>
      <c r="E38" s="2">
        <v>3183.01</v>
      </c>
      <c r="F38" s="2">
        <v>2989.73</v>
      </c>
      <c r="G38" s="2">
        <v>3576.61</v>
      </c>
      <c r="H38" t="s">
        <v>1</v>
      </c>
    </row>
    <row r="39" spans="1:8" x14ac:dyDescent="0.25">
      <c r="A39" t="s">
        <v>96</v>
      </c>
      <c r="B39" t="s">
        <v>38</v>
      </c>
      <c r="C39" s="2">
        <v>3429.56</v>
      </c>
      <c r="D39" s="2">
        <v>4363.3900000000003</v>
      </c>
      <c r="E39" s="2">
        <v>4818.3100000000004</v>
      </c>
      <c r="F39" s="2">
        <v>3501.5</v>
      </c>
      <c r="G39" s="2">
        <v>7446.53</v>
      </c>
      <c r="H39" t="s">
        <v>1</v>
      </c>
    </row>
    <row r="40" spans="1:8" x14ac:dyDescent="0.25">
      <c r="A40" t="s">
        <v>96</v>
      </c>
      <c r="B40" t="s">
        <v>39</v>
      </c>
      <c r="C40" s="2">
        <v>2858.54</v>
      </c>
      <c r="D40" s="2">
        <v>1425.1</v>
      </c>
      <c r="E40" s="2">
        <v>1250.17</v>
      </c>
      <c r="F40" s="2">
        <v>2024.64</v>
      </c>
      <c r="G40" s="2">
        <v>2804.03</v>
      </c>
      <c r="H40" t="s">
        <v>1</v>
      </c>
    </row>
    <row r="41" spans="1:8" x14ac:dyDescent="0.25">
      <c r="A41" t="s">
        <v>95</v>
      </c>
      <c r="B41" t="s">
        <v>40</v>
      </c>
      <c r="C41">
        <v>693.59</v>
      </c>
      <c r="D41">
        <v>824</v>
      </c>
      <c r="E41" s="2">
        <v>1069.98</v>
      </c>
      <c r="F41">
        <v>685.67</v>
      </c>
      <c r="G41">
        <v>99.54</v>
      </c>
      <c r="H41" t="s">
        <v>1</v>
      </c>
    </row>
    <row r="42" spans="1:8" x14ac:dyDescent="0.25">
      <c r="A42" t="s">
        <v>95</v>
      </c>
      <c r="B42" t="s">
        <v>41</v>
      </c>
      <c r="C42" s="2">
        <v>1592.75</v>
      </c>
      <c r="D42" s="2">
        <v>1933.5</v>
      </c>
      <c r="E42" s="2">
        <v>1672.96</v>
      </c>
      <c r="F42" s="2">
        <v>1197.21</v>
      </c>
      <c r="G42" s="2">
        <v>2380.44</v>
      </c>
      <c r="H42" t="s">
        <v>1</v>
      </c>
    </row>
    <row r="43" spans="1:8" x14ac:dyDescent="0.25">
      <c r="B43" t="s">
        <v>42</v>
      </c>
      <c r="C43" s="2">
        <v>10888.42</v>
      </c>
      <c r="D43" s="2">
        <v>11048.63</v>
      </c>
      <c r="E43" s="2">
        <v>11994.43</v>
      </c>
      <c r="F43" s="2">
        <v>10867.23</v>
      </c>
      <c r="G43" s="2">
        <v>16307.15</v>
      </c>
      <c r="H43" t="s">
        <v>1</v>
      </c>
    </row>
    <row r="44" spans="1:8" x14ac:dyDescent="0.25">
      <c r="B44" t="s">
        <v>43</v>
      </c>
      <c r="C44" s="2">
        <v>61334.14</v>
      </c>
      <c r="D44" s="2">
        <v>68407.399999999994</v>
      </c>
      <c r="E44" s="2">
        <v>74914.179999999993</v>
      </c>
      <c r="F44" s="2">
        <v>81384.960000000006</v>
      </c>
      <c r="G44" s="2">
        <v>96559.4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33803.769999999997</v>
      </c>
      <c r="D47" s="2">
        <v>54360.71</v>
      </c>
      <c r="E47" s="2">
        <v>226955.6</v>
      </c>
      <c r="F47" s="2">
        <v>235884.19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1409.42</v>
      </c>
      <c r="D49" s="2">
        <v>1409.42</v>
      </c>
      <c r="E49" s="2">
        <v>3664.49</v>
      </c>
      <c r="F49" s="2">
        <v>3664.49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20820.669999999998</v>
      </c>
      <c r="D51" s="2">
        <v>21380</v>
      </c>
      <c r="E51" s="2">
        <v>18479</v>
      </c>
      <c r="F51" s="2">
        <v>23636.85</v>
      </c>
      <c r="G51" s="2">
        <v>0</v>
      </c>
      <c r="H51" t="s">
        <v>1</v>
      </c>
    </row>
    <row r="52" spans="2:8" x14ac:dyDescent="0.25">
      <c r="B52" t="s">
        <v>51</v>
      </c>
      <c r="C52">
        <v>1334.75</v>
      </c>
      <c r="D52" s="2">
        <v>2010.84</v>
      </c>
      <c r="E52" s="2">
        <v>3318.38</v>
      </c>
      <c r="F52" s="2">
        <v>4380.25</v>
      </c>
      <c r="G52" s="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381.47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1AB10918-3D40-48A8-AECA-4AED6B98A0C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9F43-B4AC-4571-B32B-57149311F84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41678.57</v>
      </c>
      <c r="D6" s="13">
        <f>Balance_Sheet!D13</f>
        <v>99304.765412447217</v>
      </c>
      <c r="E6" s="13">
        <f>Balance_Sheet!E13</f>
        <v>157164.60581837589</v>
      </c>
      <c r="F6" s="13">
        <f>Balance_Sheet!F13</f>
        <v>198884.72441451225</v>
      </c>
      <c r="G6" s="13">
        <f>Balance_Sheet!G13</f>
        <v>268430.92591678491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</row>
    <row r="8" spans="2:15" ht="18.75" x14ac:dyDescent="0.25">
      <c r="B8" s="14" t="s">
        <v>150</v>
      </c>
      <c r="C8" s="14">
        <f>ROUND(C6/C7, 2)</f>
        <v>21.25</v>
      </c>
      <c r="D8" s="14">
        <f t="shared" ref="D8:G8" si="0">ROUND(D6/D7, 2)</f>
        <v>48.22</v>
      </c>
      <c r="E8" s="14">
        <f t="shared" si="0"/>
        <v>55.41</v>
      </c>
      <c r="F8" s="14">
        <f t="shared" si="0"/>
        <v>63.24</v>
      </c>
      <c r="G8" s="14">
        <f t="shared" si="0"/>
        <v>108.07</v>
      </c>
    </row>
  </sheetData>
  <mergeCells count="1">
    <mergeCell ref="B5:G5"/>
  </mergeCells>
  <hyperlinks>
    <hyperlink ref="F1" location="Index_Data!A1" tooltip="Hi click here To return Index page" display="Index_Data!A1" xr:uid="{6D701BE8-52A0-4A65-B2D3-18E9EEB2ADBA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A01D9-4DF9-450C-87FD-88452DB7AB97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2106.86</v>
      </c>
      <c r="D6" s="13">
        <f>Income_Statement!D51</f>
        <v>1734.15</v>
      </c>
      <c r="E6" s="13">
        <f>Income_Statement!E51</f>
        <v>3285.64</v>
      </c>
      <c r="F6" s="13">
        <f>Income_Statement!F51</f>
        <v>2238.58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</row>
    <row r="8" spans="2:15" ht="18.75" x14ac:dyDescent="0.25">
      <c r="B8" s="12" t="s">
        <v>148</v>
      </c>
      <c r="C8" s="13">
        <f>ROUND(C6/C7, 2)</f>
        <v>1.07</v>
      </c>
      <c r="D8" s="13">
        <f t="shared" ref="D8:G8" si="0">ROUND(D6/D7, 2)</f>
        <v>0.84</v>
      </c>
      <c r="E8" s="13">
        <f t="shared" si="0"/>
        <v>1.1599999999999999</v>
      </c>
      <c r="F8" s="13">
        <f t="shared" si="0"/>
        <v>0.71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41197.001268402848</v>
      </c>
      <c r="D9" s="13">
        <f>Income_Statement!D49</f>
        <v>59716.805412447218</v>
      </c>
      <c r="E9" s="13">
        <f>Income_Statement!E49</f>
        <v>59565.780405928657</v>
      </c>
      <c r="F9" s="13">
        <f>Income_Statement!F49</f>
        <v>44028.448596136361</v>
      </c>
      <c r="G9" s="13">
        <f>Income_Statement!G49</f>
        <v>69546.20150227267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1961.7619651620403</v>
      </c>
      <c r="D10" s="13">
        <f>Income_Statement!D61</f>
        <v>2059.2001866361111</v>
      </c>
      <c r="E10" s="13">
        <f>Income_Statement!E61</f>
        <v>2836.4657336156502</v>
      </c>
      <c r="F10" s="13">
        <f>Income_Statement!F61</f>
        <v>3144.8891854383114</v>
      </c>
      <c r="G10" s="13">
        <f>Income_Statement!G61</f>
        <v>2483.7929107954524</v>
      </c>
    </row>
    <row r="11" spans="2:15" ht="18.75" x14ac:dyDescent="0.25">
      <c r="B11" s="12" t="s">
        <v>146</v>
      </c>
      <c r="C11" s="13">
        <f>C9/C10</f>
        <v>21</v>
      </c>
      <c r="D11" s="13">
        <f t="shared" ref="D11:G11" si="1">D9/D10</f>
        <v>29</v>
      </c>
      <c r="E11" s="13">
        <f t="shared" si="1"/>
        <v>21</v>
      </c>
      <c r="F11" s="13">
        <f t="shared" si="1"/>
        <v>14</v>
      </c>
      <c r="G11" s="13">
        <f t="shared" si="1"/>
        <v>28</v>
      </c>
    </row>
    <row r="12" spans="2:15" ht="18.75" x14ac:dyDescent="0.25">
      <c r="B12" s="14" t="s">
        <v>152</v>
      </c>
      <c r="C12" s="14">
        <f>ROUND(C8/C11, 2)</f>
        <v>0.05</v>
      </c>
      <c r="D12" s="14">
        <f t="shared" ref="D12:G12" si="2">ROUND(D8/D11, 2)</f>
        <v>0.03</v>
      </c>
      <c r="E12" s="14">
        <f t="shared" si="2"/>
        <v>0.06</v>
      </c>
      <c r="F12" s="14">
        <f t="shared" si="2"/>
        <v>0.05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ECF4A3BF-2B0D-40BA-A8BE-3D7F7D143B5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27D7B-7EFB-456C-AE88-AAC7DFFFA03B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4" width="11.5703125" bestFit="1" customWidth="1"/>
    <col min="5" max="5" width="11.85546875" bestFit="1" customWidth="1"/>
    <col min="6" max="6" width="11.570312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2106.86</v>
      </c>
      <c r="D6" s="13">
        <f>Income_Statement!D51</f>
        <v>1734.15</v>
      </c>
      <c r="E6" s="13">
        <f>Income_Statement!E51</f>
        <v>3285.64</v>
      </c>
      <c r="F6" s="13">
        <f>Income_Statement!F51</f>
        <v>2238.58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</row>
    <row r="8" spans="2:15" ht="18.75" x14ac:dyDescent="0.25">
      <c r="B8" s="12" t="s">
        <v>154</v>
      </c>
      <c r="C8" s="13">
        <f>ROUND(C6/C7, 2)</f>
        <v>1.07</v>
      </c>
      <c r="D8" s="13">
        <f t="shared" ref="D8:G8" si="0">ROUND(D6/D7, 2)</f>
        <v>0.84</v>
      </c>
      <c r="E8" s="13">
        <f t="shared" si="0"/>
        <v>1.1599999999999999</v>
      </c>
      <c r="F8" s="13">
        <f t="shared" si="0"/>
        <v>0.71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-7.0000000000000062E-2</v>
      </c>
      <c r="D9" s="15">
        <f t="shared" ref="D9:G9" si="1">1-D8</f>
        <v>0.16000000000000003</v>
      </c>
      <c r="E9" s="15">
        <f t="shared" si="1"/>
        <v>-0.15999999999999992</v>
      </c>
      <c r="F9" s="15">
        <f t="shared" si="1"/>
        <v>0.29000000000000004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BA0F3E2A-3527-4CB7-ADE6-3AAB1F6448A4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EB1A-4557-4F8E-B0AF-36A26CCE967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4140.8999999999996</v>
      </c>
      <c r="D7" s="13">
        <f>Income_Statement!D17</f>
        <v>5079.83</v>
      </c>
      <c r="E7" s="13">
        <f>Income_Statement!E17</f>
        <v>4411.97</v>
      </c>
      <c r="F7" s="13">
        <f>Income_Statement!F17</f>
        <v>3905.88</v>
      </c>
      <c r="G7" s="13">
        <f>Income_Statement!G17</f>
        <v>11103.28</v>
      </c>
    </row>
    <row r="8" spans="2:15" ht="18.75" x14ac:dyDescent="0.25">
      <c r="B8" s="14" t="s">
        <v>157</v>
      </c>
      <c r="C8" s="16">
        <f>ROUND(C6- C7, 2)</f>
        <v>50415.19</v>
      </c>
      <c r="D8" s="16">
        <f t="shared" ref="D8:G8" si="0">ROUND(D6- D7, 2)</f>
        <v>70832.19</v>
      </c>
      <c r="E8" s="16">
        <f t="shared" si="0"/>
        <v>68011.59</v>
      </c>
      <c r="F8" s="16">
        <f t="shared" si="0"/>
        <v>53302.239999999998</v>
      </c>
      <c r="G8" s="16">
        <f t="shared" si="0"/>
        <v>81770.539999999994</v>
      </c>
    </row>
  </sheetData>
  <mergeCells count="1">
    <mergeCell ref="B5:G5"/>
  </mergeCells>
  <hyperlinks>
    <hyperlink ref="F1" location="Index_Data!A1" tooltip="Hi click here To return Index page" display="Index_Data!A1" xr:uid="{357E9C75-659F-443F-82F4-2F47F2349456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A4441-E912-4112-911E-11633259D8C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Income_Statement!B25</f>
        <v>Total Expenditure</v>
      </c>
      <c r="C7" s="13">
        <f>Income_Statement!C25</f>
        <v>10030.209999999999</v>
      </c>
      <c r="D7" s="13">
        <f>Income_Statement!D25</f>
        <v>12261.96</v>
      </c>
      <c r="E7" s="13">
        <f>Income_Statement!E25</f>
        <v>11033.27</v>
      </c>
      <c r="F7" s="13">
        <f>Income_Statement!F25</f>
        <v>10308.82</v>
      </c>
      <c r="G7" s="13">
        <f>Income_Statement!G25</f>
        <v>18614.349999999999</v>
      </c>
    </row>
    <row r="8" spans="2:15" ht="18.75" x14ac:dyDescent="0.25">
      <c r="B8" s="14" t="s">
        <v>159</v>
      </c>
      <c r="C8" s="16">
        <f>ROUND(C6- C7, 2)</f>
        <v>44525.88</v>
      </c>
      <c r="D8" s="16">
        <f t="shared" ref="D8:G8" si="0">ROUND(D6- D7, 2)</f>
        <v>63650.06</v>
      </c>
      <c r="E8" s="16">
        <f t="shared" si="0"/>
        <v>61390.29</v>
      </c>
      <c r="F8" s="16">
        <f t="shared" si="0"/>
        <v>46899.3</v>
      </c>
      <c r="G8" s="16">
        <f t="shared" si="0"/>
        <v>74259.47</v>
      </c>
    </row>
  </sheetData>
  <mergeCells count="1">
    <mergeCell ref="B5:G5"/>
  </mergeCells>
  <hyperlinks>
    <hyperlink ref="F1" location="Index_Data!A1" tooltip="Hi click here To return Index page" display="Index_Data!A1" xr:uid="{02A41F87-7997-40E4-A011-ED0CA5EE02EB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06829-F5A1-4A23-8678-5217A3A7E70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41197.001268402848</v>
      </c>
      <c r="D6" s="13">
        <f>Income_Statement!D49</f>
        <v>59716.805412447218</v>
      </c>
      <c r="E6" s="13">
        <f>Income_Statement!E49</f>
        <v>59565.780405928657</v>
      </c>
      <c r="F6" s="13">
        <f>Income_Statement!F49</f>
        <v>44028.448596136361</v>
      </c>
      <c r="G6" s="13">
        <f>Income_Statement!G49</f>
        <v>69546.20150227267</v>
      </c>
    </row>
    <row r="7" spans="2:15" ht="18.75" x14ac:dyDescent="0.25">
      <c r="B7" s="12" t="str">
        <f>Balance_Sheet!B74</f>
        <v>Total Assets</v>
      </c>
      <c r="C7" s="13">
        <f>Balance_Sheet!C74</f>
        <v>61334.14</v>
      </c>
      <c r="D7" s="13">
        <f>Balance_Sheet!D74</f>
        <v>121708.06541244722</v>
      </c>
      <c r="E7" s="13">
        <f>Balance_Sheet!E74</f>
        <v>182810.53581837588</v>
      </c>
      <c r="F7" s="13">
        <f>Balance_Sheet!F74</f>
        <v>227087.34441451222</v>
      </c>
      <c r="G7" s="13">
        <f>Balance_Sheet!G74</f>
        <v>300876.0459167849</v>
      </c>
    </row>
    <row r="8" spans="2:15" ht="18.75" x14ac:dyDescent="0.25">
      <c r="B8" s="14" t="s">
        <v>161</v>
      </c>
      <c r="C8" s="15">
        <f>ROUND(C6/ C7, 2)</f>
        <v>0.67</v>
      </c>
      <c r="D8" s="15">
        <f t="shared" ref="D8:G8" si="0">ROUND(D6/ D7, 2)</f>
        <v>0.49</v>
      </c>
      <c r="E8" s="15">
        <f t="shared" si="0"/>
        <v>0.33</v>
      </c>
      <c r="F8" s="15">
        <f t="shared" si="0"/>
        <v>0.19</v>
      </c>
      <c r="G8" s="15">
        <f t="shared" si="0"/>
        <v>0.23</v>
      </c>
    </row>
  </sheetData>
  <mergeCells count="1">
    <mergeCell ref="B5:G5"/>
  </mergeCells>
  <hyperlinks>
    <hyperlink ref="F1" location="Index_Data!A1" tooltip="Hi click here To return Index page" display="Index_Data!A1" xr:uid="{ADE1033A-22B2-4489-B94E-DB384C46ECE3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5D5C7-1BA1-4259-BF5B-08FBF9991955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43614.76126840285</v>
      </c>
      <c r="D6" s="13">
        <f>Income_Statement!D33</f>
        <v>63154.425412447214</v>
      </c>
      <c r="E6" s="13">
        <f>Income_Statement!E33</f>
        <v>60789.020405928663</v>
      </c>
      <c r="F6" s="13">
        <f>Income_Statement!F33</f>
        <v>45790.348596136355</v>
      </c>
      <c r="G6" s="13">
        <f>Income_Statement!G33</f>
        <v>72908.571502272665</v>
      </c>
    </row>
    <row r="7" spans="2:15" ht="18.75" x14ac:dyDescent="0.25">
      <c r="B7" s="12" t="str">
        <f>Balance_Sheet!B21</f>
        <v>Total Debt</v>
      </c>
      <c r="C7" s="13">
        <f>Balance_Sheet!C21</f>
        <v>7135.41</v>
      </c>
      <c r="D7" s="13">
        <f>Balance_Sheet!D21</f>
        <v>8580.61</v>
      </c>
      <c r="E7" s="13">
        <f>Balance_Sheet!E21</f>
        <v>10376.790000000001</v>
      </c>
      <c r="F7" s="13">
        <f>Balance_Sheet!F21</f>
        <v>10848.76</v>
      </c>
      <c r="G7" s="13">
        <f>Balance_Sheet!G21</f>
        <v>12029.49</v>
      </c>
    </row>
    <row r="8" spans="2:15" ht="18.75" x14ac:dyDescent="0.25">
      <c r="B8" s="12" t="str">
        <f>Balance_Sheet!B13</f>
        <v>Net Worth</v>
      </c>
      <c r="C8" s="13">
        <f>Balance_Sheet!C13</f>
        <v>41678.57</v>
      </c>
      <c r="D8" s="13">
        <f>Balance_Sheet!D13</f>
        <v>99304.765412447217</v>
      </c>
      <c r="E8" s="13">
        <f>Balance_Sheet!E13</f>
        <v>157164.60581837589</v>
      </c>
      <c r="F8" s="13">
        <f>Balance_Sheet!F13</f>
        <v>198884.72441451225</v>
      </c>
      <c r="G8" s="13">
        <f>Balance_Sheet!G13</f>
        <v>268430.92591678491</v>
      </c>
    </row>
    <row r="9" spans="2:15" ht="18.75" x14ac:dyDescent="0.25">
      <c r="B9" s="14" t="s">
        <v>163</v>
      </c>
      <c r="C9" s="15">
        <f>ROUND(C6/ (C7+ C7), 2)</f>
        <v>3.06</v>
      </c>
      <c r="D9" s="15">
        <f t="shared" ref="D9:G9" si="0">ROUND(D6/ (D7+ D7), 2)</f>
        <v>3.68</v>
      </c>
      <c r="E9" s="15">
        <f t="shared" si="0"/>
        <v>2.93</v>
      </c>
      <c r="F9" s="15">
        <f t="shared" si="0"/>
        <v>2.11</v>
      </c>
      <c r="G9" s="15">
        <f t="shared" si="0"/>
        <v>3.03</v>
      </c>
    </row>
  </sheetData>
  <mergeCells count="1">
    <mergeCell ref="B5:G5"/>
  </mergeCells>
  <hyperlinks>
    <hyperlink ref="F1" location="Index_Data!A1" tooltip="Hi click here To return Index page" display="Index_Data!A1" xr:uid="{1F0EF9EB-7CDB-460B-B6CB-3FB0FEB18428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4E753-46F5-476D-B829-1848D659139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41197.001268402848</v>
      </c>
      <c r="D6" s="13">
        <f>Income_Statement!D49</f>
        <v>59716.805412447218</v>
      </c>
      <c r="E6" s="13">
        <f>Income_Statement!E49</f>
        <v>59565.780405928657</v>
      </c>
      <c r="F6" s="13">
        <f>Income_Statement!F49</f>
        <v>44028.448596136361</v>
      </c>
      <c r="G6" s="13">
        <f>Income_Statement!G49</f>
        <v>69546.20150227267</v>
      </c>
    </row>
    <row r="7" spans="2:15" ht="18.75" x14ac:dyDescent="0.25">
      <c r="B7" s="12" t="str">
        <f>Balance_Sheet!B13</f>
        <v>Net Worth</v>
      </c>
      <c r="C7" s="13">
        <f>Balance_Sheet!C13</f>
        <v>41678.57</v>
      </c>
      <c r="D7" s="13">
        <f>Balance_Sheet!D13</f>
        <v>99304.765412447217</v>
      </c>
      <c r="E7" s="13">
        <f>Balance_Sheet!E13</f>
        <v>157164.60581837589</v>
      </c>
      <c r="F7" s="13">
        <f>Balance_Sheet!F13</f>
        <v>198884.72441451225</v>
      </c>
      <c r="G7" s="13">
        <f>Balance_Sheet!G13</f>
        <v>268430.92591678491</v>
      </c>
    </row>
    <row r="8" spans="2:15" ht="18.75" x14ac:dyDescent="0.25">
      <c r="B8" s="14" t="s">
        <v>165</v>
      </c>
      <c r="C8" s="15">
        <f>ROUND(C6/ (C7+ C7), 2)</f>
        <v>0.49</v>
      </c>
      <c r="D8" s="15">
        <f t="shared" ref="D8:G8" si="0">ROUND(D6/ (D7+ D7), 2)</f>
        <v>0.3</v>
      </c>
      <c r="E8" s="15">
        <f t="shared" si="0"/>
        <v>0.19</v>
      </c>
      <c r="F8" s="15">
        <f t="shared" si="0"/>
        <v>0.11</v>
      </c>
      <c r="G8" s="15">
        <f t="shared" si="0"/>
        <v>0.13</v>
      </c>
    </row>
  </sheetData>
  <mergeCells count="1">
    <mergeCell ref="B5:G5"/>
  </mergeCells>
  <hyperlinks>
    <hyperlink ref="F1" location="Index_Data!A1" tooltip="Hi click here To return Index page" display="Index_Data!A1" xr:uid="{CEDF2508-D61F-4E78-B994-7A89ADFDE142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0931-8A51-4526-BDE9-F7CC41BE57B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7135.41</v>
      </c>
      <c r="D6" s="13">
        <f>Balance_Sheet!D21</f>
        <v>8580.61</v>
      </c>
      <c r="E6" s="13">
        <f>Balance_Sheet!E21</f>
        <v>10376.790000000001</v>
      </c>
      <c r="F6" s="13">
        <f>Balance_Sheet!F21</f>
        <v>10848.76</v>
      </c>
      <c r="G6" s="13">
        <f>Balance_Sheet!G21</f>
        <v>12029.49</v>
      </c>
    </row>
    <row r="7" spans="2:15" ht="18.75" x14ac:dyDescent="0.25">
      <c r="B7" s="12" t="str">
        <f>Balance_Sheet!B13</f>
        <v>Net Worth</v>
      </c>
      <c r="C7" s="13">
        <f>Balance_Sheet!C13</f>
        <v>41678.57</v>
      </c>
      <c r="D7" s="13">
        <f>Balance_Sheet!D13</f>
        <v>99304.765412447217</v>
      </c>
      <c r="E7" s="13">
        <f>Balance_Sheet!E13</f>
        <v>157164.60581837589</v>
      </c>
      <c r="F7" s="13">
        <f>Balance_Sheet!F13</f>
        <v>198884.72441451225</v>
      </c>
      <c r="G7" s="13">
        <f>Balance_Sheet!G13</f>
        <v>268430.92591678491</v>
      </c>
    </row>
    <row r="8" spans="2:15" ht="18.75" x14ac:dyDescent="0.25">
      <c r="B8" s="14" t="s">
        <v>167</v>
      </c>
      <c r="C8" s="14">
        <f>ROUND(C6/ C7, 2)</f>
        <v>0.17</v>
      </c>
      <c r="D8" s="14">
        <f t="shared" ref="D8:G8" si="0">ROUND(D6/ D7, 2)</f>
        <v>0.09</v>
      </c>
      <c r="E8" s="14">
        <f t="shared" si="0"/>
        <v>7.0000000000000007E-2</v>
      </c>
      <c r="F8" s="14">
        <f t="shared" si="0"/>
        <v>0.05</v>
      </c>
      <c r="G8" s="14">
        <f t="shared" si="0"/>
        <v>0.04</v>
      </c>
    </row>
  </sheetData>
  <mergeCells count="1">
    <mergeCell ref="B5:G5"/>
  </mergeCells>
  <hyperlinks>
    <hyperlink ref="F1" location="Index_Data!A1" tooltip="Hi click here To return Index page" display="Index_Data!A1" xr:uid="{3DCFD2A2-89A0-4F88-9FCA-F8AFEB97C031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CD46-19DF-44C7-BD84-072721B8773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14463.59</v>
      </c>
      <c r="D6" s="13">
        <f>Balance_Sheet!D72</f>
        <v>70311.20541244722</v>
      </c>
      <c r="E6" s="13">
        <f>Balance_Sheet!E72</f>
        <v>126768.45581837588</v>
      </c>
      <c r="F6" s="13">
        <f>Balance_Sheet!F72</f>
        <v>165390.22441451222</v>
      </c>
      <c r="G6" s="13">
        <f>Balance_Sheet!G72</f>
        <v>232746.22591678493</v>
      </c>
    </row>
    <row r="7" spans="2:15" ht="18.75" x14ac:dyDescent="0.25">
      <c r="B7" s="12" t="str">
        <f>Balance_Sheet!B33</f>
        <v>Total Current Liabilities</v>
      </c>
      <c r="C7" s="13">
        <f>Balance_Sheet!C33</f>
        <v>12481.24</v>
      </c>
      <c r="D7" s="13">
        <f>Balance_Sheet!D33</f>
        <v>13776.74</v>
      </c>
      <c r="E7" s="13">
        <f>Balance_Sheet!E33</f>
        <v>15182.099999999999</v>
      </c>
      <c r="F7" s="13">
        <f>Balance_Sheet!F33</f>
        <v>17256.37</v>
      </c>
      <c r="G7" s="13">
        <f>Balance_Sheet!G33</f>
        <v>20224.45</v>
      </c>
    </row>
    <row r="8" spans="2:15" ht="18.75" x14ac:dyDescent="0.25">
      <c r="B8" s="14" t="s">
        <v>169</v>
      </c>
      <c r="C8" s="14">
        <f>ROUND(C6/ C7, 2)</f>
        <v>1.1599999999999999</v>
      </c>
      <c r="D8" s="14">
        <f t="shared" ref="D8:G8" si="0">ROUND(D6/ D7, 2)</f>
        <v>5.0999999999999996</v>
      </c>
      <c r="E8" s="14">
        <f t="shared" si="0"/>
        <v>8.35</v>
      </c>
      <c r="F8" s="14">
        <f t="shared" si="0"/>
        <v>9.58</v>
      </c>
      <c r="G8" s="14">
        <f t="shared" si="0"/>
        <v>11.51</v>
      </c>
    </row>
  </sheetData>
  <mergeCells count="1">
    <mergeCell ref="B5:G5"/>
  </mergeCells>
  <hyperlinks>
    <hyperlink ref="F1" location="Index_Data!A1" tooltip="Hi click here To return Index page" display="Index_Data!A1" xr:uid="{442D393B-F626-4490-A5A5-E22C0C663AC5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F8575-1BB5-462B-8B62-FDAF47BE4408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54556.09</v>
      </c>
      <c r="D5" s="2">
        <v>75912.02</v>
      </c>
      <c r="E5" s="2">
        <v>72423.56</v>
      </c>
      <c r="F5" s="2">
        <v>57208.12</v>
      </c>
      <c r="G5" s="2">
        <v>92873.82</v>
      </c>
      <c r="H5" t="s">
        <v>1</v>
      </c>
    </row>
    <row r="6" spans="1:15" x14ac:dyDescent="0.25">
      <c r="A6" t="s">
        <v>98</v>
      </c>
      <c r="B6" t="s">
        <v>98</v>
      </c>
      <c r="C6">
        <v>197.96</v>
      </c>
      <c r="D6">
        <v>44.28</v>
      </c>
      <c r="E6">
        <v>59.28</v>
      </c>
      <c r="F6">
        <v>56.35</v>
      </c>
      <c r="G6">
        <v>103.99</v>
      </c>
      <c r="H6" t="s">
        <v>1</v>
      </c>
    </row>
    <row r="7" spans="1:15" x14ac:dyDescent="0.25">
      <c r="B7" t="s">
        <v>57</v>
      </c>
      <c r="C7" s="2">
        <v>54358.13</v>
      </c>
      <c r="D7" s="2">
        <v>75867.740000000005</v>
      </c>
      <c r="E7" s="2">
        <v>72364.28</v>
      </c>
      <c r="F7" s="2">
        <v>57151.77</v>
      </c>
      <c r="G7" s="2">
        <v>92769.83</v>
      </c>
      <c r="H7" t="s">
        <v>1</v>
      </c>
    </row>
    <row r="8" spans="1:15" x14ac:dyDescent="0.25">
      <c r="B8" t="s">
        <v>58</v>
      </c>
      <c r="C8" s="2">
        <v>54496.35</v>
      </c>
      <c r="D8" s="2">
        <v>76189.89</v>
      </c>
      <c r="E8" s="2">
        <v>72517.7</v>
      </c>
      <c r="F8" s="2">
        <v>57371.91</v>
      </c>
      <c r="G8" s="2">
        <v>92769.83</v>
      </c>
      <c r="H8" t="s">
        <v>1</v>
      </c>
    </row>
    <row r="9" spans="1:15" x14ac:dyDescent="0.25">
      <c r="A9" t="s">
        <v>59</v>
      </c>
      <c r="B9" t="s">
        <v>59</v>
      </c>
      <c r="C9" s="2">
        <v>812.72</v>
      </c>
      <c r="D9" s="2">
        <v>1214.27</v>
      </c>
      <c r="E9" s="2">
        <v>1537.15</v>
      </c>
      <c r="F9" s="2">
        <v>1120.2</v>
      </c>
      <c r="G9">
        <v>1172.25</v>
      </c>
      <c r="H9" t="s">
        <v>1</v>
      </c>
    </row>
    <row r="10" spans="1:15" x14ac:dyDescent="0.25">
      <c r="B10" t="s">
        <v>60</v>
      </c>
      <c r="C10" s="2">
        <v>55309.07</v>
      </c>
      <c r="D10" s="2">
        <v>77404.160000000003</v>
      </c>
      <c r="E10" s="2">
        <v>74054.850000000006</v>
      </c>
      <c r="F10" s="2">
        <v>58492.11</v>
      </c>
      <c r="G10" s="2">
        <v>93942.080000000002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4140.8999999999996</v>
      </c>
      <c r="D12" s="2">
        <v>5079.83</v>
      </c>
      <c r="E12" s="2">
        <v>4411.97</v>
      </c>
      <c r="F12" s="2">
        <v>3905.88</v>
      </c>
      <c r="G12" s="2">
        <v>11103.28</v>
      </c>
      <c r="H12" t="s">
        <v>1</v>
      </c>
    </row>
    <row r="13" spans="1:15" x14ac:dyDescent="0.25">
      <c r="B13" t="s">
        <v>63</v>
      </c>
      <c r="C13" s="2">
        <v>36721.199999999997</v>
      </c>
      <c r="D13" s="2">
        <v>54807.98</v>
      </c>
      <c r="E13" s="2">
        <v>52878.13</v>
      </c>
      <c r="F13" s="2">
        <v>39379.129999999997</v>
      </c>
      <c r="G13" s="2">
        <v>59266.68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-34.08</v>
      </c>
      <c r="D15">
        <v>-547.61</v>
      </c>
      <c r="E15">
        <v>-427.99</v>
      </c>
      <c r="F15">
        <v>440.2</v>
      </c>
      <c r="G15">
        <v>-262.77999999999997</v>
      </c>
      <c r="H15" t="s">
        <v>1</v>
      </c>
    </row>
    <row r="16" spans="1:15" x14ac:dyDescent="0.25">
      <c r="A16" t="s">
        <v>99</v>
      </c>
      <c r="B16" t="s">
        <v>66</v>
      </c>
      <c r="C16" s="2">
        <v>1345.61</v>
      </c>
      <c r="D16" s="2">
        <v>1863.2</v>
      </c>
      <c r="E16" s="2">
        <v>1633.74</v>
      </c>
      <c r="F16" s="2">
        <v>1645.89</v>
      </c>
      <c r="G16" s="2">
        <v>1815.55</v>
      </c>
      <c r="H16" t="s">
        <v>1</v>
      </c>
    </row>
    <row r="17" spans="1:8" x14ac:dyDescent="0.25">
      <c r="A17" t="s">
        <v>100</v>
      </c>
      <c r="B17" t="s">
        <v>67</v>
      </c>
      <c r="C17">
        <v>294.91000000000003</v>
      </c>
      <c r="D17">
        <v>159.19999999999999</v>
      </c>
      <c r="E17">
        <v>308.94</v>
      </c>
      <c r="F17">
        <v>179.27</v>
      </c>
      <c r="G17">
        <v>202.48</v>
      </c>
      <c r="H17" t="s">
        <v>1</v>
      </c>
    </row>
    <row r="18" spans="1:8" x14ac:dyDescent="0.25">
      <c r="A18" t="s">
        <v>101</v>
      </c>
      <c r="B18" t="s">
        <v>68</v>
      </c>
      <c r="C18" s="2">
        <v>1526.89</v>
      </c>
      <c r="D18" s="2">
        <v>1666.64</v>
      </c>
      <c r="E18" s="2">
        <v>2080.16</v>
      </c>
      <c r="F18" s="2">
        <v>2173.8200000000002</v>
      </c>
      <c r="G18" s="2">
        <v>2420.17</v>
      </c>
      <c r="H18" t="s">
        <v>1</v>
      </c>
    </row>
    <row r="19" spans="1:8" x14ac:dyDescent="0.25">
      <c r="A19" t="s">
        <v>99</v>
      </c>
      <c r="B19" t="s">
        <v>69</v>
      </c>
      <c r="C19" s="2">
        <v>4543.7</v>
      </c>
      <c r="D19" s="2">
        <v>5318.93</v>
      </c>
      <c r="E19" s="2">
        <v>4987.5600000000004</v>
      </c>
      <c r="F19" s="2">
        <v>4757.05</v>
      </c>
      <c r="G19" s="2">
        <v>5695.52</v>
      </c>
      <c r="H19" t="s">
        <v>1</v>
      </c>
    </row>
    <row r="20" spans="1:8" x14ac:dyDescent="0.25">
      <c r="B20" t="s">
        <v>70</v>
      </c>
      <c r="C20" s="2">
        <v>48539.13</v>
      </c>
      <c r="D20" s="2">
        <v>68348.17</v>
      </c>
      <c r="E20" s="2">
        <v>65872.509999999995</v>
      </c>
      <c r="F20" s="2">
        <v>52481.24</v>
      </c>
      <c r="G20" s="2">
        <v>80240.899999999994</v>
      </c>
      <c r="H20" t="s">
        <v>1</v>
      </c>
    </row>
    <row r="21" spans="1:8" x14ac:dyDescent="0.25">
      <c r="B21" t="s">
        <v>71</v>
      </c>
      <c r="C21" s="2">
        <v>6769.94</v>
      </c>
      <c r="D21" s="2">
        <v>9055.99</v>
      </c>
      <c r="E21" s="2">
        <v>8182.34</v>
      </c>
      <c r="F21" s="2">
        <v>6010.87</v>
      </c>
      <c r="G21" s="2">
        <v>13701.18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6769.94</v>
      </c>
      <c r="D23" s="2">
        <v>9055.99</v>
      </c>
      <c r="E23" s="2">
        <v>8182.34</v>
      </c>
      <c r="F23" s="2">
        <v>6010.87</v>
      </c>
      <c r="G23" s="2">
        <v>13701.18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1683.86</v>
      </c>
      <c r="D25" s="2">
        <v>2493.09</v>
      </c>
      <c r="E25" s="2">
        <v>2116.1999999999998</v>
      </c>
      <c r="F25" s="2">
        <v>1591.88</v>
      </c>
      <c r="G25" s="2">
        <v>3159.89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459.1</v>
      </c>
      <c r="D27">
        <v>810.12</v>
      </c>
      <c r="E27" s="2">
        <v>-2102.0700000000002</v>
      </c>
      <c r="F27">
        <v>-15.57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2122.85</v>
      </c>
      <c r="D29" s="2">
        <v>3278.42</v>
      </c>
      <c r="E29">
        <v>914.3</v>
      </c>
      <c r="F29" s="2">
        <v>1582.63</v>
      </c>
      <c r="G29" s="2">
        <v>3159.89</v>
      </c>
      <c r="H29" t="s">
        <v>1</v>
      </c>
    </row>
    <row r="30" spans="1:8" x14ac:dyDescent="0.25">
      <c r="B30" t="s">
        <v>80</v>
      </c>
      <c r="C30" s="2">
        <v>4647.09</v>
      </c>
      <c r="D30" s="2">
        <v>5777.57</v>
      </c>
      <c r="E30" s="2">
        <v>7268.04</v>
      </c>
      <c r="F30" s="2">
        <v>4428.24</v>
      </c>
      <c r="G30" s="2">
        <v>10541.29</v>
      </c>
      <c r="H30" t="s">
        <v>1</v>
      </c>
    </row>
    <row r="31" spans="1:8" x14ac:dyDescent="0.25">
      <c r="B31" t="s">
        <v>81</v>
      </c>
      <c r="C31" s="2">
        <v>4647.09</v>
      </c>
      <c r="D31" s="2">
        <v>5777.57</v>
      </c>
      <c r="E31" s="2">
        <v>7268.04</v>
      </c>
      <c r="F31" s="2">
        <v>4428.24</v>
      </c>
      <c r="G31" s="2">
        <v>10541.29</v>
      </c>
      <c r="H31" t="s">
        <v>1</v>
      </c>
    </row>
    <row r="32" spans="1:8" x14ac:dyDescent="0.25">
      <c r="B32" t="s">
        <v>82</v>
      </c>
      <c r="C32" s="2">
        <v>4651.8</v>
      </c>
      <c r="D32" s="2">
        <v>5777.57</v>
      </c>
      <c r="E32" s="2">
        <v>7268.04</v>
      </c>
      <c r="F32" s="2">
        <v>4428.24</v>
      </c>
      <c r="G32" s="2">
        <v>10541.29</v>
      </c>
      <c r="H32" t="s">
        <v>1</v>
      </c>
    </row>
    <row r="33" spans="1:8" x14ac:dyDescent="0.25">
      <c r="B33" t="s">
        <v>10</v>
      </c>
      <c r="C33">
        <v>-5.98</v>
      </c>
      <c r="D33">
        <v>-7.03</v>
      </c>
      <c r="E33">
        <v>-92.59</v>
      </c>
      <c r="F33">
        <v>-6.47</v>
      </c>
      <c r="G33">
        <v>-47.56</v>
      </c>
      <c r="H33" t="s">
        <v>1</v>
      </c>
    </row>
    <row r="34" spans="1:8" x14ac:dyDescent="0.25">
      <c r="B34" t="s">
        <v>83</v>
      </c>
      <c r="C34" s="2">
        <v>4799.07</v>
      </c>
      <c r="D34" s="2">
        <v>6545.74</v>
      </c>
      <c r="E34" s="2">
        <v>9422.0499999999993</v>
      </c>
      <c r="F34" s="2">
        <v>6136.35</v>
      </c>
      <c r="G34" s="2">
        <v>12256.07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21</v>
      </c>
      <c r="D37">
        <v>29</v>
      </c>
      <c r="E37">
        <v>21</v>
      </c>
      <c r="F37">
        <v>14</v>
      </c>
      <c r="G37">
        <v>28</v>
      </c>
      <c r="H37" t="s">
        <v>1</v>
      </c>
    </row>
    <row r="38" spans="1:8" x14ac:dyDescent="0.25">
      <c r="B38" t="s">
        <v>86</v>
      </c>
      <c r="C38">
        <v>21</v>
      </c>
      <c r="D38">
        <v>29</v>
      </c>
      <c r="E38">
        <v>21</v>
      </c>
      <c r="F38">
        <v>14</v>
      </c>
      <c r="G38">
        <v>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2106.86</v>
      </c>
      <c r="D40" s="2">
        <v>1734.15</v>
      </c>
      <c r="E40" s="2">
        <v>3285.64</v>
      </c>
      <c r="F40" s="2">
        <v>2238.58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356.46</v>
      </c>
      <c r="E41">
        <v>675.37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A38C8272-9A24-4612-81FB-1DBA5390166B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20FC4-796D-4841-96CF-160B158DAB3C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14463.59</v>
      </c>
      <c r="D6" s="13">
        <f>Balance_Sheet!D72</f>
        <v>70311.20541244722</v>
      </c>
      <c r="E6" s="13">
        <f>Balance_Sheet!E72</f>
        <v>126768.45581837588</v>
      </c>
      <c r="F6" s="13">
        <f>Balance_Sheet!F72</f>
        <v>165390.22441451222</v>
      </c>
      <c r="G6" s="13">
        <f>Balance_Sheet!G72</f>
        <v>232746.22591678493</v>
      </c>
    </row>
    <row r="7" spans="2:15" ht="18.75" x14ac:dyDescent="0.25">
      <c r="B7" s="12" t="str">
        <f>Balance_Sheet!B66</f>
        <v>Inventories</v>
      </c>
      <c r="C7" s="13">
        <f>Balance_Sheet!C66</f>
        <v>1932.51</v>
      </c>
      <c r="D7" s="13">
        <f>Balance_Sheet!D66</f>
        <v>2502.64</v>
      </c>
      <c r="E7" s="13">
        <f>Balance_Sheet!E66</f>
        <v>3183.01</v>
      </c>
      <c r="F7" s="13">
        <f>Balance_Sheet!F66</f>
        <v>2989.73</v>
      </c>
      <c r="G7" s="13">
        <f>Balance_Sheet!G66</f>
        <v>3576.61</v>
      </c>
    </row>
    <row r="8" spans="2:15" ht="18.75" x14ac:dyDescent="0.25">
      <c r="B8" s="12" t="str">
        <f>Balance_Sheet!B33</f>
        <v>Total Current Liabilities</v>
      </c>
      <c r="C8" s="13">
        <f>Balance_Sheet!C33</f>
        <v>12481.24</v>
      </c>
      <c r="D8" s="13">
        <f>Balance_Sheet!D33</f>
        <v>13776.74</v>
      </c>
      <c r="E8" s="13">
        <f>Balance_Sheet!E33</f>
        <v>15182.099999999999</v>
      </c>
      <c r="F8" s="13">
        <f>Balance_Sheet!F33</f>
        <v>17256.37</v>
      </c>
      <c r="G8" s="13">
        <f>Balance_Sheet!G33</f>
        <v>20224.45</v>
      </c>
    </row>
    <row r="9" spans="2:15" ht="18.75" x14ac:dyDescent="0.25">
      <c r="B9" s="14" t="s">
        <v>171</v>
      </c>
      <c r="C9" s="14">
        <f>ROUND((C6-C7)/ C8, 2)</f>
        <v>1</v>
      </c>
      <c r="D9" s="14">
        <f t="shared" ref="D9:G9" si="0">ROUND((D6-D7)/ D8, 2)</f>
        <v>4.92</v>
      </c>
      <c r="E9" s="14">
        <f t="shared" si="0"/>
        <v>8.14</v>
      </c>
      <c r="F9" s="14">
        <f t="shared" si="0"/>
        <v>9.41</v>
      </c>
      <c r="G9" s="14">
        <f t="shared" si="0"/>
        <v>11.33</v>
      </c>
    </row>
  </sheetData>
  <mergeCells count="1">
    <mergeCell ref="B5:G5"/>
  </mergeCells>
  <hyperlinks>
    <hyperlink ref="F1" location="Index_Data!A1" tooltip="Hi click here To return Index page" display="Index_Data!A1" xr:uid="{E1E28F0D-D68F-4C8E-BF1D-7807C9F4CB9C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174CC-8BB5-4853-951E-DE3AB840BA4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43614.76126840285</v>
      </c>
      <c r="D6" s="13">
        <f>Income_Statement!D33</f>
        <v>63154.425412447214</v>
      </c>
      <c r="E6" s="13">
        <f>Income_Statement!E33</f>
        <v>60789.020405928663</v>
      </c>
      <c r="F6" s="13">
        <f>Income_Statement!F33</f>
        <v>45790.348596136355</v>
      </c>
      <c r="G6" s="13">
        <f>Income_Statement!G33</f>
        <v>72908.571502272665</v>
      </c>
    </row>
    <row r="7" spans="2:15" ht="18.75" x14ac:dyDescent="0.25">
      <c r="B7" s="12" t="str">
        <f>Income_Statement!B35</f>
        <v>Finance Costs</v>
      </c>
      <c r="C7" s="13">
        <f>Income_Statement!C35</f>
        <v>294.91000000000003</v>
      </c>
      <c r="D7" s="13">
        <f>Income_Statement!D35</f>
        <v>159.19999999999999</v>
      </c>
      <c r="E7" s="13">
        <f>Income_Statement!E35</f>
        <v>308.94</v>
      </c>
      <c r="F7" s="13">
        <f>Income_Statement!F35</f>
        <v>179.27</v>
      </c>
      <c r="G7" s="13">
        <f>Income_Statement!G35</f>
        <v>202.48</v>
      </c>
    </row>
    <row r="8" spans="2:15" ht="18.75" x14ac:dyDescent="0.25">
      <c r="B8" s="14" t="s">
        <v>173</v>
      </c>
      <c r="C8" s="14">
        <f>ROUND(C6/C7, 2)</f>
        <v>147.88999999999999</v>
      </c>
      <c r="D8" s="14">
        <f t="shared" ref="D8:G8" si="0">ROUND(D6/D7, 2)</f>
        <v>396.7</v>
      </c>
      <c r="E8" s="14">
        <f t="shared" si="0"/>
        <v>196.77</v>
      </c>
      <c r="F8" s="14">
        <f t="shared" si="0"/>
        <v>255.43</v>
      </c>
      <c r="G8" s="14">
        <f t="shared" si="0"/>
        <v>360.08</v>
      </c>
    </row>
  </sheetData>
  <mergeCells count="1">
    <mergeCell ref="B5:G5"/>
  </mergeCells>
  <hyperlinks>
    <hyperlink ref="F1" location="Index_Data!A1" tooltip="Hi click here To return Index page" display="Index_Data!A1" xr:uid="{9BEE346A-705E-4FF4-90CC-DCD452B10098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436A-7005-4406-88D3-EC87F3F4287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4140.8999999999996</v>
      </c>
      <c r="D6" s="13">
        <f>Income_Statement!D17</f>
        <v>5079.83</v>
      </c>
      <c r="E6" s="13">
        <f>Income_Statement!E17</f>
        <v>4411.97</v>
      </c>
      <c r="F6" s="13">
        <f>Income_Statement!F17</f>
        <v>3905.88</v>
      </c>
      <c r="G6" s="13">
        <f>Income_Statement!G17</f>
        <v>11103.28</v>
      </c>
    </row>
    <row r="7" spans="2:15" ht="18.75" x14ac:dyDescent="0.25">
      <c r="B7" s="12" t="str">
        <f>Income_Statement!B9</f>
        <v>Net Sales</v>
      </c>
      <c r="C7" s="13">
        <f>Income_Statement!C9</f>
        <v>54358.13</v>
      </c>
      <c r="D7" s="13">
        <f>Income_Statement!D9</f>
        <v>75867.740000000005</v>
      </c>
      <c r="E7" s="13">
        <f>Income_Statement!E9</f>
        <v>72364.28</v>
      </c>
      <c r="F7" s="13">
        <f>Income_Statement!F9</f>
        <v>57151.770000000004</v>
      </c>
      <c r="G7" s="13">
        <f>Income_Statement!G9</f>
        <v>92769.83</v>
      </c>
    </row>
    <row r="8" spans="2:15" ht="18.75" x14ac:dyDescent="0.25">
      <c r="B8" s="14" t="s">
        <v>175</v>
      </c>
      <c r="C8" s="14">
        <f>ROUND(C6/C7, 2)</f>
        <v>0.08</v>
      </c>
      <c r="D8" s="14">
        <f t="shared" ref="D8:G8" si="0">ROUND(D6/D7, 2)</f>
        <v>7.0000000000000007E-2</v>
      </c>
      <c r="E8" s="14">
        <f t="shared" si="0"/>
        <v>0.06</v>
      </c>
      <c r="F8" s="14">
        <f t="shared" si="0"/>
        <v>7.0000000000000007E-2</v>
      </c>
      <c r="G8" s="14">
        <f t="shared" si="0"/>
        <v>0.12</v>
      </c>
    </row>
  </sheetData>
  <mergeCells count="1">
    <mergeCell ref="B5:G5"/>
  </mergeCells>
  <hyperlinks>
    <hyperlink ref="F1" location="Index_Data!A1" tooltip="Hi click here To return Index page" display="Index_Data!A1" xr:uid="{01C38E8E-B705-4F81-AAC9-B752D54FF5A5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F5DCC-64C5-431E-A395-2719050EB47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2858.54</v>
      </c>
      <c r="D6" s="13">
        <f>Balance_Sheet!D70</f>
        <v>56392.405412447217</v>
      </c>
      <c r="E6" s="13">
        <f>Balance_Sheet!E70</f>
        <v>112893.32581837587</v>
      </c>
      <c r="F6" s="13">
        <f>Balance_Sheet!F70</f>
        <v>153647.64441451224</v>
      </c>
      <c r="G6" s="13">
        <f>Balance_Sheet!G70</f>
        <v>215461.46591678492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4140.8999999999996</v>
      </c>
      <c r="D7" s="13">
        <f>Income_Statement!D17</f>
        <v>5079.83</v>
      </c>
      <c r="E7" s="13">
        <f>Income_Statement!E17</f>
        <v>4411.97</v>
      </c>
      <c r="F7" s="13">
        <f>Income_Statement!F17</f>
        <v>3905.88</v>
      </c>
      <c r="G7" s="13">
        <f>Income_Statement!G17</f>
        <v>11103.28</v>
      </c>
    </row>
    <row r="8" spans="2:15" ht="18.75" x14ac:dyDescent="0.25">
      <c r="B8" s="14" t="s">
        <v>177</v>
      </c>
      <c r="C8" s="14">
        <f>ROUND(C6/C7*365, 2)</f>
        <v>251.97</v>
      </c>
      <c r="D8" s="14">
        <f t="shared" ref="D8:G8" si="0">ROUND(D6/D7*365, 2)</f>
        <v>4051.95</v>
      </c>
      <c r="E8" s="14">
        <f t="shared" si="0"/>
        <v>9339.61</v>
      </c>
      <c r="F8" s="14">
        <f t="shared" si="0"/>
        <v>14358.2</v>
      </c>
      <c r="G8" s="14">
        <f t="shared" si="0"/>
        <v>7082.9</v>
      </c>
    </row>
  </sheetData>
  <mergeCells count="1">
    <mergeCell ref="B5:G5"/>
  </mergeCells>
  <hyperlinks>
    <hyperlink ref="F1" location="Index_Data!A1" tooltip="Hi click here To return Index page" display="Index_Data!A1" xr:uid="{59DCFBA0-E3B9-4C7D-8313-DA1B36132ACF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4707-6D6F-4967-9241-675BA760369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4" width="14" bestFit="1" customWidth="1"/>
    <col min="5" max="6" width="15.57031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2858.54</v>
      </c>
      <c r="D6" s="13">
        <f>Balance_Sheet!D70</f>
        <v>56392.405412447217</v>
      </c>
      <c r="E6" s="13">
        <f>Balance_Sheet!E70</f>
        <v>112893.32581837587</v>
      </c>
      <c r="F6" s="13">
        <f>Balance_Sheet!F70</f>
        <v>153647.64441451224</v>
      </c>
      <c r="G6" s="13">
        <f>Balance_Sheet!G70</f>
        <v>215461.46591678492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2858.54</v>
      </c>
      <c r="D8" s="14">
        <f t="shared" ref="D8:G8" si="0">ROUND(D6/D7*365, 2)</f>
        <v>56392.41</v>
      </c>
      <c r="E8" s="14">
        <f t="shared" si="0"/>
        <v>112893.33</v>
      </c>
      <c r="F8" s="14">
        <f t="shared" si="0"/>
        <v>153647.64000000001</v>
      </c>
      <c r="G8" s="14">
        <f t="shared" si="0"/>
        <v>215461.47</v>
      </c>
    </row>
  </sheetData>
  <mergeCells count="1">
    <mergeCell ref="B5:G5"/>
  </mergeCells>
  <hyperlinks>
    <hyperlink ref="F1" location="Index_Data!A1" tooltip="Hi click here To return Index page" display="Index_Data!A1" xr:uid="{D8C1BCFF-5F0E-4796-89D0-B2D55407E072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897D-B1A9-43C8-9174-A6CACEFCCD2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Balance_Sheet!B74</f>
        <v>Total Assets</v>
      </c>
      <c r="C7" s="13">
        <f>Balance_Sheet!C74</f>
        <v>61334.14</v>
      </c>
      <c r="D7" s="13">
        <f>Balance_Sheet!D74</f>
        <v>121708.06541244722</v>
      </c>
      <c r="E7" s="13">
        <f>Balance_Sheet!E74</f>
        <v>182810.53581837588</v>
      </c>
      <c r="F7" s="13">
        <f>Balance_Sheet!F74</f>
        <v>227087.34441451222</v>
      </c>
      <c r="G7" s="13">
        <f>Balance_Sheet!G74</f>
        <v>300876.0459167849</v>
      </c>
    </row>
    <row r="8" spans="2:15" ht="18.75" x14ac:dyDescent="0.25">
      <c r="B8" s="14" t="s">
        <v>182</v>
      </c>
      <c r="C8" s="14">
        <f>ROUND(C6/C7, 2)</f>
        <v>0.89</v>
      </c>
      <c r="D8" s="14">
        <f t="shared" ref="D8:G8" si="0">ROUND(D6/D7, 2)</f>
        <v>0.62</v>
      </c>
      <c r="E8" s="14">
        <f t="shared" si="0"/>
        <v>0.4</v>
      </c>
      <c r="F8" s="14">
        <f t="shared" si="0"/>
        <v>0.25</v>
      </c>
      <c r="G8" s="14">
        <f t="shared" si="0"/>
        <v>0.31</v>
      </c>
    </row>
  </sheetData>
  <mergeCells count="1">
    <mergeCell ref="B5:G5"/>
  </mergeCells>
  <hyperlinks>
    <hyperlink ref="F1" location="Index_Data!A1" tooltip="Hi click here To return Index page" display="Index_Data!A1" xr:uid="{D8785F29-68F1-4DC4-A435-16C0EDD3AB6D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7708-6C3D-4525-8DE1-A8E3461ED92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Balance_Sheet!B66</f>
        <v>Inventories</v>
      </c>
      <c r="C7" s="13">
        <f>Balance_Sheet!C66</f>
        <v>1932.51</v>
      </c>
      <c r="D7" s="13">
        <f>Balance_Sheet!D66</f>
        <v>2502.64</v>
      </c>
      <c r="E7" s="13">
        <f>Balance_Sheet!E66</f>
        <v>3183.01</v>
      </c>
      <c r="F7" s="13">
        <f>Balance_Sheet!F66</f>
        <v>2989.73</v>
      </c>
      <c r="G7" s="13">
        <f>Balance_Sheet!G66</f>
        <v>3576.61</v>
      </c>
    </row>
    <row r="8" spans="2:15" ht="18.75" x14ac:dyDescent="0.25">
      <c r="B8" s="14" t="s">
        <v>184</v>
      </c>
      <c r="C8" s="14">
        <f>ROUND(C6/C7, 2)</f>
        <v>28.23</v>
      </c>
      <c r="D8" s="14">
        <f t="shared" ref="D8:G8" si="0">ROUND(D6/D7, 2)</f>
        <v>30.33</v>
      </c>
      <c r="E8" s="14">
        <f t="shared" si="0"/>
        <v>22.75</v>
      </c>
      <c r="F8" s="14">
        <f t="shared" si="0"/>
        <v>19.13</v>
      </c>
      <c r="G8" s="14">
        <f t="shared" si="0"/>
        <v>25.97</v>
      </c>
    </row>
  </sheetData>
  <mergeCells count="1">
    <mergeCell ref="B5:G5"/>
  </mergeCells>
  <hyperlinks>
    <hyperlink ref="F1" location="Index_Data!A1" tooltip="Hi click here To return Index page" display="Index_Data!A1" xr:uid="{D4010831-904C-4FBA-B793-FA1D77DBAA0E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B89EA-B5E4-4AD8-AF5E-F62B8F715C9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Balance_Sheet!B68</f>
        <v>Trade Receivables</v>
      </c>
      <c r="C7" s="13">
        <f>Balance_Sheet!C68</f>
        <v>3429.56</v>
      </c>
      <c r="D7" s="13">
        <f>Balance_Sheet!D68</f>
        <v>4363.3900000000003</v>
      </c>
      <c r="E7" s="13">
        <f>Balance_Sheet!E68</f>
        <v>4818.3100000000004</v>
      </c>
      <c r="F7" s="13">
        <f>Balance_Sheet!F68</f>
        <v>3501.5</v>
      </c>
      <c r="G7" s="13">
        <f>Balance_Sheet!G68</f>
        <v>7446.53</v>
      </c>
    </row>
    <row r="8" spans="2:15" ht="18.75" x14ac:dyDescent="0.25">
      <c r="B8" s="14" t="s">
        <v>186</v>
      </c>
      <c r="C8" s="14">
        <f>ROUND(C6/C7, 2)</f>
        <v>15.91</v>
      </c>
      <c r="D8" s="14">
        <f t="shared" ref="D8:G8" si="0">ROUND(D6/D7, 2)</f>
        <v>17.399999999999999</v>
      </c>
      <c r="E8" s="14">
        <f t="shared" si="0"/>
        <v>15.03</v>
      </c>
      <c r="F8" s="14">
        <f t="shared" si="0"/>
        <v>16.34</v>
      </c>
      <c r="G8" s="14">
        <f t="shared" si="0"/>
        <v>12.47</v>
      </c>
    </row>
  </sheetData>
  <mergeCells count="1">
    <mergeCell ref="B5:G5"/>
  </mergeCells>
  <hyperlinks>
    <hyperlink ref="F1" location="Index_Data!A1" tooltip="Hi click here To return Index page" display="Index_Data!A1" xr:uid="{89801A3D-C5F8-4A88-B5F6-16DE446AED89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3484B-5058-4DAE-BDCC-916621596BE4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Balance_Sheet!B40</f>
        <v>Tangible Assets</v>
      </c>
      <c r="C7" s="13">
        <f>Balance_Sheet!C40</f>
        <v>29416.84</v>
      </c>
      <c r="D7" s="13">
        <f>Balance_Sheet!D40</f>
        <v>31287.77</v>
      </c>
      <c r="E7" s="13">
        <f>Balance_Sheet!E40</f>
        <v>36349.26</v>
      </c>
      <c r="F7" s="13">
        <f>Balance_Sheet!F40</f>
        <v>38859.660000000003</v>
      </c>
      <c r="G7" s="13">
        <f>Balance_Sheet!G40</f>
        <v>60062.46</v>
      </c>
    </row>
    <row r="8" spans="2:15" ht="18.75" x14ac:dyDescent="0.25">
      <c r="B8" s="14" t="s">
        <v>188</v>
      </c>
      <c r="C8" s="14">
        <f>ROUND(C6/C7, 2)</f>
        <v>1.85</v>
      </c>
      <c r="D8" s="14">
        <f t="shared" ref="D8:G8" si="0">ROUND(D6/D7, 2)</f>
        <v>2.4300000000000002</v>
      </c>
      <c r="E8" s="14">
        <f t="shared" si="0"/>
        <v>1.99</v>
      </c>
      <c r="F8" s="14">
        <f t="shared" si="0"/>
        <v>1.47</v>
      </c>
      <c r="G8" s="14">
        <f t="shared" si="0"/>
        <v>1.55</v>
      </c>
    </row>
  </sheetData>
  <mergeCells count="1">
    <mergeCell ref="B5:G5"/>
  </mergeCells>
  <hyperlinks>
    <hyperlink ref="F1" location="Index_Data!A1" tooltip="Hi click here To return Index page" display="Index_Data!A1" xr:uid="{D8D6A553-BA6F-43BB-A4B7-C4DAF31AE9DA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8644-C961-4C70-AC32-819B25F3DB7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4140.8999999999996</v>
      </c>
      <c r="D6" s="13">
        <f>Income_Statement!D17</f>
        <v>5079.83</v>
      </c>
      <c r="E6" s="13">
        <f>Income_Statement!E17</f>
        <v>4411.97</v>
      </c>
      <c r="F6" s="13">
        <f>Income_Statement!F17</f>
        <v>3905.88</v>
      </c>
      <c r="G6" s="13">
        <f>Income_Statement!G17</f>
        <v>11103.28</v>
      </c>
    </row>
    <row r="7" spans="2:15" ht="18.75" x14ac:dyDescent="0.25">
      <c r="B7" s="12" t="str">
        <f>Balance_Sheet!B33</f>
        <v>Total Current Liabilities</v>
      </c>
      <c r="C7" s="13">
        <f>Balance_Sheet!C33</f>
        <v>12481.24</v>
      </c>
      <c r="D7" s="13">
        <f>Balance_Sheet!D33</f>
        <v>13776.74</v>
      </c>
      <c r="E7" s="13">
        <f>Balance_Sheet!E33</f>
        <v>15182.099999999999</v>
      </c>
      <c r="F7" s="13">
        <f>Balance_Sheet!F33</f>
        <v>17256.37</v>
      </c>
      <c r="G7" s="13">
        <f>Balance_Sheet!G33</f>
        <v>20224.45</v>
      </c>
    </row>
    <row r="8" spans="2:15" ht="18.75" x14ac:dyDescent="0.25">
      <c r="B8" s="14" t="s">
        <v>190</v>
      </c>
      <c r="C8" s="14">
        <f>ROUND(C6/C7, 2)</f>
        <v>0.33</v>
      </c>
      <c r="D8" s="14">
        <f t="shared" ref="D8:G8" si="0">ROUND(D6/D7, 2)</f>
        <v>0.37</v>
      </c>
      <c r="E8" s="14">
        <f t="shared" si="0"/>
        <v>0.28999999999999998</v>
      </c>
      <c r="F8" s="14">
        <f t="shared" si="0"/>
        <v>0.23</v>
      </c>
      <c r="G8" s="14">
        <f t="shared" si="0"/>
        <v>0.55000000000000004</v>
      </c>
    </row>
  </sheetData>
  <mergeCells count="1">
    <mergeCell ref="B5:G5"/>
  </mergeCells>
  <hyperlinks>
    <hyperlink ref="F1" location="Index_Data!A1" tooltip="Hi click here To return Index page" display="Index_Data!A1" xr:uid="{702A68CD-E222-4A57-83E9-9C2B3CD1EE4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B5B4D-FF32-44AD-9B93-AC5FAD42BE7D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3203B8A2-65F1-4DA8-B99F-3FD97D61A025}"/>
    <hyperlink ref="A2" location="ISMInput!A1" tooltip="Hi click here to view the sheet" display="ISMInput!A1" xr:uid="{B4E12D6F-CC88-4B04-BE33-C4DEC778645C}"/>
    <hyperlink ref="A4" location="Income_Statement!A1" tooltip="Hi click here to view the sheet" display="Income_Statement!A1" xr:uid="{0CE09D81-52F0-4A16-B048-477868F8CDF0}"/>
    <hyperlink ref="A5" location="Balance_Sheet!A1" tooltip="Hi click here to view the sheet" display="Balance_Sheet!A1" xr:uid="{C5D679BC-6C87-4DB9-944D-69C4D8A311F4}"/>
    <hyperlink ref="A6" location="CashFlow_Statement!A1" tooltip="Hi click here to view the sheet" display="CashFlow_Statement!A1" xr:uid="{70E78A6E-C484-4EE1-B534-7053CBA42EB5}"/>
    <hyperlink ref="A7" location="Ratios!A1" tooltip="Hi click here to view the sheet" display="Ratios!A1" xr:uid="{3F8666FE-1CED-4A66-8BB1-46A573173DD9}"/>
    <hyperlink ref="A8" location="Earning__Per_Share!A1" tooltip="Hi click here to view the sheet" display="Earning__Per_Share!A1" xr:uid="{84C642A8-DEF9-410C-A14D-FED31AB4DCD9}"/>
    <hyperlink ref="A9" location="Equity_Dividend_Per_Share!A1" tooltip="Hi click here to view the sheet" display="Equity_Dividend_Per_Share!A1" xr:uid="{703F7BA0-50D4-497E-895C-2387141A9ED0}"/>
    <hyperlink ref="A10" location="Book_Value__Per_Share!A1" tooltip="Hi click here to view the sheet" display="Book_Value__Per_Share!A1" xr:uid="{83A4D883-05E2-4D43-B78D-B7B3B0AFB739}"/>
    <hyperlink ref="A11" location="Dividend_Pay_Out_Ratio!A1" tooltip="Hi click here to view the sheet" display="Dividend_Pay_Out_Ratio!A1" xr:uid="{483DC115-2ADF-42B3-AC5B-36EEC95021F9}"/>
    <hyperlink ref="A12" location="Dividend_Retention_Ratio!A1" tooltip="Hi click here to view the sheet" display="Dividend_Retention_Ratio!A1" xr:uid="{48BF736D-51AE-42FC-8F06-834EFE169E89}"/>
    <hyperlink ref="A13" location="Gross_Profit!A1" tooltip="Hi click here to view the sheet" display="Gross_Profit!A1" xr:uid="{179D4947-A1C0-4476-A388-A638A8C8066A}"/>
    <hyperlink ref="A14" location="Net_Profit!A1" tooltip="Hi click here to view the sheet" display="Net_Profit!A1" xr:uid="{3DD87A78-0F89-4DE4-B148-EBD0E57721C9}"/>
    <hyperlink ref="A15" location="Return_On_Assets!A1" tooltip="Hi click here to view the sheet" display="Return_On_Assets!A1" xr:uid="{7F031293-9470-4625-A058-8E3AE716C63E}"/>
    <hyperlink ref="A16" location="Return_On_Capital_Employeed!A1" tooltip="Hi click here to view the sheet" display="Return_On_Capital_Employeed!A1" xr:uid="{EBA75481-3F6D-4F2E-A075-E04460F2EB14}"/>
    <hyperlink ref="A17" location="Return_On_Equity!A1" tooltip="Hi click here to view the sheet" display="Return_On_Equity!A1" xr:uid="{B5EF32AE-A8A4-42AB-BE84-AC79E839CFC9}"/>
    <hyperlink ref="A18" location="Debt_Equity_Ratio!A1" tooltip="Hi click here to view the sheet" display="Debt_Equity_Ratio!A1" xr:uid="{AC176347-DC4E-4B80-A2FB-E70C07DA5BD6}"/>
    <hyperlink ref="A19" location="Current_Ratio!A1" tooltip="Hi click here to view the sheet" display="Current_Ratio!A1" xr:uid="{01DB2BEB-4190-4C13-8165-AB7D7DEB5433}"/>
    <hyperlink ref="A20" location="Quick_Ratio!A1" tooltip="Hi click here to view the sheet" display="Quick_Ratio!A1" xr:uid="{1908C644-9A50-474D-A55C-67625CEBDD38}"/>
    <hyperlink ref="A21" location="Interest_Coverage_Ratio!A1" tooltip="Hi click here to view the sheet" display="Interest_Coverage_Ratio!A1" xr:uid="{6FDC524E-8A53-4807-8D94-DEBE289E22F0}"/>
    <hyperlink ref="A22" location="Material_Consumed!A1" tooltip="Hi click here to view the sheet" display="Material_Consumed!A1" xr:uid="{1B324000-C327-4836-AB59-73348E8DD3D5}"/>
    <hyperlink ref="A23" location="Defensive_Interval_Ratio!A1" tooltip="Hi click here to view the sheet" display="Defensive_Interval_Ratio!A1" xr:uid="{092E75C0-AC8E-4CA2-90ED-0A9EAD85D3BE}"/>
    <hyperlink ref="A24" location="Purchases_Per_Day!A1" tooltip="Hi click here to view the sheet" display="Purchases_Per_Day!A1" xr:uid="{2DBEEEB9-7392-4941-B465-7B1698C72D6A}"/>
    <hyperlink ref="A25" location="Asset_TurnOver_Ratio!A1" tooltip="Hi click here to view the sheet" display="Asset_TurnOver_Ratio!A1" xr:uid="{37D14622-A6DD-4632-AEBE-006F7BDC3812}"/>
    <hyperlink ref="A26" location="Inventory_TurnOver_Ratio!A1" tooltip="Hi click here to view the sheet" display="Inventory_TurnOver_Ratio!A1" xr:uid="{B5F53C41-8A61-40FA-BAE5-7A90BB1D5EEB}"/>
    <hyperlink ref="A27" location="Debtors_TurnOver_Ratio!A1" tooltip="Hi click here to view the sheet" display="Debtors_TurnOver_Ratio!A1" xr:uid="{2C107E37-0684-4A35-8BDE-1C66C3E77E03}"/>
    <hyperlink ref="A28" location="Fixed_Assets_TurnOver_Ratio!A1" tooltip="Hi click here to view the sheet" display="Fixed_Assets_TurnOver_Ratio!A1" xr:uid="{BAEFB5C4-91FF-4416-85EE-7DD134EB84FE}"/>
    <hyperlink ref="A29" location="Payable_TurnOver_Ratio!A1" tooltip="Hi click here to view the sheet" display="Payable_TurnOver_Ratio!A1" xr:uid="{26714663-331A-43F7-9E1C-92D51F3FCF85}"/>
    <hyperlink ref="A30" location="Inventory_Days!A1" tooltip="Hi click here to view the sheet" display="Inventory_Days!A1" xr:uid="{EFBA741D-0E34-4C78-BDFD-EEBDE400EC8A}"/>
    <hyperlink ref="A31" location="Payable_Days!A1" tooltip="Hi click here to view the sheet" display="Payable_Days!A1" xr:uid="{B0A1B09B-71BA-444D-9BA9-F32BCA8E713F}"/>
    <hyperlink ref="A32" location="Receivable_Days!A1" tooltip="Hi click here to view the sheet" display="Receivable_Days!A1" xr:uid="{23B92530-CD8E-4949-99B9-9B893FB39A3D}"/>
    <hyperlink ref="A33" location="Operating_Cycle!A1" tooltip="Hi click here to view the sheet" display="Operating_Cycle!A1" xr:uid="{0DBC9614-F679-4CFC-99EE-09F020F7F1A1}"/>
    <hyperlink ref="A34" location="Cash_Conversion_Cycle_Days!A1" tooltip="Hi click here to view the sheet" display="Cash_Conversion_Cycle_Days!A1" xr:uid="{D0D173F2-D2B4-4A24-99D8-2B87CDA40DE1}"/>
    <hyperlink ref="A35" location="NetWorthVsTotalLiabilties!A1" tooltip="Hi click here to view the sheet" display="NetWorthVsTotalLiabilties!A1" xr:uid="{EF0A1686-BB72-4E44-9958-EE3191A9EC28}"/>
    <hyperlink ref="A36" location="PBDITvsPBIT!A1" tooltip="Hi click here to view the sheet" display="PBDITvsPBIT!A1" xr:uid="{07BFA612-4969-42D5-AD62-0C9E324624CC}"/>
    <hyperlink ref="A37" location="CAvsCL!A1" tooltip="Hi click here to view the sheet" display="CAvsCL!A1" xr:uid="{6FE67E6B-D3AA-4AA3-998C-6272D7C4D915}"/>
    <hyperlink ref="A38" location="Long_And_Short_Term_Provisions!A1" tooltip="Hi click here to view the sheet" display="Long_And_Short_Term_Provisions!A1" xr:uid="{F56B39BF-2419-4DC4-853E-D465ED9991EE}"/>
    <hyperlink ref="A39" location="MaterialConsumed_DirectExpenses!A1" tooltip="Hi click here to view the sheet" display="MaterialConsumed_DirectExpenses!A1" xr:uid="{AEA630A7-B59B-4559-858D-989AFFA9C411}"/>
    <hyperlink ref="A40" location="Gross_Sales_In_Total_Income!A1" tooltip="Hi click here to view the sheet" display="Gross_Sales_In_Total_Income!A1" xr:uid="{25344515-5765-41C8-A9E7-C26F73A09141}"/>
    <hyperlink ref="A41" location="Total_Debt_In_Liabilities!A1" tooltip="Hi click here to view the sheet" display="Total_Debt_In_Liabilities!A1" xr:uid="{8BA3D8D7-D0D1-4344-9CE6-DBF5E59CDA70}"/>
    <hyperlink ref="A42" location="Total_CL_In_Liabilities!A1" tooltip="Hi click here to view the sheet" display="Total_CL_In_Liabilities!A1" xr:uid="{67E8ADBB-E0BD-4BE2-A141-81CCBAFD1ABC}"/>
    <hyperlink ref="A43" location="Total_NCA_In_Assets!A1" tooltip="Hi click here to view the sheet" display="Total_NCA_In_Assets!A1" xr:uid="{F4FB39DD-ACF2-4D7A-883B-50A2A7E54A15}"/>
    <hyperlink ref="A44" location="Total_CA_In_Assets!A1" tooltip="Hi click here to view the sheet" display="Total_CA_In_Assets!A1" xr:uid="{88E7AC0C-A390-4CEA-8549-172B8DE29D2A}"/>
    <hyperlink ref="A45" location="TotalExpenditureVsTotalIncome!A1" tooltip="Hi click here to view the sheet" display="TotalExpenditureVsTotalIncome!A1" xr:uid="{3774A0F8-3D56-496E-A692-BB50B53F4E59}"/>
    <hyperlink ref="A46" location="Net_Profit_CF_To_Balance_Sheet!A1" tooltip="Hi click here to view the sheet" display="Net_Profit_CF_To_Balance_Sheet!A1" xr:uid="{F0C52EC3-0EE3-4644-8FCA-4252B8866A81}"/>
    <hyperlink ref="A47" location="BS_Backup!A1" tooltip="Hi click here to view the sheet" display="BS_Backup!A1" xr:uid="{D432E0B3-977E-454C-9071-34F00EAF4F1A}"/>
    <hyperlink ref="A48" location="ISM_Backup!A1" tooltip="Hi click here to view the sheet" display="ISM_Backup!A1" xr:uid="{4CE7D730-113E-49B9-86F3-AB6478932990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55D8-A3EC-4D77-B1F7-4AF41385272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Balance_Sheet!B66</f>
        <v>Inventories</v>
      </c>
      <c r="C7" s="13">
        <f>Balance_Sheet!C66</f>
        <v>1932.51</v>
      </c>
      <c r="D7" s="13">
        <f>Balance_Sheet!D66</f>
        <v>2502.64</v>
      </c>
      <c r="E7" s="13">
        <f>Balance_Sheet!E66</f>
        <v>3183.01</v>
      </c>
      <c r="F7" s="13">
        <f>Balance_Sheet!F66</f>
        <v>2989.73</v>
      </c>
      <c r="G7" s="13">
        <f>Balance_Sheet!G66</f>
        <v>3576.61</v>
      </c>
    </row>
    <row r="8" spans="2:15" ht="18.75" x14ac:dyDescent="0.25">
      <c r="B8" s="14" t="s">
        <v>192</v>
      </c>
      <c r="C8" s="14">
        <f>ROUND(365/C6*C7, 2)</f>
        <v>12.93</v>
      </c>
      <c r="D8" s="14">
        <f t="shared" ref="D8:G8" si="0">ROUND(365/D6*D7, 2)</f>
        <v>12.03</v>
      </c>
      <c r="E8" s="14">
        <f t="shared" si="0"/>
        <v>16.04</v>
      </c>
      <c r="F8" s="14">
        <f t="shared" si="0"/>
        <v>19.079999999999998</v>
      </c>
      <c r="G8" s="14">
        <f t="shared" si="0"/>
        <v>14.06</v>
      </c>
    </row>
  </sheetData>
  <mergeCells count="1">
    <mergeCell ref="B5:G5"/>
  </mergeCells>
  <hyperlinks>
    <hyperlink ref="F1" location="Index_Data!A1" tooltip="Hi click here To return Index page" display="Index_Data!A1" xr:uid="{42F34213-57C5-48AA-B912-C8C6E6C473C4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35885-44A9-4526-901D-D7D0450B43F4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4140.8999999999996</v>
      </c>
      <c r="D6" s="13">
        <f>Income_Statement!D17</f>
        <v>5079.83</v>
      </c>
      <c r="E6" s="13">
        <f>Income_Statement!E17</f>
        <v>4411.97</v>
      </c>
      <c r="F6" s="13">
        <f>Income_Statement!F17</f>
        <v>3905.88</v>
      </c>
      <c r="G6" s="13">
        <f>Income_Statement!G17</f>
        <v>11103.28</v>
      </c>
    </row>
    <row r="7" spans="2:15" ht="18.75" x14ac:dyDescent="0.25">
      <c r="B7" s="12" t="str">
        <f>Balance_Sheet!B33</f>
        <v>Total Current Liabilities</v>
      </c>
      <c r="C7" s="13">
        <f>Balance_Sheet!C33</f>
        <v>12481.24</v>
      </c>
      <c r="D7" s="13">
        <f>Balance_Sheet!D33</f>
        <v>13776.74</v>
      </c>
      <c r="E7" s="13">
        <f>Balance_Sheet!E33</f>
        <v>15182.099999999999</v>
      </c>
      <c r="F7" s="13">
        <f>Balance_Sheet!F33</f>
        <v>17256.37</v>
      </c>
      <c r="G7" s="13">
        <f>Balance_Sheet!G33</f>
        <v>20224.45</v>
      </c>
    </row>
    <row r="8" spans="2:15" ht="18.75" x14ac:dyDescent="0.25">
      <c r="B8" s="14" t="s">
        <v>194</v>
      </c>
      <c r="C8" s="14">
        <f>ROUND(365/C6*C7, 2)</f>
        <v>1100.1600000000001</v>
      </c>
      <c r="D8" s="14">
        <f t="shared" ref="D8:G8" si="0">ROUND(365/D6*D7, 2)</f>
        <v>989.9</v>
      </c>
      <c r="E8" s="14">
        <f t="shared" si="0"/>
        <v>1256.01</v>
      </c>
      <c r="F8" s="14">
        <f t="shared" si="0"/>
        <v>1612.59</v>
      </c>
      <c r="G8" s="14">
        <f t="shared" si="0"/>
        <v>664.84</v>
      </c>
    </row>
  </sheetData>
  <mergeCells count="1">
    <mergeCell ref="B5:G5"/>
  </mergeCells>
  <hyperlinks>
    <hyperlink ref="F1" location="Index_Data!A1" tooltip="Hi click here To return Index page" display="Index_Data!A1" xr:uid="{1818BE99-847C-440C-976E-16B3E35D963B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1FC7-58CD-46F6-BFE2-4311A548A80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Balance_Sheet!B68</f>
        <v>Trade Receivables</v>
      </c>
      <c r="C7" s="13">
        <f>Balance_Sheet!C68</f>
        <v>3429.56</v>
      </c>
      <c r="D7" s="13">
        <f>Balance_Sheet!D68</f>
        <v>4363.3900000000003</v>
      </c>
      <c r="E7" s="13">
        <f>Balance_Sheet!E68</f>
        <v>4818.3100000000004</v>
      </c>
      <c r="F7" s="13">
        <f>Balance_Sheet!F68</f>
        <v>3501.5</v>
      </c>
      <c r="G7" s="13">
        <f>Balance_Sheet!G68</f>
        <v>7446.53</v>
      </c>
    </row>
    <row r="8" spans="2:15" ht="18.75" x14ac:dyDescent="0.25">
      <c r="B8" s="14" t="s">
        <v>196</v>
      </c>
      <c r="C8" s="14">
        <f>ROUND(365/C6*C7, 2)</f>
        <v>22.94</v>
      </c>
      <c r="D8" s="14">
        <f t="shared" ref="D8:G8" si="0">ROUND(365/D6*D7, 2)</f>
        <v>20.98</v>
      </c>
      <c r="E8" s="14">
        <f t="shared" si="0"/>
        <v>24.28</v>
      </c>
      <c r="F8" s="14">
        <f t="shared" si="0"/>
        <v>22.34</v>
      </c>
      <c r="G8" s="14">
        <f t="shared" si="0"/>
        <v>29.27</v>
      </c>
    </row>
  </sheetData>
  <mergeCells count="1">
    <mergeCell ref="B5:G5"/>
  </mergeCells>
  <hyperlinks>
    <hyperlink ref="F1" location="Index_Data!A1" tooltip="Hi click here To return Index page" display="Index_Data!A1" xr:uid="{2044B3FA-351C-4184-ACC7-88D69722D4AA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49EF-FC69-4713-9012-9079C5569FFD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Balance_Sheet!B66</f>
        <v>Inventories</v>
      </c>
      <c r="C7" s="13">
        <f>Balance_Sheet!C66</f>
        <v>1932.51</v>
      </c>
      <c r="D7" s="13">
        <f>Balance_Sheet!D66</f>
        <v>2502.64</v>
      </c>
      <c r="E7" s="13">
        <f>Balance_Sheet!E66</f>
        <v>3183.01</v>
      </c>
      <c r="F7" s="13">
        <f>Balance_Sheet!F66</f>
        <v>2989.73</v>
      </c>
      <c r="G7" s="13">
        <f>Balance_Sheet!G66</f>
        <v>3576.61</v>
      </c>
    </row>
    <row r="8" spans="2:15" ht="18.75" x14ac:dyDescent="0.25">
      <c r="B8" s="12" t="s">
        <v>192</v>
      </c>
      <c r="C8" s="13">
        <f>ROUND(365/C6*C7, 2)</f>
        <v>12.93</v>
      </c>
      <c r="D8" s="13">
        <f t="shared" ref="D8:G8" si="0">ROUND(365/D6*D7, 2)</f>
        <v>12.03</v>
      </c>
      <c r="E8" s="13">
        <f t="shared" si="0"/>
        <v>16.04</v>
      </c>
      <c r="F8" s="13">
        <f t="shared" si="0"/>
        <v>19.079999999999998</v>
      </c>
      <c r="G8" s="13">
        <f t="shared" si="0"/>
        <v>14.06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4140.8999999999996</v>
      </c>
      <c r="D9" s="13">
        <f>Income_Statement!D17</f>
        <v>5079.83</v>
      </c>
      <c r="E9" s="13">
        <f>Income_Statement!E17</f>
        <v>4411.97</v>
      </c>
      <c r="F9" s="13">
        <f>Income_Statement!F17</f>
        <v>3905.88</v>
      </c>
      <c r="G9" s="13">
        <f>Income_Statement!G17</f>
        <v>11103.28</v>
      </c>
    </row>
    <row r="10" spans="2:15" ht="18.75" x14ac:dyDescent="0.25">
      <c r="B10" s="12" t="str">
        <f>Balance_Sheet!B33</f>
        <v>Total Current Liabilities</v>
      </c>
      <c r="C10" s="13">
        <f>Balance_Sheet!C33</f>
        <v>12481.24</v>
      </c>
      <c r="D10" s="13">
        <f>Balance_Sheet!D33</f>
        <v>13776.74</v>
      </c>
      <c r="E10" s="13">
        <f>Balance_Sheet!E33</f>
        <v>15182.099999999999</v>
      </c>
      <c r="F10" s="13">
        <f>Balance_Sheet!F33</f>
        <v>17256.37</v>
      </c>
      <c r="G10" s="13">
        <f>Balance_Sheet!G33</f>
        <v>20224.45</v>
      </c>
    </row>
    <row r="11" spans="2:15" ht="18.75" x14ac:dyDescent="0.25">
      <c r="B11" s="12" t="s">
        <v>194</v>
      </c>
      <c r="C11" s="13">
        <f>ROUND(365/C9*C10, 2)</f>
        <v>1100.1600000000001</v>
      </c>
      <c r="D11" s="13">
        <f t="shared" ref="D11:G11" si="1">ROUND(365/D9*D10, 2)</f>
        <v>989.9</v>
      </c>
      <c r="E11" s="13">
        <f t="shared" si="1"/>
        <v>1256.01</v>
      </c>
      <c r="F11" s="13">
        <f t="shared" si="1"/>
        <v>1612.59</v>
      </c>
      <c r="G11" s="13">
        <f t="shared" si="1"/>
        <v>664.84</v>
      </c>
    </row>
    <row r="12" spans="2:15" ht="18.75" x14ac:dyDescent="0.25">
      <c r="B12" s="14" t="s">
        <v>198</v>
      </c>
      <c r="C12" s="16">
        <f>ROUND(C11+C8, 2)</f>
        <v>1113.0899999999999</v>
      </c>
      <c r="D12" s="16">
        <f t="shared" ref="D12:G12" si="2">ROUND(D11+D8, 2)</f>
        <v>1001.93</v>
      </c>
      <c r="E12" s="16">
        <f t="shared" si="2"/>
        <v>1272.05</v>
      </c>
      <c r="F12" s="16">
        <f t="shared" si="2"/>
        <v>1631.67</v>
      </c>
      <c r="G12" s="16">
        <f t="shared" si="2"/>
        <v>678.9</v>
      </c>
    </row>
  </sheetData>
  <mergeCells count="1">
    <mergeCell ref="B5:G5"/>
  </mergeCells>
  <hyperlinks>
    <hyperlink ref="F1" location="Index_Data!A1" tooltip="Hi click here To return Index page" display="Index_Data!A1" xr:uid="{FF5E1161-CC55-4F30-8D0A-F39AEEF787A9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6C53-53D2-48CC-9222-A0B67B73C09D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54556.09</v>
      </c>
      <c r="D6" s="13">
        <f>Income_Statement!D5</f>
        <v>75912.02</v>
      </c>
      <c r="E6" s="13">
        <f>Income_Statement!E5</f>
        <v>72423.56</v>
      </c>
      <c r="F6" s="13">
        <f>Income_Statement!F5</f>
        <v>57208.12</v>
      </c>
      <c r="G6" s="13">
        <f>Income_Statement!G5</f>
        <v>92873.82</v>
      </c>
    </row>
    <row r="7" spans="2:15" ht="18.75" x14ac:dyDescent="0.25">
      <c r="B7" s="12" t="str">
        <f>Balance_Sheet!B66</f>
        <v>Inventories</v>
      </c>
      <c r="C7" s="13">
        <f>Balance_Sheet!C66</f>
        <v>1932.51</v>
      </c>
      <c r="D7" s="13">
        <f>Balance_Sheet!D66</f>
        <v>2502.64</v>
      </c>
      <c r="E7" s="13">
        <f>Balance_Sheet!E66</f>
        <v>3183.01</v>
      </c>
      <c r="F7" s="13">
        <f>Balance_Sheet!F66</f>
        <v>2989.73</v>
      </c>
      <c r="G7" s="13">
        <f>Balance_Sheet!G66</f>
        <v>3576.61</v>
      </c>
    </row>
    <row r="8" spans="2:15" ht="18.75" x14ac:dyDescent="0.25">
      <c r="B8" s="12" t="s">
        <v>192</v>
      </c>
      <c r="C8" s="13">
        <f>ROUND(365/C6*C7, 2)</f>
        <v>12.93</v>
      </c>
      <c r="D8" s="13">
        <f t="shared" ref="D8:G8" si="0">ROUND(365/D6*D7, 2)</f>
        <v>12.03</v>
      </c>
      <c r="E8" s="13">
        <f t="shared" si="0"/>
        <v>16.04</v>
      </c>
      <c r="F8" s="13">
        <f t="shared" si="0"/>
        <v>19.079999999999998</v>
      </c>
      <c r="G8" s="13">
        <f t="shared" si="0"/>
        <v>14.06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4140.8999999999996</v>
      </c>
      <c r="D9" s="13">
        <f>Income_Statement!D17</f>
        <v>5079.83</v>
      </c>
      <c r="E9" s="13">
        <f>Income_Statement!E17</f>
        <v>4411.97</v>
      </c>
      <c r="F9" s="13">
        <f>Income_Statement!F17</f>
        <v>3905.88</v>
      </c>
      <c r="G9" s="13">
        <f>Income_Statement!G17</f>
        <v>11103.28</v>
      </c>
    </row>
    <row r="10" spans="2:15" ht="18.75" x14ac:dyDescent="0.25">
      <c r="B10" s="12" t="str">
        <f>Balance_Sheet!B33</f>
        <v>Total Current Liabilities</v>
      </c>
      <c r="C10" s="13">
        <f>Balance_Sheet!C33</f>
        <v>12481.24</v>
      </c>
      <c r="D10" s="13">
        <f>Balance_Sheet!D33</f>
        <v>13776.74</v>
      </c>
      <c r="E10" s="13">
        <f>Balance_Sheet!E33</f>
        <v>15182.099999999999</v>
      </c>
      <c r="F10" s="13">
        <f>Balance_Sheet!F33</f>
        <v>17256.37</v>
      </c>
      <c r="G10" s="13">
        <f>Balance_Sheet!G33</f>
        <v>20224.45</v>
      </c>
    </row>
    <row r="11" spans="2:15" ht="18.75" x14ac:dyDescent="0.25">
      <c r="B11" s="12" t="s">
        <v>194</v>
      </c>
      <c r="C11" s="13">
        <f>ROUND(365/C9*C10, 2)</f>
        <v>1100.1600000000001</v>
      </c>
      <c r="D11" s="13">
        <f t="shared" ref="D11:G11" si="1">ROUND(365/D9*D10, 2)</f>
        <v>989.9</v>
      </c>
      <c r="E11" s="13">
        <f t="shared" si="1"/>
        <v>1256.01</v>
      </c>
      <c r="F11" s="13">
        <f t="shared" si="1"/>
        <v>1612.59</v>
      </c>
      <c r="G11" s="13">
        <f t="shared" si="1"/>
        <v>664.84</v>
      </c>
    </row>
    <row r="12" spans="2:15" ht="18.75" x14ac:dyDescent="0.25">
      <c r="B12" s="12" t="s">
        <v>200</v>
      </c>
      <c r="C12" s="13">
        <f>ROUND(C11+C8, 2)</f>
        <v>1113.0899999999999</v>
      </c>
      <c r="D12" s="13">
        <f t="shared" ref="D12:G12" si="2">ROUND(D11+D8, 2)</f>
        <v>1001.93</v>
      </c>
      <c r="E12" s="13">
        <f t="shared" si="2"/>
        <v>1272.05</v>
      </c>
      <c r="F12" s="13">
        <f t="shared" si="2"/>
        <v>1631.67</v>
      </c>
      <c r="G12" s="13">
        <f t="shared" si="2"/>
        <v>678.9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4140.8999999999996</v>
      </c>
      <c r="D13" s="13">
        <f>Income_Statement!D17</f>
        <v>5079.83</v>
      </c>
      <c r="E13" s="13">
        <f>Income_Statement!E17</f>
        <v>4411.97</v>
      </c>
      <c r="F13" s="13">
        <f>Income_Statement!F17</f>
        <v>3905.88</v>
      </c>
      <c r="G13" s="13">
        <f>Income_Statement!G17</f>
        <v>11103.28</v>
      </c>
    </row>
    <row r="14" spans="2:15" ht="18.75" x14ac:dyDescent="0.25">
      <c r="B14" s="12" t="str">
        <f>Balance_Sheet!B33</f>
        <v>Total Current Liabilities</v>
      </c>
      <c r="C14" s="13">
        <f>Balance_Sheet!C33</f>
        <v>12481.24</v>
      </c>
      <c r="D14" s="13">
        <f>Balance_Sheet!D33</f>
        <v>13776.74</v>
      </c>
      <c r="E14" s="13">
        <f>Balance_Sheet!E33</f>
        <v>15182.099999999999</v>
      </c>
      <c r="F14" s="13">
        <f>Balance_Sheet!F33</f>
        <v>17256.37</v>
      </c>
      <c r="G14" s="13">
        <f>Balance_Sheet!G33</f>
        <v>20224.45</v>
      </c>
    </row>
    <row r="15" spans="2:15" ht="18.75" x14ac:dyDescent="0.25">
      <c r="B15" s="12" t="s">
        <v>194</v>
      </c>
      <c r="C15" s="13">
        <f>ROUND(365/C13*C14, 2)</f>
        <v>1100.1600000000001</v>
      </c>
      <c r="D15" s="13">
        <f t="shared" ref="D15:G15" si="3">ROUND(365/D13*D14, 2)</f>
        <v>989.9</v>
      </c>
      <c r="E15" s="13">
        <f t="shared" si="3"/>
        <v>1256.01</v>
      </c>
      <c r="F15" s="13">
        <f t="shared" si="3"/>
        <v>1612.59</v>
      </c>
      <c r="G15" s="13">
        <f t="shared" si="3"/>
        <v>664.84</v>
      </c>
    </row>
    <row r="16" spans="2:15" ht="18.75" x14ac:dyDescent="0.25">
      <c r="B16" s="14" t="s">
        <v>201</v>
      </c>
      <c r="C16" s="16">
        <f>ROUND(C15-C12, 2)</f>
        <v>-12.93</v>
      </c>
      <c r="D16" s="16">
        <f t="shared" ref="D16:G16" si="4">ROUND(D15-D12, 2)</f>
        <v>-12.03</v>
      </c>
      <c r="E16" s="16">
        <f t="shared" si="4"/>
        <v>-16.04</v>
      </c>
      <c r="F16" s="16">
        <f t="shared" si="4"/>
        <v>-19.079999999999998</v>
      </c>
      <c r="G16" s="16">
        <f t="shared" si="4"/>
        <v>-14.06</v>
      </c>
    </row>
  </sheetData>
  <mergeCells count="1">
    <mergeCell ref="B5:G5"/>
  </mergeCells>
  <hyperlinks>
    <hyperlink ref="F1" location="Index_Data!A1" tooltip="Hi click here To return Index page" display="Index_Data!A1" xr:uid="{602DF0EB-1F96-4DFA-97CC-6B2512B3D3D2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1834-90F4-475A-B69C-147428E0A65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41678.57</v>
      </c>
      <c r="D5" s="13">
        <f>Balance_Sheet!D13</f>
        <v>99304.765412447217</v>
      </c>
      <c r="E5" s="13">
        <f>Balance_Sheet!E13</f>
        <v>157164.60581837589</v>
      </c>
      <c r="F5" s="13">
        <f>Balance_Sheet!F13</f>
        <v>198884.72441451225</v>
      </c>
      <c r="G5" s="13">
        <f>Balance_Sheet!G13</f>
        <v>268430.92591678491</v>
      </c>
    </row>
    <row r="6" spans="2:15" ht="18.75" x14ac:dyDescent="0.25">
      <c r="B6" s="12" t="str">
        <f>Balance_Sheet!B37</f>
        <v>Total Liabilities</v>
      </c>
      <c r="C6" s="13">
        <f>Balance_Sheet!C37</f>
        <v>61334.139999999992</v>
      </c>
      <c r="D6" s="13">
        <f>Balance_Sheet!D37</f>
        <v>121708.06541244722</v>
      </c>
      <c r="E6" s="13">
        <f>Balance_Sheet!E37</f>
        <v>182810.53581837591</v>
      </c>
      <c r="F6" s="13">
        <f>Balance_Sheet!F37</f>
        <v>227087.34441451225</v>
      </c>
      <c r="G6" s="13">
        <f>Balance_Sheet!G37</f>
        <v>300876.0459167849</v>
      </c>
    </row>
  </sheetData>
  <hyperlinks>
    <hyperlink ref="F1" location="Index_Data!A1" tooltip="Hi click here To return Index page" display="Index_Data!A1" xr:uid="{5131A67A-0A4E-4A30-A9A4-CA9D8DC520B9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EEB77-EEDA-4855-BEFA-A8EAC7ACB3A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45141.651268402849</v>
      </c>
      <c r="D5" s="13">
        <f>Income_Statement!D29</f>
        <v>64821.065412447213</v>
      </c>
      <c r="E5" s="13">
        <f>Income_Statement!E29</f>
        <v>62869.180405928666</v>
      </c>
      <c r="F5" s="13">
        <f>Income_Statement!F29</f>
        <v>47964.168596136355</v>
      </c>
      <c r="G5" s="13">
        <f>Income_Statement!G29</f>
        <v>75328.741502272664</v>
      </c>
    </row>
    <row r="6" spans="2:15" ht="18.75" x14ac:dyDescent="0.25">
      <c r="B6" s="12" t="str">
        <f>Income_Statement!B33</f>
        <v>PBIT</v>
      </c>
      <c r="C6" s="13">
        <f>Income_Statement!C33</f>
        <v>43614.76126840285</v>
      </c>
      <c r="D6" s="13">
        <f>Income_Statement!D33</f>
        <v>63154.425412447214</v>
      </c>
      <c r="E6" s="13">
        <f>Income_Statement!E33</f>
        <v>60789.020405928663</v>
      </c>
      <c r="F6" s="13">
        <f>Income_Statement!F33</f>
        <v>45790.348596136355</v>
      </c>
      <c r="G6" s="13">
        <f>Income_Statement!G33</f>
        <v>72908.571502272665</v>
      </c>
    </row>
  </sheetData>
  <hyperlinks>
    <hyperlink ref="F1" location="Index_Data!A1" tooltip="Hi click here To return Index page" display="Index_Data!A1" xr:uid="{8A17D221-7AC2-48C2-B45F-121429491555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BECA-C7AF-4CBC-AEE7-52F0BC25D4D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14463.59</v>
      </c>
      <c r="D5" s="13">
        <f>Balance_Sheet!D72</f>
        <v>70311.20541244722</v>
      </c>
      <c r="E5" s="13">
        <f>Balance_Sheet!E72</f>
        <v>126768.45581837588</v>
      </c>
      <c r="F5" s="13">
        <f>Balance_Sheet!F72</f>
        <v>165390.22441451222</v>
      </c>
      <c r="G5" s="13">
        <f>Balance_Sheet!G72</f>
        <v>232746.22591678493</v>
      </c>
    </row>
    <row r="6" spans="2:15" ht="18.75" x14ac:dyDescent="0.25">
      <c r="B6" s="12" t="str">
        <f>Balance_Sheet!B33</f>
        <v>Total Current Liabilities</v>
      </c>
      <c r="C6" s="13">
        <f>Balance_Sheet!C33</f>
        <v>12481.24</v>
      </c>
      <c r="D6" s="13">
        <f>Balance_Sheet!D33</f>
        <v>13776.74</v>
      </c>
      <c r="E6" s="13">
        <f>Balance_Sheet!E33</f>
        <v>15182.099999999999</v>
      </c>
      <c r="F6" s="13">
        <f>Balance_Sheet!F33</f>
        <v>17256.37</v>
      </c>
      <c r="G6" s="13">
        <f>Balance_Sheet!G33</f>
        <v>20224.45</v>
      </c>
    </row>
  </sheetData>
  <hyperlinks>
    <hyperlink ref="F1" location="Index_Data!A1" tooltip="Hi click here To return Index page" display="Index_Data!A1" xr:uid="{AC625ED1-2F8F-4493-A940-49CD38179F6D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BAE28-4472-4779-9A2D-52F5D2A13F2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589.1</v>
      </c>
      <c r="D5" s="13">
        <f>Balance_Sheet!D23</f>
        <v>702.04</v>
      </c>
      <c r="E5" s="13">
        <f>Balance_Sheet!E23</f>
        <v>538.51</v>
      </c>
      <c r="F5" s="13">
        <f>Balance_Sheet!F23</f>
        <v>557.02</v>
      </c>
      <c r="G5" s="13">
        <f>Balance_Sheet!G23</f>
        <v>676.08</v>
      </c>
    </row>
    <row r="6" spans="2:15" ht="18.75" x14ac:dyDescent="0.25">
      <c r="B6" s="12" t="str">
        <f>Balance_Sheet!B25</f>
        <v>Short Term Provisions</v>
      </c>
      <c r="C6" s="13">
        <f>Balance_Sheet!C25</f>
        <v>865.08</v>
      </c>
      <c r="D6" s="13">
        <f>Balance_Sheet!D25</f>
        <v>755.05</v>
      </c>
      <c r="E6" s="13">
        <f>Balance_Sheet!E25</f>
        <v>775.16</v>
      </c>
      <c r="F6" s="13">
        <f>Balance_Sheet!F25</f>
        <v>828.71</v>
      </c>
      <c r="G6" s="13">
        <f>Balance_Sheet!G25</f>
        <v>873.2</v>
      </c>
    </row>
  </sheetData>
  <hyperlinks>
    <hyperlink ref="F1" location="Index_Data!A1" tooltip="Hi click here To return Index page" display="Index_Data!A1" xr:uid="{91E06EBC-50B4-453A-9E38-F7C2494EB7C1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C6D6A-0C72-4A3E-8A26-15576EB4E11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5703125" bestFit="1" customWidth="1"/>
    <col min="7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4140.8999999999996</v>
      </c>
      <c r="D5" s="13">
        <f>Income_Statement!D17</f>
        <v>5079.83</v>
      </c>
      <c r="E5" s="13">
        <f>Income_Statement!E17</f>
        <v>4411.97</v>
      </c>
      <c r="F5" s="13">
        <f>Income_Statement!F17</f>
        <v>3905.88</v>
      </c>
      <c r="G5" s="13">
        <f>Income_Statement!G17</f>
        <v>11103.28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354664CA-E570-47FA-B28D-75946017845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1CAD-1220-4CE4-9248-51AAE467D7A0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54556.09</v>
      </c>
      <c r="D5" s="5">
        <v>75912.02</v>
      </c>
      <c r="E5" s="5">
        <v>72423.56</v>
      </c>
      <c r="F5" s="5">
        <v>57208.12</v>
      </c>
      <c r="G5" s="5">
        <v>92873.82</v>
      </c>
      <c r="H5" s="24">
        <f>GROWTH(C5:G5,C4:G4,H4)</f>
        <v>87548.98374860773</v>
      </c>
      <c r="I5" s="24">
        <f t="shared" ref="I5:L5" si="0">GROWTH(D5:H5,D4:H4,I4)</f>
        <v>89356.648421654318</v>
      </c>
      <c r="J5" s="24">
        <f t="shared" si="0"/>
        <v>101369.66190628568</v>
      </c>
      <c r="K5" s="24">
        <f t="shared" si="0"/>
        <v>117210.80655531645</v>
      </c>
      <c r="L5" s="24">
        <f t="shared" si="0"/>
        <v>116673.18732409831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197.96</v>
      </c>
      <c r="D7" s="4">
        <v>44.28</v>
      </c>
      <c r="E7" s="4">
        <v>59.28</v>
      </c>
      <c r="F7" s="4">
        <v>56.35</v>
      </c>
      <c r="G7" s="4">
        <v>103.99</v>
      </c>
      <c r="H7" s="26">
        <f>H5*H8</f>
        <v>98.02782764849897</v>
      </c>
      <c r="I7" s="26">
        <f t="shared" ref="I7:L7" si="1">I5*I8</f>
        <v>100.051853895617</v>
      </c>
      <c r="J7" s="26">
        <f t="shared" si="1"/>
        <v>113.50271951379459</v>
      </c>
      <c r="K7" s="26">
        <f t="shared" si="1"/>
        <v>131.23990995188262</v>
      </c>
      <c r="L7" s="26">
        <f t="shared" si="1"/>
        <v>130.63794242374203</v>
      </c>
    </row>
    <row r="8" spans="2:15" x14ac:dyDescent="0.25">
      <c r="B8" s="17" t="s">
        <v>239</v>
      </c>
      <c r="C8" s="18">
        <f>C7/Income_Statement!C5</f>
        <v>3.6285591581068223E-3</v>
      </c>
      <c r="D8" s="18">
        <f>D7/Income_Statement!D5</f>
        <v>5.8330683335787925E-4</v>
      </c>
      <c r="E8" s="18">
        <f>E7/Income_Statement!E5</f>
        <v>8.1851817281558656E-4</v>
      </c>
      <c r="F8" s="18">
        <f>F7/Income_Statement!F5</f>
        <v>9.8500003146406484E-4</v>
      </c>
      <c r="G8" s="18">
        <f>G7/Income_Statement!G5</f>
        <v>1.1196912111507849E-3</v>
      </c>
      <c r="H8" s="25">
        <f>G8</f>
        <v>1.1196912111507849E-3</v>
      </c>
      <c r="I8" s="25">
        <f t="shared" ref="I8:L8" si="2">H8</f>
        <v>1.1196912111507849E-3</v>
      </c>
      <c r="J8" s="25">
        <f t="shared" si="2"/>
        <v>1.1196912111507849E-3</v>
      </c>
      <c r="K8" s="25">
        <f t="shared" si="2"/>
        <v>1.1196912111507849E-3</v>
      </c>
      <c r="L8" s="25">
        <f t="shared" si="2"/>
        <v>1.1196912111507849E-3</v>
      </c>
    </row>
    <row r="9" spans="2:15" ht="18.75" x14ac:dyDescent="0.25">
      <c r="B9" s="9" t="s">
        <v>105</v>
      </c>
      <c r="C9" s="7">
        <f>C5 - C7</f>
        <v>54358.13</v>
      </c>
      <c r="D9" s="7">
        <f t="shared" ref="D9:L9" si="3">D5 - D7</f>
        <v>75867.740000000005</v>
      </c>
      <c r="E9" s="7">
        <f t="shared" si="3"/>
        <v>72364.28</v>
      </c>
      <c r="F9" s="7">
        <f t="shared" si="3"/>
        <v>57151.770000000004</v>
      </c>
      <c r="G9" s="7">
        <f t="shared" si="3"/>
        <v>92769.83</v>
      </c>
      <c r="H9" s="27">
        <f t="shared" si="3"/>
        <v>87450.955920959226</v>
      </c>
      <c r="I9" s="27">
        <f t="shared" si="3"/>
        <v>89256.596567758694</v>
      </c>
      <c r="J9" s="27">
        <f t="shared" si="3"/>
        <v>101256.15918677188</v>
      </c>
      <c r="K9" s="27">
        <f t="shared" si="3"/>
        <v>117079.56664536457</v>
      </c>
      <c r="L9" s="27">
        <f t="shared" si="3"/>
        <v>116542.54938167457</v>
      </c>
    </row>
    <row r="10" spans="2:15" x14ac:dyDescent="0.25">
      <c r="B10" s="19" t="s">
        <v>240</v>
      </c>
      <c r="C10" s="21">
        <f>C9/Income_Statement!C5</f>
        <v>0.99637144084189322</v>
      </c>
      <c r="D10" s="21">
        <f>D9/Income_Statement!D5</f>
        <v>0.99941669316664217</v>
      </c>
      <c r="E10" s="21">
        <f>E9/Income_Statement!E5</f>
        <v>0.99918148182718447</v>
      </c>
      <c r="F10" s="21">
        <f>F9/Income_Statement!F5</f>
        <v>0.99901499996853593</v>
      </c>
      <c r="G10" s="21">
        <f>G9/Income_Statement!G5</f>
        <v>0.99888030878884915</v>
      </c>
      <c r="H10" s="29">
        <f>H9/Income_Statement!H5</f>
        <v>0.99888030878884915</v>
      </c>
      <c r="I10" s="29">
        <f>I9/Income_Statement!I5</f>
        <v>0.99888030878884915</v>
      </c>
      <c r="J10" s="29">
        <f>J9/Income_Statement!J5</f>
        <v>0.99888030878884926</v>
      </c>
      <c r="K10" s="29">
        <f>K9/Income_Statement!K5</f>
        <v>0.99888030878884926</v>
      </c>
      <c r="L10" s="29">
        <f>L9/Income_Statement!L5</f>
        <v>0.99888030878884926</v>
      </c>
    </row>
    <row r="11" spans="2:15" ht="18.75" x14ac:dyDescent="0.25">
      <c r="B11" s="8" t="s">
        <v>59</v>
      </c>
      <c r="C11" s="5">
        <v>812.72</v>
      </c>
      <c r="D11" s="5">
        <v>1214.27</v>
      </c>
      <c r="E11" s="5">
        <v>1537.15</v>
      </c>
      <c r="F11" s="5">
        <v>1120.2</v>
      </c>
      <c r="G11" s="4">
        <v>1172.25</v>
      </c>
      <c r="H11" s="26">
        <f>H5*H12</f>
        <v>1400.4120098032156</v>
      </c>
      <c r="I11" s="26">
        <f t="shared" ref="I11:L11" si="4">I5*I12</f>
        <v>1429.3269692857889</v>
      </c>
      <c r="J11" s="26">
        <f t="shared" si="4"/>
        <v>1621.4841781702753</v>
      </c>
      <c r="K11" s="26">
        <f t="shared" si="4"/>
        <v>1874.8752315631186</v>
      </c>
      <c r="L11" s="26">
        <f t="shared" si="4"/>
        <v>1866.2756065776257</v>
      </c>
    </row>
    <row r="12" spans="2:15" x14ac:dyDescent="0.25">
      <c r="B12" s="17" t="s">
        <v>241</v>
      </c>
      <c r="C12" s="18">
        <f>C11/Income_Statement!C5</f>
        <v>1.4896962007357933E-2</v>
      </c>
      <c r="D12" s="18">
        <f>D11/Income_Statement!D5</f>
        <v>1.5995754032101898E-2</v>
      </c>
      <c r="E12" s="18">
        <f>E11/Income_Statement!E5</f>
        <v>2.1224446851273261E-2</v>
      </c>
      <c r="F12" s="18">
        <f>F11/Income_Statement!F5</f>
        <v>1.9581136384135677E-2</v>
      </c>
      <c r="G12" s="18">
        <f>G11/Income_Statement!G5</f>
        <v>1.26219638645207E-2</v>
      </c>
      <c r="H12" s="25">
        <f>MEDIAN(C12:G12)</f>
        <v>1.5995754032101898E-2</v>
      </c>
      <c r="I12" s="25">
        <f t="shared" ref="I12:L12" si="5">H12</f>
        <v>1.5995754032101898E-2</v>
      </c>
      <c r="J12" s="25">
        <f t="shared" si="5"/>
        <v>1.5995754032101898E-2</v>
      </c>
      <c r="K12" s="25">
        <f t="shared" si="5"/>
        <v>1.5995754032101898E-2</v>
      </c>
      <c r="L12" s="25">
        <f t="shared" si="5"/>
        <v>1.5995754032101898E-2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55171.861268402849</v>
      </c>
      <c r="D15" s="7">
        <f t="shared" ref="D15:L15" si="8">SUM(D9:D13)</f>
        <v>77083.025412447212</v>
      </c>
      <c r="E15" s="7">
        <f t="shared" si="8"/>
        <v>73902.45040592867</v>
      </c>
      <c r="F15" s="7">
        <f t="shared" si="8"/>
        <v>58272.988596136354</v>
      </c>
      <c r="G15" s="7">
        <f t="shared" si="8"/>
        <v>93943.091502272655</v>
      </c>
      <c r="H15" s="27">
        <f t="shared" si="8"/>
        <v>88852.382806825262</v>
      </c>
      <c r="I15" s="27">
        <f t="shared" si="8"/>
        <v>90686.938413107302</v>
      </c>
      <c r="J15" s="27">
        <f t="shared" si="8"/>
        <v>102878.65824100497</v>
      </c>
      <c r="K15" s="27">
        <f t="shared" si="8"/>
        <v>118955.4567529905</v>
      </c>
      <c r="L15" s="27">
        <f t="shared" si="8"/>
        <v>118409.83986431501</v>
      </c>
    </row>
    <row r="16" spans="2:15" x14ac:dyDescent="0.25">
      <c r="B16" s="19" t="s">
        <v>243</v>
      </c>
      <c r="C16" s="21">
        <f>C15/Income_Statement!C5</f>
        <v>1.0112869391556993</v>
      </c>
      <c r="D16" s="21">
        <f>D15/Income_Statement!D5</f>
        <v>1.0154258233735212</v>
      </c>
      <c r="E16" s="21">
        <f>E15/Income_Statement!E5</f>
        <v>1.0204200180980978</v>
      </c>
      <c r="F16" s="21">
        <f>F15/Income_Statement!F5</f>
        <v>1.0186139414498563</v>
      </c>
      <c r="G16" s="21">
        <f>G15/Income_Statement!G5</f>
        <v>1.011513163798718</v>
      </c>
      <c r="H16" s="29">
        <f>H15/Income_Statement!H5</f>
        <v>1.0148876549151065</v>
      </c>
      <c r="I16" s="29">
        <f>I15/Income_Statement!I5</f>
        <v>1.0148874204096783</v>
      </c>
      <c r="J16" s="29">
        <f>J15/Income_Statement!J5</f>
        <v>1.0148860744560275</v>
      </c>
      <c r="K16" s="29">
        <f>K15/Income_Statement!K5</f>
        <v>1.0148847213746515</v>
      </c>
      <c r="L16" s="29">
        <f>L15/Income_Statement!L5</f>
        <v>1.0148847612724643</v>
      </c>
    </row>
    <row r="17" spans="2:12" ht="18.75" x14ac:dyDescent="0.25">
      <c r="B17" s="8" t="s">
        <v>62</v>
      </c>
      <c r="C17" s="5">
        <v>4140.8999999999996</v>
      </c>
      <c r="D17" s="5">
        <v>5079.83</v>
      </c>
      <c r="E17" s="5">
        <v>4411.97</v>
      </c>
      <c r="F17" s="5">
        <v>3905.88</v>
      </c>
      <c r="G17" s="5">
        <v>11103.28</v>
      </c>
      <c r="H17" s="24">
        <f>H5*H18</f>
        <v>10466.683509693488</v>
      </c>
      <c r="I17" s="24">
        <f t="shared" ref="I17:L17" si="9">I5*I18</f>
        <v>10682.794002520688</v>
      </c>
      <c r="J17" s="24">
        <f t="shared" si="9"/>
        <v>12118.977550948412</v>
      </c>
      <c r="K17" s="24">
        <f t="shared" si="9"/>
        <v>14012.823034623902</v>
      </c>
      <c r="L17" s="24">
        <f t="shared" si="9"/>
        <v>13948.549412007758</v>
      </c>
    </row>
    <row r="18" spans="2:12" x14ac:dyDescent="0.25">
      <c r="B18" s="17" t="s">
        <v>244</v>
      </c>
      <c r="C18" s="18">
        <f>C17/Income_Statement!C5</f>
        <v>7.5901700433443811E-2</v>
      </c>
      <c r="D18" s="18">
        <f>D17/Income_Statement!D5</f>
        <v>6.6917334040116433E-2</v>
      </c>
      <c r="E18" s="18">
        <f>E17/Income_Statement!E5</f>
        <v>6.0918988240843179E-2</v>
      </c>
      <c r="F18" s="18">
        <f>F17/Income_Statement!F5</f>
        <v>6.8274923210201621E-2</v>
      </c>
      <c r="G18" s="18">
        <f>G17/Income_Statement!G5</f>
        <v>0.11955231301996623</v>
      </c>
      <c r="H18" s="25">
        <f>G18</f>
        <v>0.11955231301996623</v>
      </c>
      <c r="I18" s="25">
        <f t="shared" ref="I18:L18" si="10">H18</f>
        <v>0.11955231301996623</v>
      </c>
      <c r="J18" s="25">
        <f t="shared" si="10"/>
        <v>0.11955231301996623</v>
      </c>
      <c r="K18" s="25">
        <f t="shared" si="10"/>
        <v>0.11955231301996623</v>
      </c>
      <c r="L18" s="25">
        <f t="shared" si="10"/>
        <v>0.11955231301996623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1345.61</v>
      </c>
      <c r="D21" s="5">
        <v>1863.2</v>
      </c>
      <c r="E21" s="5">
        <v>1633.74</v>
      </c>
      <c r="F21" s="5">
        <v>1645.89</v>
      </c>
      <c r="G21" s="5">
        <v>1815.55</v>
      </c>
      <c r="H21" s="24">
        <f>H5*H22</f>
        <v>1711.457087097147</v>
      </c>
      <c r="I21" s="24">
        <f t="shared" ref="I21:L21" si="13">I5*I22</f>
        <v>1746.7943392651932</v>
      </c>
      <c r="J21" s="24">
        <f t="shared" si="13"/>
        <v>1981.631526235886</v>
      </c>
      <c r="K21" s="24">
        <f t="shared" si="13"/>
        <v>2291.3031879328832</v>
      </c>
      <c r="L21" s="24">
        <f t="shared" si="13"/>
        <v>2280.7935029082109</v>
      </c>
    </row>
    <row r="22" spans="2:12" x14ac:dyDescent="0.25">
      <c r="B22" s="17" t="s">
        <v>246</v>
      </c>
      <c r="C22" s="18">
        <f>C21/Income_Statement!C5</f>
        <v>2.4664707459790464E-2</v>
      </c>
      <c r="D22" s="18">
        <f>D21/Income_Statement!D5</f>
        <v>2.4544202617714558E-2</v>
      </c>
      <c r="E22" s="18">
        <f>E21/Income_Statement!E5</f>
        <v>2.2558128874084621E-2</v>
      </c>
      <c r="F22" s="18">
        <f>F21/Income_Statement!F5</f>
        <v>2.8770216535694584E-2</v>
      </c>
      <c r="G22" s="18">
        <f>G21/Income_Statement!G5</f>
        <v>1.954856600062321E-2</v>
      </c>
      <c r="H22" s="25">
        <f>G22</f>
        <v>1.954856600062321E-2</v>
      </c>
      <c r="I22" s="25">
        <f t="shared" ref="I22:L22" si="14">H22</f>
        <v>1.954856600062321E-2</v>
      </c>
      <c r="J22" s="25">
        <f t="shared" si="14"/>
        <v>1.954856600062321E-2</v>
      </c>
      <c r="K22" s="25">
        <f t="shared" si="14"/>
        <v>1.954856600062321E-2</v>
      </c>
      <c r="L22" s="25">
        <f t="shared" si="14"/>
        <v>1.954856600062321E-2</v>
      </c>
    </row>
    <row r="23" spans="2:12" ht="18.75" x14ac:dyDescent="0.25">
      <c r="B23" s="8" t="s">
        <v>69</v>
      </c>
      <c r="C23" s="5">
        <v>4543.7</v>
      </c>
      <c r="D23" s="5">
        <v>5318.93</v>
      </c>
      <c r="E23" s="5">
        <v>4987.5600000000004</v>
      </c>
      <c r="F23" s="5">
        <v>4757.05</v>
      </c>
      <c r="G23" s="5">
        <v>5695.52</v>
      </c>
      <c r="H23" s="24">
        <f>H5*H24</f>
        <v>6420.7945116578703</v>
      </c>
      <c r="I23" s="24">
        <f t="shared" ref="I23:L23" si="15">I5*I24</f>
        <v>6553.3676485996211</v>
      </c>
      <c r="J23" s="24">
        <f t="shared" si="15"/>
        <v>7434.3954772272682</v>
      </c>
      <c r="K23" s="24">
        <f t="shared" si="15"/>
        <v>8596.1763485271331</v>
      </c>
      <c r="L23" s="24">
        <f t="shared" si="15"/>
        <v>8556.7476485997959</v>
      </c>
    </row>
    <row r="24" spans="2:12" x14ac:dyDescent="0.25">
      <c r="B24" s="17" t="s">
        <v>247</v>
      </c>
      <c r="C24" s="18">
        <f>C23/Income_Statement!C5</f>
        <v>8.3284927493887481E-2</v>
      </c>
      <c r="D24" s="18">
        <f>D23/Income_Statement!D5</f>
        <v>7.0067032862516365E-2</v>
      </c>
      <c r="E24" s="18">
        <f>E23/Income_Statement!E5</f>
        <v>6.8866540114846608E-2</v>
      </c>
      <c r="F24" s="18">
        <f>F23/Income_Statement!F5</f>
        <v>8.3153405495583491E-2</v>
      </c>
      <c r="G24" s="18">
        <f>G23/Income_Statement!G5</f>
        <v>6.1325355196975857E-2</v>
      </c>
      <c r="H24" s="25">
        <f>AVERAGE(C24:G24)</f>
        <v>7.3339452232761962E-2</v>
      </c>
      <c r="I24" s="25">
        <f t="shared" ref="I24:L24" si="16">H24</f>
        <v>7.3339452232761962E-2</v>
      </c>
      <c r="J24" s="25">
        <f t="shared" si="16"/>
        <v>7.3339452232761962E-2</v>
      </c>
      <c r="K24" s="25">
        <f t="shared" si="16"/>
        <v>7.3339452232761962E-2</v>
      </c>
      <c r="L24" s="25">
        <f t="shared" si="16"/>
        <v>7.3339452232761962E-2</v>
      </c>
    </row>
    <row r="25" spans="2:12" ht="18.75" x14ac:dyDescent="0.25">
      <c r="B25" s="9" t="s">
        <v>108</v>
      </c>
      <c r="C25" s="7">
        <f>C17+C19+C21+C23</f>
        <v>10030.209999999999</v>
      </c>
      <c r="D25" s="7">
        <f t="shared" ref="D25:L25" si="17">D17+D19+D21+D23</f>
        <v>12261.96</v>
      </c>
      <c r="E25" s="7">
        <f t="shared" si="17"/>
        <v>11033.27</v>
      </c>
      <c r="F25" s="7">
        <f t="shared" si="17"/>
        <v>10308.82</v>
      </c>
      <c r="G25" s="7">
        <f t="shared" si="17"/>
        <v>18614.349999999999</v>
      </c>
      <c r="H25" s="27">
        <f t="shared" si="17"/>
        <v>18598.935108448506</v>
      </c>
      <c r="I25" s="27">
        <f t="shared" si="17"/>
        <v>18982.955990385504</v>
      </c>
      <c r="J25" s="27">
        <f t="shared" si="17"/>
        <v>21535.004554411564</v>
      </c>
      <c r="K25" s="27">
        <f t="shared" si="17"/>
        <v>24900.302571083917</v>
      </c>
      <c r="L25" s="27">
        <f t="shared" si="17"/>
        <v>24786.090563515765</v>
      </c>
    </row>
    <row r="26" spans="2:12" x14ac:dyDescent="0.25">
      <c r="B26" s="19" t="s">
        <v>248</v>
      </c>
      <c r="C26" s="21">
        <f>C25/Income_Statement!C5</f>
        <v>0.18385133538712176</v>
      </c>
      <c r="D26" s="21">
        <f>D25/Income_Statement!D5</f>
        <v>0.16152856952034736</v>
      </c>
      <c r="E26" s="21">
        <f>E25/Income_Statement!E5</f>
        <v>0.15234365722977442</v>
      </c>
      <c r="F26" s="21">
        <f>F25/Income_Statement!F5</f>
        <v>0.18019854524147969</v>
      </c>
      <c r="G26" s="21">
        <f>G25/Income_Statement!G5</f>
        <v>0.20042623421756525</v>
      </c>
      <c r="H26" s="29">
        <f>H25/Income_Statement!H5</f>
        <v>0.21244033125335141</v>
      </c>
      <c r="I26" s="29">
        <f>I25/Income_Statement!I5</f>
        <v>0.21244033125335141</v>
      </c>
      <c r="J26" s="29">
        <f>J25/Income_Statement!J5</f>
        <v>0.21244033125335138</v>
      </c>
      <c r="K26" s="29">
        <f>K25/Income_Statement!K5</f>
        <v>0.21244033125335141</v>
      </c>
      <c r="L26" s="29">
        <f>L25/Income_Statement!L5</f>
        <v>0.21244033125335141</v>
      </c>
    </row>
    <row r="27" spans="2:12" ht="18.75" x14ac:dyDescent="0.25">
      <c r="B27" s="9" t="s">
        <v>109</v>
      </c>
      <c r="C27" s="7">
        <f xml:space="preserve"> C15-C25-C11</f>
        <v>44328.931268402848</v>
      </c>
      <c r="D27" s="7">
        <f t="shared" ref="D27:L27" si="18" xml:space="preserve"> D15-D25-D11</f>
        <v>63606.795412447216</v>
      </c>
      <c r="E27" s="7">
        <f t="shared" si="18"/>
        <v>61332.030405928665</v>
      </c>
      <c r="F27" s="7">
        <f t="shared" si="18"/>
        <v>46843.968596136358</v>
      </c>
      <c r="G27" s="7">
        <f t="shared" si="18"/>
        <v>74156.491502272664</v>
      </c>
      <c r="H27" s="27">
        <f t="shared" si="18"/>
        <v>68853.035688573538</v>
      </c>
      <c r="I27" s="27">
        <f t="shared" si="18"/>
        <v>70274.655453436018</v>
      </c>
      <c r="J27" s="27">
        <f t="shared" si="18"/>
        <v>79722.169508423132</v>
      </c>
      <c r="K27" s="27">
        <f t="shared" si="18"/>
        <v>92180.278950343476</v>
      </c>
      <c r="L27" s="27">
        <f t="shared" si="18"/>
        <v>91757.473694221626</v>
      </c>
    </row>
    <row r="28" spans="2:12" x14ac:dyDescent="0.25">
      <c r="B28" s="19" t="s">
        <v>249</v>
      </c>
      <c r="C28" s="21">
        <f>C27/Income_Statement!C5</f>
        <v>0.81253864176121948</v>
      </c>
      <c r="D28" s="21">
        <f>D27/Income_Statement!D5</f>
        <v>0.83790149982107198</v>
      </c>
      <c r="E28" s="21">
        <f>E27/Income_Statement!E5</f>
        <v>0.84685191401705007</v>
      </c>
      <c r="F28" s="21">
        <f>F27/Income_Statement!F5</f>
        <v>0.81883425982424096</v>
      </c>
      <c r="G28" s="21">
        <f>G27/Income_Statement!G5</f>
        <v>0.79846496571663206</v>
      </c>
      <c r="H28" s="29">
        <f>H27/Income_Statement!H5</f>
        <v>0.78645156962965312</v>
      </c>
      <c r="I28" s="29">
        <f>I27/Income_Statement!I5</f>
        <v>0.78645133512422505</v>
      </c>
      <c r="J28" s="29">
        <f>J27/Income_Statement!J5</f>
        <v>0.78644998917057418</v>
      </c>
      <c r="K28" s="29">
        <f>K27/Income_Statement!K5</f>
        <v>0.78644863608919824</v>
      </c>
      <c r="L28" s="29">
        <f>L27/Income_Statement!L5</f>
        <v>0.78644867598701096</v>
      </c>
    </row>
    <row r="29" spans="2:12" ht="18.75" x14ac:dyDescent="0.25">
      <c r="B29" s="9" t="s">
        <v>110</v>
      </c>
      <c r="C29" s="7">
        <f xml:space="preserve"> C27+C11</f>
        <v>45141.651268402849</v>
      </c>
      <c r="D29" s="7">
        <f t="shared" ref="D29:L29" si="19" xml:space="preserve"> D27+D11</f>
        <v>64821.065412447213</v>
      </c>
      <c r="E29" s="7">
        <f t="shared" si="19"/>
        <v>62869.180405928666</v>
      </c>
      <c r="F29" s="7">
        <f t="shared" si="19"/>
        <v>47964.168596136355</v>
      </c>
      <c r="G29" s="7">
        <f t="shared" si="19"/>
        <v>75328.741502272664</v>
      </c>
      <c r="H29" s="27">
        <f t="shared" si="19"/>
        <v>70253.447698376753</v>
      </c>
      <c r="I29" s="27">
        <f t="shared" si="19"/>
        <v>71703.982422721805</v>
      </c>
      <c r="J29" s="27">
        <f t="shared" si="19"/>
        <v>81343.653686593403</v>
      </c>
      <c r="K29" s="27">
        <f t="shared" si="19"/>
        <v>94055.15418190659</v>
      </c>
      <c r="L29" s="27">
        <f t="shared" si="19"/>
        <v>93623.749300799245</v>
      </c>
    </row>
    <row r="30" spans="2:12" x14ac:dyDescent="0.25">
      <c r="B30" s="19" t="s">
        <v>250</v>
      </c>
      <c r="C30" s="21">
        <f>C29/Income_Statement!C5</f>
        <v>0.8274356037685775</v>
      </c>
      <c r="D30" s="21">
        <f>D29/Income_Statement!D5</f>
        <v>0.85389725385317383</v>
      </c>
      <c r="E30" s="21">
        <f>E29/Income_Statement!E5</f>
        <v>0.86807636086832329</v>
      </c>
      <c r="F30" s="21">
        <f>F29/Income_Statement!F5</f>
        <v>0.83841539620837657</v>
      </c>
      <c r="G30" s="21">
        <f>G29/Income_Statement!G5</f>
        <v>0.8110869295811528</v>
      </c>
      <c r="H30" s="29">
        <f>H29/Income_Statement!H5</f>
        <v>0.80244732366175497</v>
      </c>
      <c r="I30" s="29">
        <f>I29/Income_Statement!I5</f>
        <v>0.80244708915632701</v>
      </c>
      <c r="J30" s="29">
        <f>J29/Income_Statement!J5</f>
        <v>0.80244574320267603</v>
      </c>
      <c r="K30" s="29">
        <f>K29/Income_Statement!K5</f>
        <v>0.80244439012130009</v>
      </c>
      <c r="L30" s="29">
        <f>L29/Income_Statement!L5</f>
        <v>0.80244443001911281</v>
      </c>
    </row>
    <row r="31" spans="2:12" ht="18.75" x14ac:dyDescent="0.25">
      <c r="B31" s="8" t="s">
        <v>68</v>
      </c>
      <c r="C31" s="5">
        <v>1526.89</v>
      </c>
      <c r="D31" s="5">
        <v>1666.64</v>
      </c>
      <c r="E31" s="5">
        <v>2080.16</v>
      </c>
      <c r="F31" s="5">
        <v>2173.8200000000002</v>
      </c>
      <c r="G31" s="5">
        <v>2420.17</v>
      </c>
      <c r="H31" s="24">
        <f>Balance_Sheet!H40*H62</f>
        <v>5203.2736276954229</v>
      </c>
      <c r="I31" s="24">
        <f>Balance_Sheet!I40*I62</f>
        <v>6736.935147733444</v>
      </c>
      <c r="J31" s="24">
        <f>Balance_Sheet!J40*J62</f>
        <v>9293.111901346756</v>
      </c>
      <c r="K31" s="24">
        <f>Balance_Sheet!K40*K62</f>
        <v>13438.728265823995</v>
      </c>
      <c r="L31" s="24">
        <f>Balance_Sheet!L40*L62</f>
        <v>19002.196511058479</v>
      </c>
    </row>
    <row r="32" spans="2:12" x14ac:dyDescent="0.25">
      <c r="B32" s="17" t="s">
        <v>251</v>
      </c>
      <c r="C32" s="18">
        <f>C31/Income_Statement!C5</f>
        <v>2.7987526232176832E-2</v>
      </c>
      <c r="D32" s="18">
        <f>D31/Income_Statement!D5</f>
        <v>2.1954889357442997E-2</v>
      </c>
      <c r="E32" s="18">
        <f>E31/Income_Statement!E5</f>
        <v>2.8722145114103752E-2</v>
      </c>
      <c r="F32" s="18">
        <f>F31/Income_Statement!F5</f>
        <v>3.7998451968007337E-2</v>
      </c>
      <c r="G32" s="18">
        <f>G31/Income_Statement!G5</f>
        <v>2.6058689090208628E-2</v>
      </c>
      <c r="H32" s="25">
        <f>H31/Income_Statement!H5</f>
        <v>5.9432713035668668E-2</v>
      </c>
      <c r="I32" s="25">
        <f>I31/Income_Statement!I5</f>
        <v>7.5393776140118107E-2</v>
      </c>
      <c r="J32" s="25">
        <f>J31/Income_Statement!J5</f>
        <v>9.1675474955594319E-2</v>
      </c>
      <c r="K32" s="25">
        <f>K31/Income_Statement!K5</f>
        <v>0.11465434511349193</v>
      </c>
      <c r="L32" s="25">
        <f>L31/Income_Statement!L5</f>
        <v>0.16286686724580174</v>
      </c>
    </row>
    <row r="33" spans="2:12" ht="18.75" x14ac:dyDescent="0.25">
      <c r="B33" s="9" t="s">
        <v>111</v>
      </c>
      <c r="C33" s="7">
        <f xml:space="preserve"> C29-C31</f>
        <v>43614.76126840285</v>
      </c>
      <c r="D33" s="7">
        <f t="shared" ref="D33:L33" si="20" xml:space="preserve"> D29-D31</f>
        <v>63154.425412447214</v>
      </c>
      <c r="E33" s="7">
        <f t="shared" si="20"/>
        <v>60789.020405928663</v>
      </c>
      <c r="F33" s="7">
        <f t="shared" si="20"/>
        <v>45790.348596136355</v>
      </c>
      <c r="G33" s="7">
        <f t="shared" si="20"/>
        <v>72908.571502272665</v>
      </c>
      <c r="H33" s="27">
        <f t="shared" si="20"/>
        <v>65050.174070681329</v>
      </c>
      <c r="I33" s="27">
        <f t="shared" si="20"/>
        <v>64967.047274988363</v>
      </c>
      <c r="J33" s="27">
        <f t="shared" si="20"/>
        <v>72050.541785246649</v>
      </c>
      <c r="K33" s="27">
        <f t="shared" si="20"/>
        <v>80616.42591608259</v>
      </c>
      <c r="L33" s="27">
        <f t="shared" si="20"/>
        <v>74621.552789740759</v>
      </c>
    </row>
    <row r="34" spans="2:12" x14ac:dyDescent="0.25">
      <c r="B34" s="19" t="s">
        <v>252</v>
      </c>
      <c r="C34" s="21">
        <f>C33/Income_Statement!C5</f>
        <v>0.79944807753640068</v>
      </c>
      <c r="D34" s="21">
        <f>D33/Income_Statement!D5</f>
        <v>0.83194236449573089</v>
      </c>
      <c r="E34" s="21">
        <f>E33/Income_Statement!E5</f>
        <v>0.83935421575421953</v>
      </c>
      <c r="F34" s="21">
        <f>F33/Income_Statement!F5</f>
        <v>0.80041694424036924</v>
      </c>
      <c r="G34" s="21">
        <f>G33/Income_Statement!G5</f>
        <v>0.78502824049094422</v>
      </c>
      <c r="H34" s="29">
        <f>H33/Income_Statement!H5</f>
        <v>0.74301461062608631</v>
      </c>
      <c r="I34" s="29">
        <f>I33/Income_Statement!I5</f>
        <v>0.7270533130162089</v>
      </c>
      <c r="J34" s="29">
        <f>J33/Income_Statement!J5</f>
        <v>0.71077026824708167</v>
      </c>
      <c r="K34" s="29">
        <f>K33/Income_Statement!K5</f>
        <v>0.68779004500780816</v>
      </c>
      <c r="L34" s="29">
        <f>L33/Income_Statement!L5</f>
        <v>0.63957756277331101</v>
      </c>
    </row>
    <row r="35" spans="2:12" ht="18.75" x14ac:dyDescent="0.25">
      <c r="B35" s="8" t="s">
        <v>67</v>
      </c>
      <c r="C35" s="4">
        <v>294.91000000000003</v>
      </c>
      <c r="D35" s="4">
        <v>159.19999999999999</v>
      </c>
      <c r="E35" s="4">
        <v>308.94</v>
      </c>
      <c r="F35" s="4">
        <v>179.27</v>
      </c>
      <c r="G35" s="4">
        <v>202.48</v>
      </c>
      <c r="H35" s="26">
        <f>Balance_Sheet!H21*H63</f>
        <v>329.29760726348331</v>
      </c>
      <c r="I35" s="26">
        <f>Balance_Sheet!I21*I63</f>
        <v>426.357808618653</v>
      </c>
      <c r="J35" s="26">
        <f>Balance_Sheet!J21*J63</f>
        <v>588.12952382852473</v>
      </c>
      <c r="K35" s="26">
        <f>Balance_Sheet!K21*K63</f>
        <v>850.49160920371514</v>
      </c>
      <c r="L35" s="26">
        <f>Balance_Sheet!L21*L63</f>
        <v>1202.5845834528313</v>
      </c>
    </row>
    <row r="36" spans="2:12" x14ac:dyDescent="0.25">
      <c r="B36" s="17" t="s">
        <v>253</v>
      </c>
      <c r="C36" s="18">
        <f>C35/Income_Statement!C5</f>
        <v>5.4056293257086427E-3</v>
      </c>
      <c r="D36" s="18">
        <f>D35/Income_Statement!D5</f>
        <v>2.0971645860563318E-3</v>
      </c>
      <c r="E36" s="18">
        <f>E35/Income_Statement!E5</f>
        <v>4.2657389390966145E-3</v>
      </c>
      <c r="F36" s="18">
        <f>F35/Income_Statement!F5</f>
        <v>3.13364606283164E-3</v>
      </c>
      <c r="G36" s="18">
        <f>G35/Income_Statement!G5</f>
        <v>2.1801622890067402E-3</v>
      </c>
      <c r="H36" s="25">
        <f>H35/Income_Statement!H5</f>
        <v>3.7612955989191599E-3</v>
      </c>
      <c r="I36" s="25">
        <f>I35/Income_Statement!I5</f>
        <v>4.7714167456993743E-3</v>
      </c>
      <c r="J36" s="25">
        <f>J35/Income_Statement!J5</f>
        <v>5.8018297858410464E-3</v>
      </c>
      <c r="K36" s="25">
        <f>K35/Income_Statement!K5</f>
        <v>7.2560852893912495E-3</v>
      </c>
      <c r="L36" s="25">
        <f>L35/Income_Statement!L5</f>
        <v>1.0307291769721311E-2</v>
      </c>
    </row>
    <row r="37" spans="2:12" ht="18.75" x14ac:dyDescent="0.25">
      <c r="B37" s="9" t="s">
        <v>112</v>
      </c>
      <c r="C37" s="7">
        <f xml:space="preserve"> C33-C35</f>
        <v>43319.851268402846</v>
      </c>
      <c r="D37" s="7">
        <f t="shared" ref="D37:L37" si="21" xml:space="preserve"> D33-D35</f>
        <v>62995.225412447217</v>
      </c>
      <c r="E37" s="7">
        <f t="shared" si="21"/>
        <v>60480.08040592866</v>
      </c>
      <c r="F37" s="7">
        <f t="shared" si="21"/>
        <v>45611.078596136358</v>
      </c>
      <c r="G37" s="7">
        <f t="shared" si="21"/>
        <v>72706.091502272669</v>
      </c>
      <c r="H37" s="27">
        <f t="shared" si="21"/>
        <v>64720.876463417844</v>
      </c>
      <c r="I37" s="27">
        <f t="shared" si="21"/>
        <v>64540.689466369709</v>
      </c>
      <c r="J37" s="27">
        <f t="shared" si="21"/>
        <v>71462.412261418125</v>
      </c>
      <c r="K37" s="27">
        <f t="shared" si="21"/>
        <v>79765.934306878873</v>
      </c>
      <c r="L37" s="27">
        <f t="shared" si="21"/>
        <v>73418.968206287929</v>
      </c>
    </row>
    <row r="38" spans="2:12" x14ac:dyDescent="0.25">
      <c r="B38" s="19" t="s">
        <v>254</v>
      </c>
      <c r="C38" s="21">
        <f>C37/Income_Statement!C5</f>
        <v>0.79404244821069192</v>
      </c>
      <c r="D38" s="21">
        <f>D37/Income_Statement!D5</f>
        <v>0.82984519990967454</v>
      </c>
      <c r="E38" s="21">
        <f>E37/Income_Statement!E5</f>
        <v>0.83508847681512288</v>
      </c>
      <c r="F38" s="21">
        <f>F37/Income_Statement!F5</f>
        <v>0.79728329817753762</v>
      </c>
      <c r="G38" s="21">
        <f>G37/Income_Statement!G5</f>
        <v>0.78284807820193747</v>
      </c>
      <c r="H38" s="29">
        <f>H37/Income_Statement!H5</f>
        <v>0.73925331502716707</v>
      </c>
      <c r="I38" s="29">
        <f>I37/Income_Statement!I5</f>
        <v>0.72228189627050954</v>
      </c>
      <c r="J38" s="29">
        <f>J37/Income_Statement!J5</f>
        <v>0.70496843846124069</v>
      </c>
      <c r="K38" s="29">
        <f>K37/Income_Statement!K5</f>
        <v>0.68053395971841679</v>
      </c>
      <c r="L38" s="29">
        <f>L37/Income_Statement!L5</f>
        <v>0.62927027100358968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43319.851268402846</v>
      </c>
      <c r="D41" s="7">
        <f t="shared" ref="D41:L41" si="24" xml:space="preserve"> D37+D39</f>
        <v>62995.225412447217</v>
      </c>
      <c r="E41" s="7">
        <f t="shared" si="24"/>
        <v>60480.08040592866</v>
      </c>
      <c r="F41" s="7">
        <f t="shared" si="24"/>
        <v>45611.078596136358</v>
      </c>
      <c r="G41" s="7">
        <f t="shared" si="24"/>
        <v>72706.091502272669</v>
      </c>
      <c r="H41" s="27">
        <f t="shared" si="24"/>
        <v>64720.876463417844</v>
      </c>
      <c r="I41" s="27">
        <f t="shared" si="24"/>
        <v>64540.689466369709</v>
      </c>
      <c r="J41" s="27">
        <f t="shared" si="24"/>
        <v>71462.412261418125</v>
      </c>
      <c r="K41" s="27">
        <f t="shared" si="24"/>
        <v>79765.934306878873</v>
      </c>
      <c r="L41" s="27">
        <f t="shared" si="24"/>
        <v>73418.968206287929</v>
      </c>
    </row>
    <row r="42" spans="2:12" x14ac:dyDescent="0.25">
      <c r="B42" s="19" t="s">
        <v>256</v>
      </c>
      <c r="C42" s="21">
        <f>C41/Income_Statement!C5</f>
        <v>0.79404244821069192</v>
      </c>
      <c r="D42" s="21">
        <f>D41/Income_Statement!D5</f>
        <v>0.82984519990967454</v>
      </c>
      <c r="E42" s="21">
        <f>E41/Income_Statement!E5</f>
        <v>0.83508847681512288</v>
      </c>
      <c r="F42" s="21">
        <f>F41/Income_Statement!F5</f>
        <v>0.79728329817753762</v>
      </c>
      <c r="G42" s="21">
        <f>G41/Income_Statement!G5</f>
        <v>0.78284807820193747</v>
      </c>
      <c r="H42" s="29">
        <f>H41/Income_Statement!H5</f>
        <v>0.73925331502716707</v>
      </c>
      <c r="I42" s="29">
        <f>I41/Income_Statement!I5</f>
        <v>0.72228189627050954</v>
      </c>
      <c r="J42" s="29">
        <f>J41/Income_Statement!J5</f>
        <v>0.70496843846124069</v>
      </c>
      <c r="K42" s="29">
        <f>K41/Income_Statement!K5</f>
        <v>0.68053395971841679</v>
      </c>
      <c r="L42" s="29">
        <f>L41/Income_Statement!L5</f>
        <v>0.62927027100358968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26">
        <f>H5*H44</f>
        <v>0</v>
      </c>
      <c r="I43" s="26">
        <f t="shared" ref="I43:L43" si="25">I5*I44</f>
        <v>0</v>
      </c>
      <c r="J43" s="26">
        <f t="shared" si="25"/>
        <v>0</v>
      </c>
      <c r="K43" s="26">
        <f t="shared" si="25"/>
        <v>0</v>
      </c>
      <c r="L43" s="26">
        <f t="shared" si="25"/>
        <v>0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0</v>
      </c>
      <c r="G44" s="18">
        <f>G43/Income_Statement!G5</f>
        <v>0</v>
      </c>
      <c r="H44" s="25">
        <f>G44</f>
        <v>0</v>
      </c>
      <c r="I44" s="25">
        <f t="shared" ref="I44:L44" si="26">H44</f>
        <v>0</v>
      </c>
      <c r="J44" s="25">
        <f t="shared" si="26"/>
        <v>0</v>
      </c>
      <c r="K44" s="25">
        <f t="shared" si="26"/>
        <v>0</v>
      </c>
      <c r="L44" s="25">
        <f t="shared" si="26"/>
        <v>0</v>
      </c>
    </row>
    <row r="45" spans="2:12" ht="18.75" x14ac:dyDescent="0.25">
      <c r="B45" s="9" t="s">
        <v>115</v>
      </c>
      <c r="C45" s="7">
        <f xml:space="preserve"> C41+C43</f>
        <v>43319.851268402846</v>
      </c>
      <c r="D45" s="7">
        <f t="shared" ref="D45:L45" si="27" xml:space="preserve"> D41+D43</f>
        <v>62995.225412447217</v>
      </c>
      <c r="E45" s="7">
        <f t="shared" si="27"/>
        <v>60480.08040592866</v>
      </c>
      <c r="F45" s="7">
        <f t="shared" si="27"/>
        <v>45611.078596136358</v>
      </c>
      <c r="G45" s="7">
        <f t="shared" si="27"/>
        <v>72706.091502272669</v>
      </c>
      <c r="H45" s="27">
        <f t="shared" si="27"/>
        <v>64720.876463417844</v>
      </c>
      <c r="I45" s="27">
        <f t="shared" si="27"/>
        <v>64540.689466369709</v>
      </c>
      <c r="J45" s="27">
        <f t="shared" si="27"/>
        <v>71462.412261418125</v>
      </c>
      <c r="K45" s="27">
        <f t="shared" si="27"/>
        <v>79765.934306878873</v>
      </c>
      <c r="L45" s="27">
        <f t="shared" si="27"/>
        <v>73418.968206287929</v>
      </c>
    </row>
    <row r="46" spans="2:12" x14ac:dyDescent="0.25">
      <c r="B46" s="19" t="s">
        <v>258</v>
      </c>
      <c r="C46" s="21">
        <f>C45/Income_Statement!C5</f>
        <v>0.79404244821069192</v>
      </c>
      <c r="D46" s="21">
        <f>D45/Income_Statement!D5</f>
        <v>0.82984519990967454</v>
      </c>
      <c r="E46" s="21">
        <f>E45/Income_Statement!E5</f>
        <v>0.83508847681512288</v>
      </c>
      <c r="F46" s="21">
        <f>F45/Income_Statement!F5</f>
        <v>0.79728329817753762</v>
      </c>
      <c r="G46" s="21">
        <f>G45/Income_Statement!G5</f>
        <v>0.78284807820193747</v>
      </c>
      <c r="H46" s="29">
        <f>H45/Income_Statement!H5</f>
        <v>0.73925331502716707</v>
      </c>
      <c r="I46" s="29">
        <f>I45/Income_Statement!I5</f>
        <v>0.72228189627050954</v>
      </c>
      <c r="J46" s="29">
        <f>J45/Income_Statement!J5</f>
        <v>0.70496843846124069</v>
      </c>
      <c r="K46" s="29">
        <f>K45/Income_Statement!K5</f>
        <v>0.68053395971841679</v>
      </c>
      <c r="L46" s="29">
        <f>L45/Income_Statement!L5</f>
        <v>0.62927027100358968</v>
      </c>
    </row>
    <row r="47" spans="2:12" ht="18.75" x14ac:dyDescent="0.25">
      <c r="B47" s="8" t="s">
        <v>79</v>
      </c>
      <c r="C47" s="5">
        <v>2122.85</v>
      </c>
      <c r="D47" s="5">
        <v>3278.42</v>
      </c>
      <c r="E47" s="4">
        <v>914.3</v>
      </c>
      <c r="F47" s="5">
        <v>1582.63</v>
      </c>
      <c r="G47" s="5">
        <v>3159.89</v>
      </c>
      <c r="H47" s="24">
        <f>H45*H64</f>
        <v>2812.8434097106806</v>
      </c>
      <c r="I47" s="24">
        <f t="shared" ref="I47:L47" si="28">I45*I64</f>
        <v>2805.0122764680877</v>
      </c>
      <c r="J47" s="24">
        <f t="shared" si="28"/>
        <v>3105.8382759259443</v>
      </c>
      <c r="K47" s="24">
        <f t="shared" si="28"/>
        <v>3466.7188532488335</v>
      </c>
      <c r="L47" s="24">
        <f t="shared" si="28"/>
        <v>3190.872437945799</v>
      </c>
    </row>
    <row r="48" spans="2:12" x14ac:dyDescent="0.25">
      <c r="B48" s="17" t="s">
        <v>259</v>
      </c>
      <c r="C48" s="18">
        <f>C47/Income_Statement!C5</f>
        <v>3.8911329605915673E-2</v>
      </c>
      <c r="D48" s="18">
        <f>D47/Income_Statement!D5</f>
        <v>4.3187100013937184E-2</v>
      </c>
      <c r="E48" s="18">
        <f>E47/Income_Statement!E5</f>
        <v>1.2624344895500857E-2</v>
      </c>
      <c r="F48" s="18">
        <f>F47/Income_Statement!F5</f>
        <v>2.7664429455119308E-2</v>
      </c>
      <c r="G48" s="18">
        <f>G47/Income_Statement!G5</f>
        <v>3.402347399945431E-2</v>
      </c>
      <c r="H48" s="25">
        <f>H47/Income_Statement!H5</f>
        <v>3.2128795666978974E-2</v>
      </c>
      <c r="I48" s="25">
        <f>I47/Income_Statement!I5</f>
        <v>3.1391198372076955E-2</v>
      </c>
      <c r="J48" s="25">
        <f>J47/Income_Statement!J5</f>
        <v>3.0638735668243943E-2</v>
      </c>
      <c r="K48" s="25">
        <f>K47/Income_Statement!K5</f>
        <v>2.9576785239616543E-2</v>
      </c>
      <c r="L48" s="25">
        <f>L47/Income_Statement!L5</f>
        <v>2.7348806620685666E-2</v>
      </c>
    </row>
    <row r="49" spans="2:12" ht="18.75" x14ac:dyDescent="0.25">
      <c r="B49" s="9" t="s">
        <v>116</v>
      </c>
      <c r="C49" s="7">
        <f xml:space="preserve"> C45-C47</f>
        <v>41197.001268402848</v>
      </c>
      <c r="D49" s="7">
        <f t="shared" ref="D49:L49" si="29" xml:space="preserve"> D45-D47</f>
        <v>59716.805412447218</v>
      </c>
      <c r="E49" s="7">
        <f t="shared" si="29"/>
        <v>59565.780405928657</v>
      </c>
      <c r="F49" s="7">
        <f t="shared" si="29"/>
        <v>44028.448596136361</v>
      </c>
      <c r="G49" s="7">
        <f t="shared" si="29"/>
        <v>69546.20150227267</v>
      </c>
      <c r="H49" s="27">
        <f t="shared" si="29"/>
        <v>61908.033053707164</v>
      </c>
      <c r="I49" s="27">
        <f t="shared" si="29"/>
        <v>61735.677189901624</v>
      </c>
      <c r="J49" s="27">
        <f t="shared" si="29"/>
        <v>68356.573985492185</v>
      </c>
      <c r="K49" s="27">
        <f t="shared" si="29"/>
        <v>76299.215453630037</v>
      </c>
      <c r="L49" s="27">
        <f t="shared" si="29"/>
        <v>70228.095768342129</v>
      </c>
    </row>
    <row r="50" spans="2:12" x14ac:dyDescent="0.25">
      <c r="B50" s="19" t="s">
        <v>260</v>
      </c>
      <c r="C50" s="21">
        <f>C49/Income_Statement!C5</f>
        <v>0.75513111860477633</v>
      </c>
      <c r="D50" s="21">
        <f>D49/Income_Statement!D5</f>
        <v>0.78665809989573743</v>
      </c>
      <c r="E50" s="21">
        <f>E49/Income_Statement!E5</f>
        <v>0.82246413191962198</v>
      </c>
      <c r="F50" s="21">
        <f>F49/Income_Statement!F5</f>
        <v>0.76961886872241836</v>
      </c>
      <c r="G50" s="21">
        <f>G49/Income_Statement!G5</f>
        <v>0.7488246042024832</v>
      </c>
      <c r="H50" s="29">
        <f>H49/Income_Statement!H5</f>
        <v>0.70712451936018816</v>
      </c>
      <c r="I50" s="29">
        <f>I49/Income_Statement!I5</f>
        <v>0.6908906978984326</v>
      </c>
      <c r="J50" s="29">
        <f>J49/Income_Statement!J5</f>
        <v>0.67432970279299675</v>
      </c>
      <c r="K50" s="29">
        <f>K49/Income_Statement!K5</f>
        <v>0.6509571744788003</v>
      </c>
      <c r="L50" s="29">
        <f>L49/Income_Statement!L5</f>
        <v>0.60192146438290406</v>
      </c>
    </row>
    <row r="51" spans="2:12" ht="18.75" x14ac:dyDescent="0.25">
      <c r="B51" s="8" t="s">
        <v>88</v>
      </c>
      <c r="C51" s="4">
        <v>2106.86</v>
      </c>
      <c r="D51" s="5">
        <v>1734.15</v>
      </c>
      <c r="E51" s="5">
        <v>3285.64</v>
      </c>
      <c r="F51" s="5">
        <v>2238.58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3.8618236754136892E-2</v>
      </c>
      <c r="D52" s="18">
        <f>D51/Income_Statement!D5</f>
        <v>2.2844208334859221E-2</v>
      </c>
      <c r="E52" s="18">
        <f>E51/Income_Statement!E5</f>
        <v>4.5367004880732184E-2</v>
      </c>
      <c r="F52" s="18">
        <f>F51/Income_Statement!F5</f>
        <v>3.9130459102658853E-2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356.46</v>
      </c>
      <c r="E53" s="4">
        <v>675.37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4.6956990473972365E-3</v>
      </c>
      <c r="E54" s="18">
        <f>E53/Income_Statement!E5</f>
        <v>9.325280336951125E-3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39090.141268402847</v>
      </c>
      <c r="D55" s="7">
        <f t="shared" ref="D55:L55" si="34" xml:space="preserve"> D49-D51-D53</f>
        <v>57626.195412447218</v>
      </c>
      <c r="E55" s="7">
        <f t="shared" si="34"/>
        <v>55604.770405928655</v>
      </c>
      <c r="F55" s="7">
        <f t="shared" si="34"/>
        <v>41789.868596136359</v>
      </c>
      <c r="G55" s="7">
        <f t="shared" si="34"/>
        <v>69546.20150227267</v>
      </c>
      <c r="H55" s="27">
        <f t="shared" si="34"/>
        <v>61908.033053707164</v>
      </c>
      <c r="I55" s="27">
        <f t="shared" si="34"/>
        <v>61735.677189901624</v>
      </c>
      <c r="J55" s="27">
        <f t="shared" si="34"/>
        <v>68356.573985492185</v>
      </c>
      <c r="K55" s="27">
        <f t="shared" si="34"/>
        <v>76299.215453630037</v>
      </c>
      <c r="L55" s="27">
        <f t="shared" si="34"/>
        <v>70228.095768342129</v>
      </c>
    </row>
    <row r="56" spans="2:12" x14ac:dyDescent="0.25">
      <c r="B56" s="19" t="s">
        <v>263</v>
      </c>
      <c r="C56" s="21">
        <f>C55/Income_Statement!C5</f>
        <v>0.71651288185063944</v>
      </c>
      <c r="D56" s="21">
        <f>D55/Income_Statement!D5</f>
        <v>0.75911819251348089</v>
      </c>
      <c r="E56" s="21">
        <f>E55/Income_Statement!E5</f>
        <v>0.76777184670193865</v>
      </c>
      <c r="F56" s="21">
        <f>F55/Income_Statement!F5</f>
        <v>0.73048840961975947</v>
      </c>
      <c r="G56" s="21">
        <f>G55/Income_Statement!G5</f>
        <v>0.7488246042024832</v>
      </c>
      <c r="H56" s="29">
        <f>H55/Income_Statement!H5</f>
        <v>0.70712451936018816</v>
      </c>
      <c r="I56" s="29">
        <f>I55/Income_Statement!I5</f>
        <v>0.6908906978984326</v>
      </c>
      <c r="J56" s="29">
        <f>J55/Income_Statement!J5</f>
        <v>0.67432970279299675</v>
      </c>
      <c r="K56" s="29">
        <f>K55/Income_Statement!K5</f>
        <v>0.6509571744788003</v>
      </c>
      <c r="L56" s="29">
        <f>L55/Income_Statement!L5</f>
        <v>0.60192146438290406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21</v>
      </c>
      <c r="D60" s="4">
        <v>29</v>
      </c>
      <c r="E60" s="4">
        <v>21</v>
      </c>
      <c r="F60" s="4">
        <v>14</v>
      </c>
      <c r="G60" s="4">
        <v>28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1961.7619651620403</v>
      </c>
      <c r="D61" s="4">
        <f t="shared" ref="D61:G61" si="35">D49/D60</f>
        <v>2059.2001866361111</v>
      </c>
      <c r="E61" s="4">
        <f t="shared" si="35"/>
        <v>2836.4657336156502</v>
      </c>
      <c r="F61" s="4">
        <f t="shared" si="35"/>
        <v>3144.8891854383114</v>
      </c>
      <c r="G61" s="4">
        <f t="shared" si="35"/>
        <v>2483.7929107954524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5.1905303220876206E-2</v>
      </c>
      <c r="D62" s="23">
        <f>D31/Balance_Sheet!D40</f>
        <v>5.3268098045977715E-2</v>
      </c>
      <c r="E62" s="23">
        <f>E31/Balance_Sheet!E40</f>
        <v>5.7227024704216804E-2</v>
      </c>
      <c r="F62" s="23">
        <f>F31/Balance_Sheet!F40</f>
        <v>5.5940273280826437E-2</v>
      </c>
      <c r="G62" s="23">
        <f>G31/Balance_Sheet!G40</f>
        <v>4.029422038324771E-2</v>
      </c>
      <c r="H62" s="23">
        <f>MEDIAN(C62:G62)</f>
        <v>5.3268098045977715E-2</v>
      </c>
      <c r="I62" s="23">
        <f t="shared" ref="I62:L62" si="36">H62</f>
        <v>5.3268098045977715E-2</v>
      </c>
      <c r="J62" s="23">
        <f t="shared" si="36"/>
        <v>5.3268098045977715E-2</v>
      </c>
      <c r="K62" s="23">
        <f t="shared" si="36"/>
        <v>5.3268098045977715E-2</v>
      </c>
      <c r="L62" s="23">
        <f t="shared" si="36"/>
        <v>5.3268098045977715E-2</v>
      </c>
    </row>
    <row r="63" spans="2:12" x14ac:dyDescent="0.25">
      <c r="B63" t="s">
        <v>267</v>
      </c>
      <c r="C63" s="23">
        <f>C35/Balance_Sheet!C21</f>
        <v>4.1330491170093943E-2</v>
      </c>
      <c r="D63" s="23">
        <f>D35/Balance_Sheet!D21</f>
        <v>1.8553459485980597E-2</v>
      </c>
      <c r="E63" s="23">
        <f>E35/Balance_Sheet!E21</f>
        <v>2.9772212794129973E-2</v>
      </c>
      <c r="F63" s="23">
        <f>F35/Balance_Sheet!F21</f>
        <v>1.6524469155921966E-2</v>
      </c>
      <c r="G63" s="23">
        <f>G35/Balance_Sheet!G21</f>
        <v>1.6831968770080859E-2</v>
      </c>
      <c r="H63" s="23">
        <f>G63</f>
        <v>1.6831968770080859E-2</v>
      </c>
      <c r="I63" s="23">
        <f t="shared" ref="I63:L63" si="37">H63</f>
        <v>1.6831968770080859E-2</v>
      </c>
      <c r="J63" s="23">
        <f t="shared" si="37"/>
        <v>1.6831968770080859E-2</v>
      </c>
      <c r="K63" s="23">
        <f t="shared" si="37"/>
        <v>1.6831968770080859E-2</v>
      </c>
      <c r="L63" s="23">
        <f t="shared" si="37"/>
        <v>1.6831968770080859E-2</v>
      </c>
    </row>
    <row r="64" spans="2:12" x14ac:dyDescent="0.25">
      <c r="B64" t="s">
        <v>268</v>
      </c>
      <c r="C64" s="23">
        <f>C47/Income_Statement!C45</f>
        <v>4.9004092531323852E-2</v>
      </c>
      <c r="D64" s="23">
        <f>D47/Income_Statement!D45</f>
        <v>5.204235683792343E-2</v>
      </c>
      <c r="E64" s="23">
        <f>E47/Income_Statement!E45</f>
        <v>1.5117374081903076E-2</v>
      </c>
      <c r="F64" s="23">
        <f>F47/Income_Statement!F45</f>
        <v>3.4698368219120833E-2</v>
      </c>
      <c r="G64" s="23">
        <f>G47/Income_Statement!G45</f>
        <v>4.3461145204060747E-2</v>
      </c>
      <c r="H64" s="23">
        <f>G64</f>
        <v>4.3461145204060747E-2</v>
      </c>
      <c r="I64" s="23">
        <f t="shared" ref="I64:L64" si="38">H64</f>
        <v>4.3461145204060747E-2</v>
      </c>
      <c r="J64" s="23">
        <f t="shared" si="38"/>
        <v>4.3461145204060747E-2</v>
      </c>
      <c r="K64" s="23">
        <f t="shared" si="38"/>
        <v>4.3461145204060747E-2</v>
      </c>
      <c r="L64" s="23">
        <f t="shared" si="38"/>
        <v>4.3461145204060747E-2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0.20555315284144968</v>
      </c>
      <c r="E65" s="23">
        <f>E53/Income_Statement!E51</f>
        <v>0.2055520385678285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365D911E-7DF3-4843-B65E-138884C85A2F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8B59-C2D0-451B-A0EF-0E7737E076E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54556.09</v>
      </c>
      <c r="D5" s="13">
        <f>Income_Statement!D5</f>
        <v>75912.02</v>
      </c>
      <c r="E5" s="13">
        <f>Income_Statement!E5</f>
        <v>72423.56</v>
      </c>
      <c r="F5" s="13">
        <f>Income_Statement!F5</f>
        <v>57208.12</v>
      </c>
      <c r="G5" s="13">
        <f>Income_Statement!G5</f>
        <v>92873.82</v>
      </c>
    </row>
    <row r="6" spans="2:15" ht="18.75" x14ac:dyDescent="0.25">
      <c r="B6" s="12" t="str">
        <f>Income_Statement!B15</f>
        <v>Total Income</v>
      </c>
      <c r="C6" s="13">
        <f>Income_Statement!C15</f>
        <v>55171.861268402849</v>
      </c>
      <c r="D6" s="13">
        <f>Income_Statement!D15</f>
        <v>77083.025412447212</v>
      </c>
      <c r="E6" s="13">
        <f>Income_Statement!E15</f>
        <v>73902.45040592867</v>
      </c>
      <c r="F6" s="13">
        <f>Income_Statement!F15</f>
        <v>58272.988596136354</v>
      </c>
      <c r="G6" s="13">
        <f>Income_Statement!G15</f>
        <v>93943.091502272655</v>
      </c>
    </row>
  </sheetData>
  <hyperlinks>
    <hyperlink ref="F1" location="Index_Data!A1" tooltip="Hi click here To return Index page" display="Index_Data!A1" xr:uid="{96DBFB1F-2285-46CD-B69F-1A996EC9B471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724C3-4849-4B19-9A43-BA5383E47A0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61334.139999999992</v>
      </c>
      <c r="D5" s="13">
        <f>Balance_Sheet!D37</f>
        <v>121708.06541244722</v>
      </c>
      <c r="E5" s="13">
        <f>Balance_Sheet!E37</f>
        <v>182810.53581837591</v>
      </c>
      <c r="F5" s="13">
        <f>Balance_Sheet!F37</f>
        <v>227087.34441451225</v>
      </c>
      <c r="G5" s="13">
        <f>Balance_Sheet!G37</f>
        <v>300876.0459167849</v>
      </c>
    </row>
    <row r="6" spans="2:15" ht="18.75" x14ac:dyDescent="0.25">
      <c r="B6" s="12" t="str">
        <f>Balance_Sheet!B21</f>
        <v>Total Debt</v>
      </c>
      <c r="C6" s="13">
        <f>Balance_Sheet!C21</f>
        <v>7135.41</v>
      </c>
      <c r="D6" s="13">
        <f>Balance_Sheet!D21</f>
        <v>8580.61</v>
      </c>
      <c r="E6" s="13">
        <f>Balance_Sheet!E21</f>
        <v>10376.790000000001</v>
      </c>
      <c r="F6" s="13">
        <f>Balance_Sheet!F21</f>
        <v>10848.76</v>
      </c>
      <c r="G6" s="13">
        <f>Balance_Sheet!G21</f>
        <v>12029.49</v>
      </c>
    </row>
  </sheetData>
  <hyperlinks>
    <hyperlink ref="F1" location="Index_Data!A1" tooltip="Hi click here To return Index page" display="Index_Data!A1" xr:uid="{C60071F2-AFA8-4A02-8D0C-1E6BE0CF07AE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DB5B-1481-44C9-8887-F20F0C86497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61334.139999999992</v>
      </c>
      <c r="D5" s="13">
        <f>Balance_Sheet!D37</f>
        <v>121708.06541244722</v>
      </c>
      <c r="E5" s="13">
        <f>Balance_Sheet!E37</f>
        <v>182810.53581837591</v>
      </c>
      <c r="F5" s="13">
        <f>Balance_Sheet!F37</f>
        <v>227087.34441451225</v>
      </c>
      <c r="G5" s="13">
        <f>Balance_Sheet!G37</f>
        <v>300876.0459167849</v>
      </c>
    </row>
    <row r="6" spans="2:15" ht="18.75" x14ac:dyDescent="0.25">
      <c r="B6" s="12" t="str">
        <f>Balance_Sheet!B33</f>
        <v>Total Current Liabilities</v>
      </c>
      <c r="C6" s="13">
        <f>Balance_Sheet!C33</f>
        <v>12481.24</v>
      </c>
      <c r="D6" s="13">
        <f>Balance_Sheet!D33</f>
        <v>13776.74</v>
      </c>
      <c r="E6" s="13">
        <f>Balance_Sheet!E33</f>
        <v>15182.099999999999</v>
      </c>
      <c r="F6" s="13">
        <f>Balance_Sheet!F33</f>
        <v>17256.37</v>
      </c>
      <c r="G6" s="13">
        <f>Balance_Sheet!G33</f>
        <v>20224.45</v>
      </c>
    </row>
  </sheetData>
  <hyperlinks>
    <hyperlink ref="F1" location="Index_Data!A1" tooltip="Hi click here To return Index page" display="Index_Data!A1" xr:uid="{8BB6CC10-59A6-49C6-9BCF-0542F0A135BF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3EE4-5164-4B50-A484-A871C28C8C9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61334.14</v>
      </c>
      <c r="D5" s="13">
        <f>Balance_Sheet!D74</f>
        <v>121708.06541244722</v>
      </c>
      <c r="E5" s="13">
        <f>Balance_Sheet!E74</f>
        <v>182810.53581837588</v>
      </c>
      <c r="F5" s="13">
        <f>Balance_Sheet!F74</f>
        <v>227087.34441451222</v>
      </c>
      <c r="G5" s="13">
        <f>Balance_Sheet!G74</f>
        <v>300876.0459167849</v>
      </c>
    </row>
    <row r="6" spans="2:15" ht="18.75" x14ac:dyDescent="0.25">
      <c r="B6" s="12" t="str">
        <f>Balance_Sheet!B54</f>
        <v>Total Non Current Assets</v>
      </c>
      <c r="C6" s="13">
        <f>Balance_Sheet!C54</f>
        <v>46870.55</v>
      </c>
      <c r="D6" s="13">
        <f>Balance_Sheet!D54</f>
        <v>51396.86</v>
      </c>
      <c r="E6" s="13">
        <f>Balance_Sheet!E54</f>
        <v>56042.080000000002</v>
      </c>
      <c r="F6" s="13">
        <f>Balance_Sheet!F54</f>
        <v>61697.12000000001</v>
      </c>
      <c r="G6" s="13">
        <f>Balance_Sheet!G54</f>
        <v>68129.820000000007</v>
      </c>
    </row>
  </sheetData>
  <hyperlinks>
    <hyperlink ref="F1" location="Index_Data!A1" tooltip="Hi click here To return Index page" display="Index_Data!A1" xr:uid="{37EDCBA6-B225-446F-A9BA-7C811CA5A91E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3C17F-FE0F-41E7-BDED-A9817C4D3D2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61334.14</v>
      </c>
      <c r="D5" s="13">
        <f>Balance_Sheet!D74</f>
        <v>121708.06541244722</v>
      </c>
      <c r="E5" s="13">
        <f>Balance_Sheet!E74</f>
        <v>182810.53581837588</v>
      </c>
      <c r="F5" s="13">
        <f>Balance_Sheet!F74</f>
        <v>227087.34441451222</v>
      </c>
      <c r="G5" s="13">
        <f>Balance_Sheet!G74</f>
        <v>300876.0459167849</v>
      </c>
    </row>
    <row r="6" spans="2:15" ht="18.75" x14ac:dyDescent="0.25">
      <c r="B6" s="12" t="str">
        <f>Balance_Sheet!B72</f>
        <v>Total Current Assets</v>
      </c>
      <c r="C6" s="13">
        <f>Balance_Sheet!C72</f>
        <v>14463.59</v>
      </c>
      <c r="D6" s="13">
        <f>Balance_Sheet!D72</f>
        <v>70311.20541244722</v>
      </c>
      <c r="E6" s="13">
        <f>Balance_Sheet!E72</f>
        <v>126768.45581837588</v>
      </c>
      <c r="F6" s="13">
        <f>Balance_Sheet!F72</f>
        <v>165390.22441451222</v>
      </c>
      <c r="G6" s="13">
        <f>Balance_Sheet!G72</f>
        <v>232746.22591678493</v>
      </c>
    </row>
  </sheetData>
  <hyperlinks>
    <hyperlink ref="F1" location="Index_Data!A1" tooltip="Hi click here To return Index page" display="Index_Data!A1" xr:uid="{1645D4AC-7174-46AB-98E6-B57574B51DE1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2C25B-052B-428C-9806-3BC1284B2F5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10030.209999999999</v>
      </c>
      <c r="D5" s="13">
        <f>Income_Statement!D25</f>
        <v>12261.96</v>
      </c>
      <c r="E5" s="13">
        <f>Income_Statement!E25</f>
        <v>11033.27</v>
      </c>
      <c r="F5" s="13">
        <f>Income_Statement!F25</f>
        <v>10308.82</v>
      </c>
      <c r="G5" s="13">
        <f>Income_Statement!G25</f>
        <v>18614.349999999999</v>
      </c>
    </row>
    <row r="6" spans="2:15" ht="18.75" x14ac:dyDescent="0.25">
      <c r="B6" s="12" t="str">
        <f>Income_Statement!B15</f>
        <v>Total Income</v>
      </c>
      <c r="C6" s="13">
        <f>Income_Statement!C15</f>
        <v>55171.861268402849</v>
      </c>
      <c r="D6" s="13">
        <f>Income_Statement!D15</f>
        <v>77083.025412447212</v>
      </c>
      <c r="E6" s="13">
        <f>Income_Statement!E15</f>
        <v>73902.45040592867</v>
      </c>
      <c r="F6" s="13">
        <f>Income_Statement!F15</f>
        <v>58272.988596136354</v>
      </c>
      <c r="G6" s="13">
        <f>Income_Statement!G15</f>
        <v>93943.091502272655</v>
      </c>
    </row>
  </sheetData>
  <hyperlinks>
    <hyperlink ref="F1" location="Index_Data!A1" tooltip="Hi click here To return Index page" display="Index_Data!A1" xr:uid="{B0D49540-4F9B-46BE-89A8-5DD452EC7517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42074-F3A5-4544-8E32-7527A60CD88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39090.141268402847</v>
      </c>
      <c r="D5" s="13">
        <f>Income_Statement!D55</f>
        <v>57626.195412447218</v>
      </c>
      <c r="E5" s="13">
        <f>Income_Statement!E55</f>
        <v>55604.770405928655</v>
      </c>
      <c r="F5" s="13">
        <f>Income_Statement!F55</f>
        <v>41789.868596136359</v>
      </c>
      <c r="G5" s="13">
        <f>Income_Statement!G55</f>
        <v>69546.20150227267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41197.001268402848</v>
      </c>
      <c r="D6" s="13">
        <f>Income_Statement!D49</f>
        <v>59716.805412447218</v>
      </c>
      <c r="E6" s="13">
        <f>Income_Statement!E49</f>
        <v>59565.780405928657</v>
      </c>
      <c r="F6" s="13">
        <f>Income_Statement!F49</f>
        <v>44028.448596136361</v>
      </c>
      <c r="G6" s="13">
        <f>Income_Statement!G49</f>
        <v>69546.20150227267</v>
      </c>
    </row>
  </sheetData>
  <hyperlinks>
    <hyperlink ref="F1" location="Index_Data!A1" tooltip="Hi click here To return Index page" display="Index_Data!A1" xr:uid="{6894DCE1-79EA-4EA5-8781-736FF8220B08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006D8-A6D5-43B5-BE98-B4436E19F5D2}">
  <dimension ref="B1:O40"/>
  <sheetViews>
    <sheetView showGridLines="0" workbookViewId="0"/>
  </sheetViews>
  <sheetFormatPr defaultRowHeight="15" x14ac:dyDescent="0.25"/>
  <cols>
    <col min="2" max="2" width="46" bestFit="1" customWidth="1"/>
    <col min="3" max="3" width="15.42578125" bestFit="1" customWidth="1"/>
    <col min="4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2255.0700000000002</v>
      </c>
      <c r="D5" s="5">
        <v>2255.0700000000002</v>
      </c>
      <c r="E5" s="5">
        <v>4510.1400000000003</v>
      </c>
      <c r="F5" s="5">
        <v>4440.3900000000003</v>
      </c>
      <c r="G5" s="5">
        <v>4440.3900000000003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2255.0700000000002</v>
      </c>
      <c r="D7" s="7">
        <f t="shared" ref="D7:G7" si="0">D5+D6</f>
        <v>2255.0700000000002</v>
      </c>
      <c r="E7" s="7">
        <f t="shared" si="0"/>
        <v>4510.1400000000003</v>
      </c>
      <c r="F7" s="7">
        <f t="shared" si="0"/>
        <v>4440.3900000000003</v>
      </c>
      <c r="G7" s="7">
        <f t="shared" si="0"/>
        <v>4440.3900000000003</v>
      </c>
    </row>
    <row r="8" spans="2:15" ht="18.75" x14ac:dyDescent="0.25">
      <c r="B8" s="8" t="s">
        <v>7</v>
      </c>
      <c r="C8" s="5">
        <v>39423.5</v>
      </c>
      <c r="D8" s="5">
        <f>Income_Statement!D55+C8</f>
        <v>97049.69541244721</v>
      </c>
      <c r="E8" s="5">
        <f>Income_Statement!E55+D8</f>
        <v>152654.46581837587</v>
      </c>
      <c r="F8" s="5">
        <f>Income_Statement!F55+E8</f>
        <v>194444.33441451224</v>
      </c>
      <c r="G8" s="5">
        <f>Income_Statement!G55+F8</f>
        <v>263990.53591678489</v>
      </c>
    </row>
    <row r="9" spans="2:15" ht="18.75" x14ac:dyDescent="0.25">
      <c r="B9" s="9" t="s">
        <v>122</v>
      </c>
      <c r="C9" s="7">
        <f>C7+C8</f>
        <v>41678.57</v>
      </c>
      <c r="D9" s="7">
        <f t="shared" ref="D9:G9" si="1">D7+D8</f>
        <v>99304.765412447217</v>
      </c>
      <c r="E9" s="7">
        <f t="shared" si="1"/>
        <v>157164.60581837589</v>
      </c>
      <c r="F9" s="7">
        <f t="shared" si="1"/>
        <v>198884.72441451225</v>
      </c>
      <c r="G9" s="7">
        <f t="shared" si="1"/>
        <v>268430.92591678491</v>
      </c>
    </row>
    <row r="10" spans="2:15" ht="18.75" x14ac:dyDescent="0.25">
      <c r="B10" s="8" t="s">
        <v>12</v>
      </c>
      <c r="C10" s="5">
        <v>1118.6400000000001</v>
      </c>
      <c r="D10" s="5">
        <v>1027.83</v>
      </c>
      <c r="E10" s="5">
        <v>3773.4</v>
      </c>
      <c r="F10" s="5">
        <v>5237.3999999999996</v>
      </c>
      <c r="G10" s="5">
        <v>5468.06</v>
      </c>
    </row>
    <row r="11" spans="2:15" ht="18.75" x14ac:dyDescent="0.25">
      <c r="B11" s="8" t="s">
        <v>13</v>
      </c>
      <c r="C11" s="5">
        <v>5039.1099999999997</v>
      </c>
      <c r="D11" s="5">
        <v>6509.88</v>
      </c>
      <c r="E11" s="5">
        <v>4039.19</v>
      </c>
      <c r="F11" s="5">
        <v>4088.46</v>
      </c>
      <c r="G11" s="5">
        <v>4199.17</v>
      </c>
    </row>
    <row r="12" spans="2:15" ht="18.75" x14ac:dyDescent="0.25">
      <c r="B12" s="8" t="s">
        <v>18</v>
      </c>
      <c r="C12" s="5">
        <v>977.66</v>
      </c>
      <c r="D12" s="5">
        <v>1042.9000000000001</v>
      </c>
      <c r="E12" s="5">
        <v>2564.1999999999998</v>
      </c>
      <c r="F12" s="5">
        <v>1522.9</v>
      </c>
      <c r="G12" s="4">
        <v>2362.2600000000002</v>
      </c>
    </row>
    <row r="13" spans="2:15" ht="18.75" x14ac:dyDescent="0.25">
      <c r="B13" s="9" t="s">
        <v>123</v>
      </c>
      <c r="C13" s="7">
        <f>C10+C11+C12</f>
        <v>7135.41</v>
      </c>
      <c r="D13" s="7">
        <f t="shared" ref="D13:G13" si="2">D10+D11+D12</f>
        <v>8580.61</v>
      </c>
      <c r="E13" s="7">
        <f t="shared" si="2"/>
        <v>10376.790000000001</v>
      </c>
      <c r="F13" s="7">
        <f t="shared" si="2"/>
        <v>10848.76</v>
      </c>
      <c r="G13" s="7">
        <f t="shared" si="2"/>
        <v>12029.49</v>
      </c>
    </row>
    <row r="14" spans="2:15" ht="18.75" x14ac:dyDescent="0.25">
      <c r="B14" s="8" t="s">
        <v>15</v>
      </c>
      <c r="C14" s="4">
        <v>589.1</v>
      </c>
      <c r="D14" s="4">
        <v>702.04</v>
      </c>
      <c r="E14" s="4">
        <v>538.51</v>
      </c>
      <c r="F14" s="4">
        <v>557.02</v>
      </c>
      <c r="G14" s="4">
        <v>676.08</v>
      </c>
    </row>
    <row r="15" spans="2:15" ht="18.75" x14ac:dyDescent="0.25">
      <c r="B15" s="8" t="s">
        <v>21</v>
      </c>
      <c r="C15" s="4">
        <v>865.08</v>
      </c>
      <c r="D15" s="4">
        <v>755.05</v>
      </c>
      <c r="E15" s="4">
        <v>775.16</v>
      </c>
      <c r="F15" s="4">
        <v>828.71</v>
      </c>
      <c r="G15" s="4">
        <v>873.2</v>
      </c>
    </row>
    <row r="16" spans="2:15" ht="18.75" x14ac:dyDescent="0.25">
      <c r="B16" s="8" t="s">
        <v>14</v>
      </c>
      <c r="C16" s="5">
        <v>1683.5</v>
      </c>
      <c r="D16" s="5">
        <v>3457.58</v>
      </c>
      <c r="E16" s="5">
        <v>4731.6400000000003</v>
      </c>
      <c r="F16" s="5">
        <v>5669.92</v>
      </c>
      <c r="G16" s="5">
        <v>6817.9</v>
      </c>
    </row>
    <row r="17" spans="2:7" ht="18.75" x14ac:dyDescent="0.25">
      <c r="B17" s="8" t="s">
        <v>19</v>
      </c>
      <c r="C17" s="5">
        <v>3903.89</v>
      </c>
      <c r="D17" s="5">
        <v>3876.07</v>
      </c>
      <c r="E17" s="5">
        <v>3922.18</v>
      </c>
      <c r="F17" s="5">
        <v>4453.18</v>
      </c>
      <c r="G17" s="5">
        <v>5361.26</v>
      </c>
    </row>
    <row r="18" spans="2:7" ht="18.75" x14ac:dyDescent="0.25">
      <c r="B18" s="8" t="s">
        <v>20</v>
      </c>
      <c r="C18" s="5">
        <v>5439.67</v>
      </c>
      <c r="D18" s="5">
        <v>4986</v>
      </c>
      <c r="E18" s="5">
        <v>5214.6099999999997</v>
      </c>
      <c r="F18" s="5">
        <v>5747.54</v>
      </c>
      <c r="G18" s="5">
        <v>6496.01</v>
      </c>
    </row>
    <row r="19" spans="2:7" ht="18.75" x14ac:dyDescent="0.25">
      <c r="B19" s="9" t="s">
        <v>22</v>
      </c>
      <c r="C19" s="7">
        <f>C14+C15+C16+C17+C18</f>
        <v>12481.24</v>
      </c>
      <c r="D19" s="7">
        <f t="shared" ref="D19:G19" si="3">D14+D15+D16+D17+D18</f>
        <v>13776.74</v>
      </c>
      <c r="E19" s="7">
        <f t="shared" si="3"/>
        <v>15182.099999999999</v>
      </c>
      <c r="F19" s="7">
        <f t="shared" si="3"/>
        <v>17256.37</v>
      </c>
      <c r="G19" s="7">
        <f t="shared" si="3"/>
        <v>20224.45</v>
      </c>
    </row>
    <row r="20" spans="2:7" ht="18.75" x14ac:dyDescent="0.25">
      <c r="B20" s="8" t="s">
        <v>10</v>
      </c>
      <c r="C20" s="4">
        <v>38.92</v>
      </c>
      <c r="D20" s="4">
        <v>45.95</v>
      </c>
      <c r="E20" s="4">
        <v>87.04</v>
      </c>
      <c r="F20" s="4">
        <v>97.49</v>
      </c>
      <c r="G20" s="4">
        <v>191.18</v>
      </c>
    </row>
    <row r="21" spans="2:7" ht="18.75" x14ac:dyDescent="0.25">
      <c r="B21" s="9" t="s">
        <v>124</v>
      </c>
      <c r="C21" s="7">
        <f>C9+C13+C19+C20</f>
        <v>61334.139999999992</v>
      </c>
      <c r="D21" s="7">
        <f t="shared" ref="D21:G21" si="4">D9+D13+D19+D20</f>
        <v>121708.06541244722</v>
      </c>
      <c r="E21" s="7">
        <f t="shared" si="4"/>
        <v>182810.53581837591</v>
      </c>
      <c r="F21" s="7">
        <f t="shared" si="4"/>
        <v>227087.34441451225</v>
      </c>
      <c r="G21" s="7">
        <f t="shared" si="4"/>
        <v>300876.0459167849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29416.84</v>
      </c>
      <c r="D23" s="5">
        <v>31287.77</v>
      </c>
      <c r="E23" s="5">
        <v>36349.26</v>
      </c>
      <c r="F23" s="5">
        <v>38859.660000000003</v>
      </c>
      <c r="G23" s="5">
        <v>60062.46</v>
      </c>
    </row>
    <row r="24" spans="2:7" ht="18.75" x14ac:dyDescent="0.25">
      <c r="B24" s="8" t="s">
        <v>27</v>
      </c>
      <c r="C24" s="4">
        <v>1063.45</v>
      </c>
      <c r="D24" s="5">
        <v>1412.51</v>
      </c>
      <c r="E24" s="5">
        <v>1880.36</v>
      </c>
      <c r="F24" s="5">
        <v>2300.6799999999998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1666.64</v>
      </c>
      <c r="E25" s="5">
        <f>Income_Statement!E31+D25</f>
        <v>3746.8</v>
      </c>
      <c r="F25" s="5">
        <f>Income_Statement!F31+E25</f>
        <v>5920.6200000000008</v>
      </c>
      <c r="G25" s="5">
        <f>Income_Statement!G31+F25</f>
        <v>8340.7900000000009</v>
      </c>
    </row>
    <row r="26" spans="2:7" ht="18.75" x14ac:dyDescent="0.25">
      <c r="B26" s="9" t="s">
        <v>126</v>
      </c>
      <c r="C26" s="7">
        <f>C23+C24-C25</f>
        <v>30480.29</v>
      </c>
      <c r="D26" s="7">
        <f t="shared" ref="D26:G26" si="5">D23+D24-D25</f>
        <v>31033.64</v>
      </c>
      <c r="E26" s="7">
        <f t="shared" si="5"/>
        <v>34482.82</v>
      </c>
      <c r="F26" s="7">
        <f t="shared" si="5"/>
        <v>35239.72</v>
      </c>
      <c r="G26" s="7">
        <f t="shared" si="5"/>
        <v>51721.67</v>
      </c>
    </row>
    <row r="27" spans="2:7" ht="18.75" x14ac:dyDescent="0.25">
      <c r="B27" s="8" t="s">
        <v>30</v>
      </c>
      <c r="C27" s="5">
        <v>10070.4</v>
      </c>
      <c r="D27" s="5">
        <v>10625.72</v>
      </c>
      <c r="E27" s="5">
        <v>9892.9500000000007</v>
      </c>
      <c r="F27" s="5">
        <v>12589.26</v>
      </c>
      <c r="G27" s="5">
        <v>16408.150000000001</v>
      </c>
    </row>
    <row r="28" spans="2:7" ht="18.75" x14ac:dyDescent="0.25">
      <c r="B28" s="8" t="s">
        <v>36</v>
      </c>
      <c r="C28" s="4">
        <v>381.47</v>
      </c>
      <c r="D28" s="4">
        <v>0</v>
      </c>
      <c r="E28" s="4">
        <v>0</v>
      </c>
      <c r="F28" s="4">
        <v>468.48</v>
      </c>
      <c r="G28" s="4">
        <v>0</v>
      </c>
    </row>
    <row r="29" spans="2:7" ht="18.75" x14ac:dyDescent="0.25">
      <c r="B29" s="8" t="s">
        <v>28</v>
      </c>
      <c r="C29" s="4">
        <v>5938.39</v>
      </c>
      <c r="D29" s="5">
        <v>9737.5</v>
      </c>
      <c r="E29" s="5">
        <v>11666.31</v>
      </c>
      <c r="F29" s="5">
        <v>13399.66</v>
      </c>
      <c r="G29" s="5">
        <v>0</v>
      </c>
    </row>
    <row r="30" spans="2:7" ht="18.75" x14ac:dyDescent="0.25">
      <c r="B30" s="9" t="s">
        <v>127</v>
      </c>
      <c r="C30" s="7">
        <f>C26+C27+C28+C29</f>
        <v>46870.55</v>
      </c>
      <c r="D30" s="7">
        <f t="shared" ref="D30:G30" si="6">D26+D27+D28+D29</f>
        <v>51396.86</v>
      </c>
      <c r="E30" s="7">
        <f t="shared" si="6"/>
        <v>56042.080000000002</v>
      </c>
      <c r="F30" s="7">
        <f t="shared" si="6"/>
        <v>61697.12000000001</v>
      </c>
      <c r="G30" s="7">
        <f t="shared" si="6"/>
        <v>68129.820000000007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432.04</v>
      </c>
    </row>
    <row r="32" spans="2:7" ht="18.75" x14ac:dyDescent="0.25">
      <c r="B32" s="8" t="s">
        <v>32</v>
      </c>
      <c r="C32" s="4">
        <v>550.05999999999995</v>
      </c>
      <c r="D32" s="4">
        <v>669.29</v>
      </c>
      <c r="E32" s="4">
        <v>556.12</v>
      </c>
      <c r="F32" s="4">
        <v>390.36</v>
      </c>
      <c r="G32" s="4">
        <v>285.37</v>
      </c>
    </row>
    <row r="33" spans="2:7" ht="18.75" x14ac:dyDescent="0.25">
      <c r="B33" s="8" t="s">
        <v>33</v>
      </c>
      <c r="C33" s="5">
        <v>3406.58</v>
      </c>
      <c r="D33" s="5">
        <v>3625.98</v>
      </c>
      <c r="E33" s="5">
        <v>2574.75</v>
      </c>
      <c r="F33" s="5">
        <v>2978.11</v>
      </c>
      <c r="G33" s="5">
        <v>3064.23</v>
      </c>
    </row>
    <row r="34" spans="2:7" ht="18.75" x14ac:dyDescent="0.25">
      <c r="B34" s="8" t="s">
        <v>40</v>
      </c>
      <c r="C34" s="4">
        <v>693.59</v>
      </c>
      <c r="D34" s="4">
        <v>824</v>
      </c>
      <c r="E34" s="5">
        <v>1069.98</v>
      </c>
      <c r="F34" s="4">
        <v>685.67</v>
      </c>
      <c r="G34" s="4">
        <v>99.54</v>
      </c>
    </row>
    <row r="35" spans="2:7" ht="18.75" x14ac:dyDescent="0.25">
      <c r="B35" s="8" t="s">
        <v>41</v>
      </c>
      <c r="C35" s="5">
        <v>1592.75</v>
      </c>
      <c r="D35" s="5">
        <v>1933.5</v>
      </c>
      <c r="E35" s="5">
        <v>1672.96</v>
      </c>
      <c r="F35" s="5">
        <v>1197.21</v>
      </c>
      <c r="G35" s="5">
        <v>2380.44</v>
      </c>
    </row>
    <row r="36" spans="2:7" ht="18.75" x14ac:dyDescent="0.25">
      <c r="B36" s="8" t="s">
        <v>37</v>
      </c>
      <c r="C36" s="5">
        <v>1932.51</v>
      </c>
      <c r="D36" s="5">
        <v>2502.64</v>
      </c>
      <c r="E36" s="5">
        <v>3183.01</v>
      </c>
      <c r="F36" s="5">
        <v>2989.73</v>
      </c>
      <c r="G36" s="5">
        <v>3576.61</v>
      </c>
    </row>
    <row r="37" spans="2:7" ht="18.75" x14ac:dyDescent="0.25">
      <c r="B37" s="8" t="s">
        <v>38</v>
      </c>
      <c r="C37" s="5">
        <v>3429.56</v>
      </c>
      <c r="D37" s="5">
        <v>4363.3900000000003</v>
      </c>
      <c r="E37" s="5">
        <v>4818.3100000000004</v>
      </c>
      <c r="F37" s="5">
        <v>3501.5</v>
      </c>
      <c r="G37" s="5">
        <v>7446.53</v>
      </c>
    </row>
    <row r="38" spans="2:7" ht="18.75" x14ac:dyDescent="0.25">
      <c r="B38" s="8" t="s">
        <v>39</v>
      </c>
      <c r="C38" s="5">
        <v>2858.54</v>
      </c>
      <c r="D38" s="5">
        <f>CashFlow_Statement!D48+C38</f>
        <v>56392.405412447217</v>
      </c>
      <c r="E38" s="5">
        <f>CashFlow_Statement!E48+D38</f>
        <v>112893.32581837587</v>
      </c>
      <c r="F38" s="5">
        <f>CashFlow_Statement!F48+E38</f>
        <v>153647.64441451224</v>
      </c>
      <c r="G38" s="5">
        <f>CashFlow_Statement!G48+F38</f>
        <v>215461.46591678492</v>
      </c>
    </row>
    <row r="39" spans="2:7" ht="18.75" x14ac:dyDescent="0.25">
      <c r="B39" s="9" t="s">
        <v>42</v>
      </c>
      <c r="C39" s="7">
        <f>C31+C32+C33+C34+C35+C36+C37+C38</f>
        <v>14463.59</v>
      </c>
      <c r="D39" s="7">
        <f t="shared" ref="D39:G39" si="7">D31+D32+D33+D34+D35+D36+D37+D38</f>
        <v>70311.20541244722</v>
      </c>
      <c r="E39" s="7">
        <f t="shared" si="7"/>
        <v>126768.45581837588</v>
      </c>
      <c r="F39" s="7">
        <f t="shared" si="7"/>
        <v>165390.22441451222</v>
      </c>
      <c r="G39" s="7">
        <f t="shared" si="7"/>
        <v>232746.22591678493</v>
      </c>
    </row>
    <row r="40" spans="2:7" ht="18.75" x14ac:dyDescent="0.25">
      <c r="B40" s="9" t="s">
        <v>43</v>
      </c>
      <c r="C40" s="7">
        <f>C30+C39</f>
        <v>61334.14</v>
      </c>
      <c r="D40" s="7">
        <f t="shared" ref="D40:G40" si="8">D30+D39</f>
        <v>121708.06541244722</v>
      </c>
      <c r="E40" s="7">
        <f t="shared" si="8"/>
        <v>182810.53581837588</v>
      </c>
      <c r="F40" s="7">
        <f t="shared" si="8"/>
        <v>227087.34441451222</v>
      </c>
      <c r="G40" s="7">
        <f t="shared" si="8"/>
        <v>300876.0459167849</v>
      </c>
    </row>
  </sheetData>
  <mergeCells count="1">
    <mergeCell ref="B3:G3"/>
  </mergeCells>
  <hyperlinks>
    <hyperlink ref="F1" location="Index_Data!A1" tooltip="Hi click here To return Index page" display="Index_Data!A1" xr:uid="{E1B26480-6771-4384-A867-D418BA8B1B2F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B630-D13E-4EFC-8AB8-04D8AD5E9DC1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3" width="17.140625" bestFit="1" customWidth="1"/>
    <col min="4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54556.09</v>
      </c>
      <c r="D5" s="5">
        <v>75912.02</v>
      </c>
      <c r="E5" s="5">
        <v>72423.56</v>
      </c>
      <c r="F5" s="5">
        <v>57208.12</v>
      </c>
      <c r="G5" s="5">
        <v>92873.82</v>
      </c>
    </row>
    <row r="6" spans="2:15" ht="18.75" x14ac:dyDescent="0.25">
      <c r="B6" s="8" t="s">
        <v>98</v>
      </c>
      <c r="C6" s="4">
        <v>197.96</v>
      </c>
      <c r="D6" s="4">
        <v>44.28</v>
      </c>
      <c r="E6" s="4">
        <v>59.28</v>
      </c>
      <c r="F6" s="4">
        <v>56.35</v>
      </c>
      <c r="G6" s="4">
        <v>103.99</v>
      </c>
    </row>
    <row r="7" spans="2:15" ht="18.75" x14ac:dyDescent="0.25">
      <c r="B7" s="9" t="s">
        <v>105</v>
      </c>
      <c r="C7" s="7">
        <f>C5 - C6</f>
        <v>54358.13</v>
      </c>
      <c r="D7" s="7">
        <f t="shared" ref="D7:G7" si="0">D5 - D6</f>
        <v>75867.740000000005</v>
      </c>
      <c r="E7" s="7">
        <f t="shared" si="0"/>
        <v>72364.28</v>
      </c>
      <c r="F7" s="7">
        <f t="shared" si="0"/>
        <v>57151.770000000004</v>
      </c>
      <c r="G7" s="7">
        <f t="shared" si="0"/>
        <v>92769.83</v>
      </c>
    </row>
    <row r="8" spans="2:15" ht="18.75" x14ac:dyDescent="0.25">
      <c r="B8" s="8" t="s">
        <v>59</v>
      </c>
      <c r="C8" s="5">
        <v>812.72</v>
      </c>
      <c r="D8" s="5">
        <v>1214.27</v>
      </c>
      <c r="E8" s="5">
        <v>1537.15</v>
      </c>
      <c r="F8" s="5">
        <v>1120.2</v>
      </c>
      <c r="G8" s="4">
        <v>1172.25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55170.85</v>
      </c>
      <c r="D10" s="7">
        <f t="shared" ref="D10:G10" si="1">SUM(D7:D9)</f>
        <v>77082.010000000009</v>
      </c>
      <c r="E10" s="7">
        <f t="shared" si="1"/>
        <v>73901.429999999993</v>
      </c>
      <c r="F10" s="7">
        <f t="shared" si="1"/>
        <v>58271.97</v>
      </c>
      <c r="G10" s="7">
        <f t="shared" si="1"/>
        <v>93942.080000000002</v>
      </c>
    </row>
    <row r="11" spans="2:15" ht="18.75" x14ac:dyDescent="0.25">
      <c r="B11" s="8" t="s">
        <v>62</v>
      </c>
      <c r="C11" s="5">
        <v>4140.8999999999996</v>
      </c>
      <c r="D11" s="5">
        <v>5079.83</v>
      </c>
      <c r="E11" s="5">
        <v>4411.97</v>
      </c>
      <c r="F11" s="5">
        <v>3905.88</v>
      </c>
      <c r="G11" s="5">
        <v>11103.28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1345.61</v>
      </c>
      <c r="D13" s="5">
        <v>1863.2</v>
      </c>
      <c r="E13" s="5">
        <v>1633.74</v>
      </c>
      <c r="F13" s="5">
        <v>1645.89</v>
      </c>
      <c r="G13" s="5">
        <v>1815.55</v>
      </c>
    </row>
    <row r="14" spans="2:15" ht="18.75" x14ac:dyDescent="0.25">
      <c r="B14" s="8" t="s">
        <v>69</v>
      </c>
      <c r="C14" s="5">
        <v>4543.7</v>
      </c>
      <c r="D14" s="5">
        <v>5318.93</v>
      </c>
      <c r="E14" s="5">
        <v>4987.5600000000004</v>
      </c>
      <c r="F14" s="5">
        <v>4757.05</v>
      </c>
      <c r="G14" s="5">
        <v>5695.52</v>
      </c>
    </row>
    <row r="15" spans="2:15" ht="18.75" x14ac:dyDescent="0.25">
      <c r="B15" s="9" t="s">
        <v>108</v>
      </c>
      <c r="C15" s="7">
        <f>C11+C12+C13+C14</f>
        <v>10030.209999999999</v>
      </c>
      <c r="D15" s="7">
        <f t="shared" ref="D15:G15" si="2">D11+D12+D13+D14</f>
        <v>12261.96</v>
      </c>
      <c r="E15" s="7">
        <f t="shared" si="2"/>
        <v>11033.27</v>
      </c>
      <c r="F15" s="7">
        <f t="shared" si="2"/>
        <v>10308.82</v>
      </c>
      <c r="G15" s="7">
        <f t="shared" si="2"/>
        <v>18614.349999999999</v>
      </c>
    </row>
    <row r="16" spans="2:15" ht="18.75" x14ac:dyDescent="0.25">
      <c r="B16" s="9" t="s">
        <v>109</v>
      </c>
      <c r="C16" s="7">
        <f xml:space="preserve"> C10-C15-C8</f>
        <v>44327.92</v>
      </c>
      <c r="D16" s="7">
        <f t="shared" ref="D16:G16" si="3" xml:space="preserve"> D10-D15-D8</f>
        <v>63605.780000000013</v>
      </c>
      <c r="E16" s="7">
        <f t="shared" si="3"/>
        <v>61331.009999999987</v>
      </c>
      <c r="F16" s="7">
        <f t="shared" si="3"/>
        <v>46842.950000000004</v>
      </c>
      <c r="G16" s="7">
        <f t="shared" si="3"/>
        <v>74155.48000000001</v>
      </c>
    </row>
    <row r="17" spans="2:7" ht="18.75" x14ac:dyDescent="0.25">
      <c r="B17" s="9" t="s">
        <v>110</v>
      </c>
      <c r="C17" s="7">
        <f xml:space="preserve"> C16+C8</f>
        <v>45140.639999999999</v>
      </c>
      <c r="D17" s="7">
        <f t="shared" ref="D17:G17" si="4" xml:space="preserve"> D16+D8</f>
        <v>64820.05000000001</v>
      </c>
      <c r="E17" s="7">
        <f t="shared" si="4"/>
        <v>62868.159999999989</v>
      </c>
      <c r="F17" s="7">
        <f t="shared" si="4"/>
        <v>47963.15</v>
      </c>
      <c r="G17" s="7">
        <f t="shared" si="4"/>
        <v>75327.73000000001</v>
      </c>
    </row>
    <row r="18" spans="2:7" ht="18.75" x14ac:dyDescent="0.25">
      <c r="B18" s="8" t="s">
        <v>68</v>
      </c>
      <c r="C18" s="5">
        <v>1526.89</v>
      </c>
      <c r="D18" s="5">
        <v>1666.64</v>
      </c>
      <c r="E18" s="5">
        <v>2080.16</v>
      </c>
      <c r="F18" s="5">
        <v>2173.8200000000002</v>
      </c>
      <c r="G18" s="5">
        <v>2420.17</v>
      </c>
    </row>
    <row r="19" spans="2:7" ht="18.75" x14ac:dyDescent="0.25">
      <c r="B19" s="9" t="s">
        <v>111</v>
      </c>
      <c r="C19" s="7">
        <f xml:space="preserve"> C17-C18</f>
        <v>43613.75</v>
      </c>
      <c r="D19" s="7">
        <f t="shared" ref="D19:G19" si="5" xml:space="preserve"> D17-D18</f>
        <v>63153.410000000011</v>
      </c>
      <c r="E19" s="7">
        <f t="shared" si="5"/>
        <v>60787.999999999985</v>
      </c>
      <c r="F19" s="7">
        <f t="shared" si="5"/>
        <v>45789.33</v>
      </c>
      <c r="G19" s="7">
        <f t="shared" si="5"/>
        <v>72907.560000000012</v>
      </c>
    </row>
    <row r="20" spans="2:7" ht="18.75" x14ac:dyDescent="0.25">
      <c r="B20" s="8" t="s">
        <v>67</v>
      </c>
      <c r="C20" s="4">
        <v>294.91000000000003</v>
      </c>
      <c r="D20" s="4">
        <v>159.19999999999999</v>
      </c>
      <c r="E20" s="4">
        <v>308.94</v>
      </c>
      <c r="F20" s="4">
        <v>179.27</v>
      </c>
      <c r="G20" s="4">
        <v>202.48</v>
      </c>
    </row>
    <row r="21" spans="2:7" ht="18.75" x14ac:dyDescent="0.25">
      <c r="B21" s="9" t="s">
        <v>112</v>
      </c>
      <c r="C21" s="7">
        <f xml:space="preserve"> C19-C20</f>
        <v>43318.84</v>
      </c>
      <c r="D21" s="7">
        <f t="shared" ref="D21:G21" si="6" xml:space="preserve"> D19-D20</f>
        <v>62994.210000000014</v>
      </c>
      <c r="E21" s="7">
        <f t="shared" si="6"/>
        <v>60479.059999999983</v>
      </c>
      <c r="F21" s="7">
        <f t="shared" si="6"/>
        <v>45610.060000000005</v>
      </c>
      <c r="G21" s="7">
        <f t="shared" si="6"/>
        <v>72705.080000000016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43318.84</v>
      </c>
      <c r="D23" s="7">
        <f t="shared" ref="D23:G23" si="7" xml:space="preserve"> D21+D22</f>
        <v>62994.210000000014</v>
      </c>
      <c r="E23" s="7">
        <f t="shared" si="7"/>
        <v>60479.059999999983</v>
      </c>
      <c r="F23" s="7">
        <f t="shared" si="7"/>
        <v>45610.060000000005</v>
      </c>
      <c r="G23" s="7">
        <f t="shared" si="7"/>
        <v>72705.080000000016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43318.84</v>
      </c>
      <c r="D25" s="7">
        <f t="shared" ref="D25:G25" si="8" xml:space="preserve"> D23+D24</f>
        <v>62994.210000000014</v>
      </c>
      <c r="E25" s="7">
        <f t="shared" si="8"/>
        <v>60479.059999999983</v>
      </c>
      <c r="F25" s="7">
        <f t="shared" si="8"/>
        <v>45610.060000000005</v>
      </c>
      <c r="G25" s="7">
        <f t="shared" si="8"/>
        <v>72705.080000000016</v>
      </c>
    </row>
    <row r="26" spans="2:7" ht="18.75" x14ac:dyDescent="0.25">
      <c r="B26" s="8" t="s">
        <v>79</v>
      </c>
      <c r="C26" s="5">
        <v>2122.85</v>
      </c>
      <c r="D26" s="5">
        <v>3278.42</v>
      </c>
      <c r="E26" s="4">
        <v>914.3</v>
      </c>
      <c r="F26" s="5">
        <v>1582.63</v>
      </c>
      <c r="G26" s="5">
        <v>3159.89</v>
      </c>
    </row>
    <row r="27" spans="2:7" ht="18.75" x14ac:dyDescent="0.25">
      <c r="B27" s="9" t="s">
        <v>116</v>
      </c>
      <c r="C27" s="7">
        <f xml:space="preserve"> C25-C26</f>
        <v>41195.99</v>
      </c>
      <c r="D27" s="7">
        <f t="shared" ref="D27:G27" si="9" xml:space="preserve"> D25-D26</f>
        <v>59715.790000000015</v>
      </c>
      <c r="E27" s="7">
        <f t="shared" si="9"/>
        <v>59564.75999999998</v>
      </c>
      <c r="F27" s="7">
        <f t="shared" si="9"/>
        <v>44027.430000000008</v>
      </c>
      <c r="G27" s="7">
        <f t="shared" si="9"/>
        <v>69545.190000000017</v>
      </c>
    </row>
    <row r="28" spans="2:7" ht="18.75" x14ac:dyDescent="0.25">
      <c r="B28" s="8" t="s">
        <v>88</v>
      </c>
      <c r="C28" s="4">
        <v>2106.86</v>
      </c>
      <c r="D28" s="5">
        <v>1734.15</v>
      </c>
      <c r="E28" s="5">
        <v>3285.64</v>
      </c>
      <c r="F28" s="5">
        <v>2238.58</v>
      </c>
      <c r="G28" s="5">
        <v>0</v>
      </c>
    </row>
    <row r="29" spans="2:7" ht="18.75" x14ac:dyDescent="0.25">
      <c r="B29" s="8" t="s">
        <v>89</v>
      </c>
      <c r="C29" s="4">
        <v>0</v>
      </c>
      <c r="D29" s="4">
        <v>356.46</v>
      </c>
      <c r="E29" s="4">
        <v>675.37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39089.129999999997</v>
      </c>
      <c r="D30" s="7">
        <f t="shared" ref="D30:G30" si="10" xml:space="preserve"> D27-D28-D29</f>
        <v>57625.180000000015</v>
      </c>
      <c r="E30" s="7">
        <f t="shared" si="10"/>
        <v>55603.749999999978</v>
      </c>
      <c r="F30" s="7">
        <f t="shared" si="10"/>
        <v>41788.850000000006</v>
      </c>
      <c r="G30" s="7">
        <f t="shared" si="10"/>
        <v>69545.190000000017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21</v>
      </c>
      <c r="D34" s="4">
        <v>29</v>
      </c>
      <c r="E34" s="4">
        <v>21</v>
      </c>
      <c r="F34" s="4">
        <v>14</v>
      </c>
      <c r="G34" s="4">
        <v>28</v>
      </c>
    </row>
    <row r="35" spans="2:7" ht="18.75" x14ac:dyDescent="0.25">
      <c r="B35" s="8" t="s">
        <v>118</v>
      </c>
      <c r="C35" s="4">
        <f>C27/C34</f>
        <v>1961.7138095238095</v>
      </c>
      <c r="D35" s="4">
        <f t="shared" ref="D35:G35" si="11">D27/D34</f>
        <v>2059.1651724137937</v>
      </c>
      <c r="E35" s="4">
        <f t="shared" si="11"/>
        <v>2836.4171428571417</v>
      </c>
      <c r="F35" s="4">
        <f t="shared" si="11"/>
        <v>3144.8164285714292</v>
      </c>
      <c r="G35" s="4">
        <f t="shared" si="11"/>
        <v>2483.7567857142863</v>
      </c>
    </row>
  </sheetData>
  <mergeCells count="1">
    <mergeCell ref="B3:G3"/>
  </mergeCells>
  <hyperlinks>
    <hyperlink ref="F1" location="Index_Data!A1" tooltip="Hi click here To return Index page" display="Index_Data!A1" xr:uid="{56002BC4-8C01-4304-A0FE-6E8D84FEC19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17CDF-5F47-472F-BB2D-23315FC66610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3" width="15.42578125" bestFit="1" customWidth="1"/>
    <col min="4" max="7" width="17.140625" bestFit="1" customWidth="1"/>
    <col min="8" max="10" width="18.85546875" bestFit="1" customWidth="1"/>
    <col min="11" max="12" width="2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2255.0700000000002</v>
      </c>
      <c r="D5" s="5">
        <v>2255.0700000000002</v>
      </c>
      <c r="E5" s="5">
        <v>4510.1400000000003</v>
      </c>
      <c r="F5" s="5">
        <v>4440.3900000000003</v>
      </c>
      <c r="G5" s="5">
        <v>4440.3900000000003</v>
      </c>
      <c r="H5" s="24">
        <f>G5</f>
        <v>4440.3900000000003</v>
      </c>
      <c r="I5" s="24">
        <f t="shared" ref="I5:L5" si="0">H5</f>
        <v>4440.3900000000003</v>
      </c>
      <c r="J5" s="24">
        <f t="shared" si="0"/>
        <v>4440.3900000000003</v>
      </c>
      <c r="K5" s="24">
        <f t="shared" si="0"/>
        <v>4440.3900000000003</v>
      </c>
      <c r="L5" s="24">
        <f t="shared" si="0"/>
        <v>4440.3900000000003</v>
      </c>
    </row>
    <row r="6" spans="2:15" x14ac:dyDescent="0.25">
      <c r="B6" s="17" t="s">
        <v>203</v>
      </c>
      <c r="C6" s="18">
        <f>C5/Balance_Sheet!C74</f>
        <v>3.6766962086694298E-2</v>
      </c>
      <c r="D6" s="18">
        <f>D5/Balance_Sheet!D74</f>
        <v>1.8528517336611709E-2</v>
      </c>
      <c r="E6" s="18">
        <f>E5/Balance_Sheet!E74</f>
        <v>2.4671116354480084E-2</v>
      </c>
      <c r="F6" s="18">
        <f>F5/Balance_Sheet!F74</f>
        <v>1.9553665623456177E-2</v>
      </c>
      <c r="G6" s="18">
        <f>G5/Balance_Sheet!G74</f>
        <v>1.4758203786113653E-2</v>
      </c>
      <c r="H6" s="25">
        <f>G6</f>
        <v>1.4758203786113653E-2</v>
      </c>
      <c r="I6" s="25">
        <f t="shared" ref="I6:L6" si="1">H6</f>
        <v>1.4758203786113653E-2</v>
      </c>
      <c r="J6" s="25">
        <f t="shared" si="1"/>
        <v>1.4758203786113653E-2</v>
      </c>
      <c r="K6" s="25">
        <f t="shared" si="1"/>
        <v>1.4758203786113653E-2</v>
      </c>
      <c r="L6" s="25">
        <f t="shared" si="1"/>
        <v>1.4758203786113653E-2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2255.0700000000002</v>
      </c>
      <c r="D9" s="7">
        <f t="shared" ref="D9:L9" si="4">D5+D7</f>
        <v>2255.0700000000002</v>
      </c>
      <c r="E9" s="7">
        <f t="shared" si="4"/>
        <v>4510.1400000000003</v>
      </c>
      <c r="F9" s="7">
        <f t="shared" si="4"/>
        <v>4440.3900000000003</v>
      </c>
      <c r="G9" s="7">
        <f t="shared" si="4"/>
        <v>4440.3900000000003</v>
      </c>
      <c r="H9" s="27">
        <f t="shared" si="4"/>
        <v>4440.3900000000003</v>
      </c>
      <c r="I9" s="27">
        <f t="shared" si="4"/>
        <v>4440.3900000000003</v>
      </c>
      <c r="J9" s="27">
        <f t="shared" si="4"/>
        <v>4440.3900000000003</v>
      </c>
      <c r="K9" s="27">
        <f t="shared" si="4"/>
        <v>4440.3900000000003</v>
      </c>
      <c r="L9" s="27">
        <f t="shared" si="4"/>
        <v>4440.3900000000003</v>
      </c>
    </row>
    <row r="10" spans="2:15" x14ac:dyDescent="0.25">
      <c r="B10" s="19" t="s">
        <v>205</v>
      </c>
      <c r="C10" s="20">
        <f>C9/Balance_Sheet!C74</f>
        <v>3.6766962086694298E-2</v>
      </c>
      <c r="D10" s="20">
        <f>D9/Balance_Sheet!D74</f>
        <v>1.8528517336611709E-2</v>
      </c>
      <c r="E10" s="20">
        <f>E9/Balance_Sheet!E74</f>
        <v>2.4671116354480084E-2</v>
      </c>
      <c r="F10" s="20">
        <f>F9/Balance_Sheet!F74</f>
        <v>1.9553665623456177E-2</v>
      </c>
      <c r="G10" s="20">
        <f>G9/Balance_Sheet!G74</f>
        <v>1.4758203786113653E-2</v>
      </c>
      <c r="H10" s="28">
        <f>H9/Balance_Sheet!H74</f>
        <v>9.0745931579824801E-3</v>
      </c>
      <c r="I10" s="28">
        <f>I9/Balance_Sheet!I74</f>
        <v>7.0087638435211925E-3</v>
      </c>
      <c r="J10" s="28">
        <f>J9/Balance_Sheet!J74</f>
        <v>5.0809234012007586E-3</v>
      </c>
      <c r="K10" s="28">
        <f>K9/Balance_Sheet!K74</f>
        <v>3.5135459713990075E-3</v>
      </c>
      <c r="L10" s="28">
        <f>L9/Balance_Sheet!L74</f>
        <v>2.4848490076714407E-3</v>
      </c>
    </row>
    <row r="11" spans="2:15" ht="18.75" x14ac:dyDescent="0.25">
      <c r="B11" s="8" t="s">
        <v>7</v>
      </c>
      <c r="C11" s="5">
        <v>39423.5</v>
      </c>
      <c r="D11" s="5">
        <f>Income_Statement!D55+C11</f>
        <v>97049.69541244721</v>
      </c>
      <c r="E11" s="5">
        <f>Income_Statement!E55+D11</f>
        <v>152654.46581837587</v>
      </c>
      <c r="F11" s="5">
        <f>Income_Statement!F55+E11</f>
        <v>194444.33441451224</v>
      </c>
      <c r="G11" s="5">
        <f>Income_Statement!G55+F11</f>
        <v>263990.53591678489</v>
      </c>
      <c r="H11" s="24">
        <f>H74-H9-H21-H33-H35</f>
        <v>426023.52663335396</v>
      </c>
      <c r="I11" s="24">
        <f t="shared" ref="I11:L11" si="5">I74-I9-I21-I33-I35</f>
        <v>552902.53760444815</v>
      </c>
      <c r="J11" s="24">
        <f t="shared" si="5"/>
        <v>764373.59918659669</v>
      </c>
      <c r="K11" s="24">
        <f t="shared" si="5"/>
        <v>1107338.1441727073</v>
      </c>
      <c r="L11" s="24">
        <f t="shared" si="5"/>
        <v>1567600.7999874766</v>
      </c>
    </row>
    <row r="12" spans="2:15" x14ac:dyDescent="0.25">
      <c r="B12" s="17" t="s">
        <v>206</v>
      </c>
      <c r="C12" s="18">
        <f>C11/Balance_Sheet!C74</f>
        <v>0.64276600275148554</v>
      </c>
      <c r="D12" s="18">
        <f>D11/Balance_Sheet!D74</f>
        <v>0.79739740405504655</v>
      </c>
      <c r="E12" s="18">
        <f>E11/Balance_Sheet!E74</f>
        <v>0.83504194730898673</v>
      </c>
      <c r="F12" s="18">
        <f>F11/Balance_Sheet!F74</f>
        <v>0.85625350420050139</v>
      </c>
      <c r="G12" s="18">
        <f>G11/Balance_Sheet!G74</f>
        <v>0.87740629238991774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41678.57</v>
      </c>
      <c r="D13" s="7">
        <f t="shared" ref="D13:L13" si="6">D9+D11</f>
        <v>99304.765412447217</v>
      </c>
      <c r="E13" s="7">
        <f t="shared" si="6"/>
        <v>157164.60581837589</v>
      </c>
      <c r="F13" s="7">
        <f t="shared" si="6"/>
        <v>198884.72441451225</v>
      </c>
      <c r="G13" s="7">
        <f t="shared" si="6"/>
        <v>268430.92591678491</v>
      </c>
      <c r="H13" s="27">
        <f t="shared" si="6"/>
        <v>430463.91663335398</v>
      </c>
      <c r="I13" s="27">
        <f t="shared" si="6"/>
        <v>557342.92760444817</v>
      </c>
      <c r="J13" s="27">
        <f t="shared" si="6"/>
        <v>768813.98918659671</v>
      </c>
      <c r="K13" s="27">
        <f t="shared" si="6"/>
        <v>1111778.5341727072</v>
      </c>
      <c r="L13" s="27">
        <f t="shared" si="6"/>
        <v>1572041.1899874764</v>
      </c>
    </row>
    <row r="14" spans="2:15" x14ac:dyDescent="0.25">
      <c r="B14" s="19" t="s">
        <v>207</v>
      </c>
      <c r="C14" s="20">
        <f>C13/Balance_Sheet!C74</f>
        <v>0.67953296483817982</v>
      </c>
      <c r="D14" s="20">
        <f>D13/Balance_Sheet!D74</f>
        <v>0.81592592139165832</v>
      </c>
      <c r="E14" s="20">
        <f>E13/Balance_Sheet!E74</f>
        <v>0.85971306366346689</v>
      </c>
      <c r="F14" s="20">
        <f>F13/Balance_Sheet!F74</f>
        <v>0.87580716982395757</v>
      </c>
      <c r="G14" s="20">
        <f>G13/Balance_Sheet!G74</f>
        <v>0.89216449617603144</v>
      </c>
      <c r="H14" s="28">
        <f>H13/Balance_Sheet!H74</f>
        <v>0.87971662683669105</v>
      </c>
      <c r="I14" s="28">
        <f>I13/Balance_Sheet!I74</f>
        <v>0.87971663737561467</v>
      </c>
      <c r="J14" s="28">
        <f>J13/Balance_Sheet!J74</f>
        <v>0.87971664399493865</v>
      </c>
      <c r="K14" s="28">
        <f>K13/Balance_Sheet!K74</f>
        <v>0.8797166442205322</v>
      </c>
      <c r="L14" s="28">
        <f>L13/Balance_Sheet!L74</f>
        <v>0.87971664447469966</v>
      </c>
    </row>
    <row r="15" spans="2:15" ht="18.75" x14ac:dyDescent="0.25">
      <c r="B15" s="8" t="s">
        <v>12</v>
      </c>
      <c r="C15" s="5">
        <v>1118.6400000000001</v>
      </c>
      <c r="D15" s="5">
        <v>1027.83</v>
      </c>
      <c r="E15" s="5">
        <v>3773.4</v>
      </c>
      <c r="F15" s="5">
        <v>5237.3999999999996</v>
      </c>
      <c r="G15" s="5">
        <v>5468.06</v>
      </c>
      <c r="H15" s="24">
        <f>ROUND(H74*H16,2)</f>
        <v>8892.82</v>
      </c>
      <c r="I15" s="24">
        <f t="shared" ref="I15:L15" si="7">ROUND(I74*I16,2)</f>
        <v>11513.98</v>
      </c>
      <c r="J15" s="24">
        <f t="shared" si="7"/>
        <v>15882.69</v>
      </c>
      <c r="K15" s="24">
        <f t="shared" si="7"/>
        <v>22967.89</v>
      </c>
      <c r="L15" s="24">
        <f t="shared" si="7"/>
        <v>32476.32</v>
      </c>
    </row>
    <row r="16" spans="2:15" x14ac:dyDescent="0.25">
      <c r="B16" s="17" t="s">
        <v>208</v>
      </c>
      <c r="C16" s="18">
        <f>C15/Balance_Sheet!C74</f>
        <v>1.8238455776831631E-2</v>
      </c>
      <c r="D16" s="18">
        <f>D15/Balance_Sheet!D74</f>
        <v>8.445044266514835E-3</v>
      </c>
      <c r="E16" s="18">
        <f>E15/Balance_Sheet!E74</f>
        <v>2.0641042285160803E-2</v>
      </c>
      <c r="F16" s="18">
        <f>F15/Balance_Sheet!F74</f>
        <v>2.3063372437170916E-2</v>
      </c>
      <c r="G16" s="18">
        <f>G15/Balance_Sheet!G74</f>
        <v>1.8173796399572249E-2</v>
      </c>
      <c r="H16" s="25">
        <f>G16</f>
        <v>1.8173796399572249E-2</v>
      </c>
      <c r="I16" s="25">
        <f t="shared" ref="I16:L16" si="8">H16</f>
        <v>1.8173796399572249E-2</v>
      </c>
      <c r="J16" s="25">
        <f t="shared" si="8"/>
        <v>1.8173796399572249E-2</v>
      </c>
      <c r="K16" s="25">
        <f t="shared" si="8"/>
        <v>1.8173796399572249E-2</v>
      </c>
      <c r="L16" s="25">
        <f t="shared" si="8"/>
        <v>1.8173796399572249E-2</v>
      </c>
    </row>
    <row r="17" spans="2:12" ht="18.75" x14ac:dyDescent="0.25">
      <c r="B17" s="8" t="s">
        <v>13</v>
      </c>
      <c r="C17" s="5">
        <v>5039.1099999999997</v>
      </c>
      <c r="D17" s="5">
        <v>6509.88</v>
      </c>
      <c r="E17" s="5">
        <v>4039.19</v>
      </c>
      <c r="F17" s="5">
        <v>4088.46</v>
      </c>
      <c r="G17" s="5">
        <v>4199.17</v>
      </c>
      <c r="H17" s="24">
        <f>H74*H18</f>
        <v>10811.526408199546</v>
      </c>
      <c r="I17" s="24">
        <f t="shared" ref="I17:L17" si="9">I74*I18</f>
        <v>13998.2179114062</v>
      </c>
      <c r="J17" s="24">
        <f t="shared" si="9"/>
        <v>19309.522270697573</v>
      </c>
      <c r="K17" s="24">
        <f t="shared" si="9"/>
        <v>27923.415367219299</v>
      </c>
      <c r="L17" s="24">
        <f t="shared" si="9"/>
        <v>39483.366300447313</v>
      </c>
    </row>
    <row r="18" spans="2:12" x14ac:dyDescent="0.25">
      <c r="B18" s="17" t="s">
        <v>209</v>
      </c>
      <c r="C18" s="18">
        <f>C17/Balance_Sheet!C74</f>
        <v>8.2158321613378771E-2</v>
      </c>
      <c r="D18" s="18">
        <f>D17/Balance_Sheet!D74</f>
        <v>5.3487663105474252E-2</v>
      </c>
      <c r="E18" s="18">
        <f>E17/Balance_Sheet!E74</f>
        <v>2.2094951923410894E-2</v>
      </c>
      <c r="F18" s="18">
        <f>F17/Balance_Sheet!F74</f>
        <v>1.80039095112987E-2</v>
      </c>
      <c r="G18" s="18">
        <f>G17/Balance_Sheet!G74</f>
        <v>1.3956478280631851E-2</v>
      </c>
      <c r="H18" s="25">
        <f>MEDIAN(C18:G18)</f>
        <v>2.2094951923410894E-2</v>
      </c>
      <c r="I18" s="25">
        <f t="shared" ref="I18:L18" si="10">H18</f>
        <v>2.2094951923410894E-2</v>
      </c>
      <c r="J18" s="25">
        <f t="shared" si="10"/>
        <v>2.2094951923410894E-2</v>
      </c>
      <c r="K18" s="25">
        <f t="shared" si="10"/>
        <v>2.2094951923410894E-2</v>
      </c>
      <c r="L18" s="25">
        <f t="shared" si="10"/>
        <v>2.2094951923410894E-2</v>
      </c>
    </row>
    <row r="19" spans="2:12" ht="18.75" x14ac:dyDescent="0.25">
      <c r="B19" s="8" t="s">
        <v>18</v>
      </c>
      <c r="C19" s="5">
        <v>977.66</v>
      </c>
      <c r="D19" s="5">
        <v>1042.9000000000001</v>
      </c>
      <c r="E19" s="5">
        <v>2564.1999999999998</v>
      </c>
      <c r="F19" s="5">
        <v>1522.9</v>
      </c>
      <c r="G19" s="4">
        <v>2362.2600000000002</v>
      </c>
      <c r="H19" s="26">
        <f>ROUND(H74*H20,2)</f>
        <v>3841.79</v>
      </c>
      <c r="I19" s="26">
        <f t="shared" ref="I19:L19" si="11">ROUND(I74*I20,2)</f>
        <v>4974.16</v>
      </c>
      <c r="J19" s="26">
        <f t="shared" si="11"/>
        <v>6861.49</v>
      </c>
      <c r="K19" s="26">
        <f t="shared" si="11"/>
        <v>9922.3700000000008</v>
      </c>
      <c r="L19" s="26">
        <f t="shared" si="11"/>
        <v>14030.11</v>
      </c>
    </row>
    <row r="20" spans="2:12" x14ac:dyDescent="0.25">
      <c r="B20" s="17" t="s">
        <v>210</v>
      </c>
      <c r="C20" s="18">
        <f>C19/Balance_Sheet!C74</f>
        <v>1.5939899051327693E-2</v>
      </c>
      <c r="D20" s="18">
        <f>D19/Balance_Sheet!D74</f>
        <v>8.5688651484664997E-3</v>
      </c>
      <c r="E20" s="18">
        <f>E19/Balance_Sheet!E74</f>
        <v>1.4026543866965953E-2</v>
      </c>
      <c r="F20" s="18">
        <f>F19/Balance_Sheet!F74</f>
        <v>6.706230168512543E-3</v>
      </c>
      <c r="G20" s="18">
        <f>G19/Balance_Sheet!G74</f>
        <v>7.851273080919657E-3</v>
      </c>
      <c r="H20" s="25">
        <f>G20</f>
        <v>7.851273080919657E-3</v>
      </c>
      <c r="I20" s="25">
        <f t="shared" ref="I20:L20" si="12">H20</f>
        <v>7.851273080919657E-3</v>
      </c>
      <c r="J20" s="25">
        <f t="shared" si="12"/>
        <v>7.851273080919657E-3</v>
      </c>
      <c r="K20" s="25">
        <f t="shared" si="12"/>
        <v>7.851273080919657E-3</v>
      </c>
      <c r="L20" s="25">
        <f t="shared" si="12"/>
        <v>7.851273080919657E-3</v>
      </c>
    </row>
    <row r="21" spans="2:12" ht="18.75" x14ac:dyDescent="0.25">
      <c r="B21" s="9" t="s">
        <v>123</v>
      </c>
      <c r="C21" s="7">
        <f>C15+C17+C19</f>
        <v>7135.41</v>
      </c>
      <c r="D21" s="7">
        <f t="shared" ref="D21:G21" si="13">D15+D17+D19</f>
        <v>8580.61</v>
      </c>
      <c r="E21" s="7">
        <f t="shared" si="13"/>
        <v>10376.790000000001</v>
      </c>
      <c r="F21" s="7">
        <f t="shared" si="13"/>
        <v>10848.76</v>
      </c>
      <c r="G21" s="7">
        <f t="shared" si="13"/>
        <v>12029.49</v>
      </c>
      <c r="H21" s="27">
        <f>ROUND(H74*H22,2)</f>
        <v>19563.82</v>
      </c>
      <c r="I21" s="27">
        <f t="shared" ref="I21:L21" si="14">ROUND(I74*I22,2)</f>
        <v>25330.240000000002</v>
      </c>
      <c r="J21" s="27">
        <f t="shared" si="14"/>
        <v>34941.22</v>
      </c>
      <c r="K21" s="27">
        <f t="shared" si="14"/>
        <v>50528.35</v>
      </c>
      <c r="L21" s="27">
        <f t="shared" si="14"/>
        <v>71446.460000000006</v>
      </c>
    </row>
    <row r="22" spans="2:12" x14ac:dyDescent="0.25">
      <c r="B22" s="19" t="s">
        <v>211</v>
      </c>
      <c r="C22" s="20">
        <f>C21/Balance_Sheet!C74</f>
        <v>0.1163366764415381</v>
      </c>
      <c r="D22" s="20">
        <f>D21/Balance_Sheet!D74</f>
        <v>7.0501572520455594E-2</v>
      </c>
      <c r="E22" s="20">
        <f>E21/Balance_Sheet!E74</f>
        <v>5.6762538075537654E-2</v>
      </c>
      <c r="F22" s="20">
        <f>F21/Balance_Sheet!F74</f>
        <v>4.7773512116982157E-2</v>
      </c>
      <c r="G22" s="20">
        <f>G21/Balance_Sheet!G74</f>
        <v>3.9981547761123754E-2</v>
      </c>
      <c r="H22" s="28">
        <f>G22</f>
        <v>3.9981547761123754E-2</v>
      </c>
      <c r="I22" s="28">
        <f t="shared" ref="I22:L22" si="15">H22</f>
        <v>3.9981547761123754E-2</v>
      </c>
      <c r="J22" s="28">
        <f t="shared" si="15"/>
        <v>3.9981547761123754E-2</v>
      </c>
      <c r="K22" s="28">
        <f t="shared" si="15"/>
        <v>3.9981547761123754E-2</v>
      </c>
      <c r="L22" s="28">
        <f t="shared" si="15"/>
        <v>3.9981547761123754E-2</v>
      </c>
    </row>
    <row r="23" spans="2:12" ht="18.75" x14ac:dyDescent="0.25">
      <c r="B23" s="8" t="s">
        <v>15</v>
      </c>
      <c r="C23" s="4">
        <v>589.1</v>
      </c>
      <c r="D23" s="4">
        <v>702.04</v>
      </c>
      <c r="E23" s="4">
        <v>538.51</v>
      </c>
      <c r="F23" s="4">
        <v>557.02</v>
      </c>
      <c r="G23" s="4">
        <v>676.08</v>
      </c>
      <c r="H23" s="26">
        <f>H74*H24</f>
        <v>1441.406590449951</v>
      </c>
      <c r="I23" s="26">
        <f t="shared" ref="I23:L23" si="16">I74*I24</f>
        <v>1866.2603956415401</v>
      </c>
      <c r="J23" s="26">
        <f t="shared" si="16"/>
        <v>2574.3703163241516</v>
      </c>
      <c r="K23" s="26">
        <f t="shared" si="16"/>
        <v>3722.7856103330778</v>
      </c>
      <c r="L23" s="26">
        <f t="shared" si="16"/>
        <v>5263.9731199705584</v>
      </c>
    </row>
    <row r="24" spans="2:12" x14ac:dyDescent="0.25">
      <c r="B24" s="17" t="s">
        <v>212</v>
      </c>
      <c r="C24" s="18">
        <f>C23/Balance_Sheet!C74</f>
        <v>9.604764980808405E-3</v>
      </c>
      <c r="D24" s="18">
        <f>D23/Balance_Sheet!D74</f>
        <v>5.7682290620667568E-3</v>
      </c>
      <c r="E24" s="18">
        <f>E23/Balance_Sheet!E74</f>
        <v>2.9457273761016442E-3</v>
      </c>
      <c r="F24" s="18">
        <f>F23/Balance_Sheet!F74</f>
        <v>2.4528887835477417E-3</v>
      </c>
      <c r="G24" s="18">
        <f>G23/Balance_Sheet!G74</f>
        <v>2.2470383042290697E-3</v>
      </c>
      <c r="H24" s="25">
        <f>MEDIAN(C24:G24)</f>
        <v>2.9457273761016442E-3</v>
      </c>
      <c r="I24" s="25">
        <f t="shared" ref="I24:L24" si="17">H24</f>
        <v>2.9457273761016442E-3</v>
      </c>
      <c r="J24" s="25">
        <f t="shared" si="17"/>
        <v>2.9457273761016442E-3</v>
      </c>
      <c r="K24" s="25">
        <f t="shared" si="17"/>
        <v>2.9457273761016442E-3</v>
      </c>
      <c r="L24" s="25">
        <f t="shared" si="17"/>
        <v>2.9457273761016442E-3</v>
      </c>
    </row>
    <row r="25" spans="2:12" ht="18.75" x14ac:dyDescent="0.25">
      <c r="B25" s="8" t="s">
        <v>21</v>
      </c>
      <c r="C25" s="4">
        <v>865.08</v>
      </c>
      <c r="D25" s="4">
        <v>755.05</v>
      </c>
      <c r="E25" s="4">
        <v>775.16</v>
      </c>
      <c r="F25" s="4">
        <v>828.71</v>
      </c>
      <c r="G25" s="4">
        <v>873.2</v>
      </c>
      <c r="H25" s="26">
        <f>H74*H26</f>
        <v>2074.8374824110674</v>
      </c>
      <c r="I25" s="26">
        <f t="shared" ref="I25:L25" si="18">I74*I26</f>
        <v>2686.3946970074762</v>
      </c>
      <c r="J25" s="26">
        <f t="shared" si="18"/>
        <v>3705.6858635899598</v>
      </c>
      <c r="K25" s="26">
        <f t="shared" si="18"/>
        <v>5358.7760556086023</v>
      </c>
      <c r="L25" s="26">
        <f t="shared" si="18"/>
        <v>7577.2435120543314</v>
      </c>
    </row>
    <row r="26" spans="2:12" x14ac:dyDescent="0.25">
      <c r="B26" s="17" t="s">
        <v>213</v>
      </c>
      <c r="C26" s="18">
        <f>C25/Balance_Sheet!C74</f>
        <v>1.410437971413637E-2</v>
      </c>
      <c r="D26" s="18">
        <f>D25/Balance_Sheet!D74</f>
        <v>6.203779490219225E-3</v>
      </c>
      <c r="E26" s="18">
        <f>E25/Balance_Sheet!E74</f>
        <v>4.2402370111213356E-3</v>
      </c>
      <c r="F26" s="18">
        <f>F25/Balance_Sheet!F74</f>
        <v>3.6493006782769908E-3</v>
      </c>
      <c r="G26" s="18">
        <f>G25/Balance_Sheet!G74</f>
        <v>2.9021918223476862E-3</v>
      </c>
      <c r="H26" s="25">
        <f>MEDIAN(C26:G26)</f>
        <v>4.2402370111213356E-3</v>
      </c>
      <c r="I26" s="25">
        <f t="shared" ref="I26:L26" si="19">H26</f>
        <v>4.2402370111213356E-3</v>
      </c>
      <c r="J26" s="25">
        <f t="shared" si="19"/>
        <v>4.2402370111213356E-3</v>
      </c>
      <c r="K26" s="25">
        <f t="shared" si="19"/>
        <v>4.2402370111213356E-3</v>
      </c>
      <c r="L26" s="25">
        <f t="shared" si="19"/>
        <v>4.2402370111213356E-3</v>
      </c>
    </row>
    <row r="27" spans="2:12" ht="18.75" x14ac:dyDescent="0.25">
      <c r="B27" s="8" t="s">
        <v>14</v>
      </c>
      <c r="C27" s="5">
        <v>1683.5</v>
      </c>
      <c r="D27" s="5">
        <v>3457.58</v>
      </c>
      <c r="E27" s="5">
        <v>4731.6400000000003</v>
      </c>
      <c r="F27" s="5">
        <v>5669.92</v>
      </c>
      <c r="G27" s="5">
        <v>6817.9</v>
      </c>
      <c r="H27" s="24">
        <f>ROUND(H74*H28,2)</f>
        <v>11088.1</v>
      </c>
      <c r="I27" s="24">
        <f t="shared" ref="I27:L27" si="20">ROUND(I74*I28,2)</f>
        <v>14356.31</v>
      </c>
      <c r="J27" s="24">
        <f t="shared" si="20"/>
        <v>19803.48</v>
      </c>
      <c r="K27" s="24">
        <f t="shared" si="20"/>
        <v>28637.72</v>
      </c>
      <c r="L27" s="24">
        <f t="shared" si="20"/>
        <v>40493.39</v>
      </c>
    </row>
    <row r="28" spans="2:12" x14ac:dyDescent="0.25">
      <c r="B28" s="17" t="s">
        <v>214</v>
      </c>
      <c r="C28" s="18">
        <f>C27/Balance_Sheet!C74</f>
        <v>2.7448008564235189E-2</v>
      </c>
      <c r="D28" s="18">
        <f>D27/Balance_Sheet!D74</f>
        <v>2.8408799271296192E-2</v>
      </c>
      <c r="E28" s="18">
        <f>E27/Balance_Sheet!E74</f>
        <v>2.5882753304223849E-2</v>
      </c>
      <c r="F28" s="18">
        <f>F27/Balance_Sheet!F74</f>
        <v>2.4968014023936329E-2</v>
      </c>
      <c r="G28" s="18">
        <f>G27/Balance_Sheet!G74</f>
        <v>2.2660162191461618E-2</v>
      </c>
      <c r="H28" s="25">
        <f>G28</f>
        <v>2.2660162191461618E-2</v>
      </c>
      <c r="I28" s="25">
        <f t="shared" ref="I28:L28" si="21">H28</f>
        <v>2.2660162191461618E-2</v>
      </c>
      <c r="J28" s="25">
        <f t="shared" si="21"/>
        <v>2.2660162191461618E-2</v>
      </c>
      <c r="K28" s="25">
        <f t="shared" si="21"/>
        <v>2.2660162191461618E-2</v>
      </c>
      <c r="L28" s="25">
        <f t="shared" si="21"/>
        <v>2.2660162191461618E-2</v>
      </c>
    </row>
    <row r="29" spans="2:12" ht="18.75" x14ac:dyDescent="0.25">
      <c r="B29" s="8" t="s">
        <v>19</v>
      </c>
      <c r="C29" s="5">
        <v>3903.89</v>
      </c>
      <c r="D29" s="5">
        <v>3876.07</v>
      </c>
      <c r="E29" s="5">
        <v>3922.18</v>
      </c>
      <c r="F29" s="5">
        <v>4453.18</v>
      </c>
      <c r="G29" s="5">
        <v>5361.26</v>
      </c>
      <c r="H29" s="24">
        <f>H74*H30</f>
        <v>10498.33076624573</v>
      </c>
      <c r="I29" s="24">
        <f t="shared" ref="I29:L29" si="22">I74*I30</f>
        <v>13592.708025064223</v>
      </c>
      <c r="J29" s="24">
        <f t="shared" si="22"/>
        <v>18750.150911367029</v>
      </c>
      <c r="K29" s="24">
        <f t="shared" si="22"/>
        <v>27114.510900700432</v>
      </c>
      <c r="L29" s="24">
        <f t="shared" si="22"/>
        <v>38339.585321880972</v>
      </c>
    </row>
    <row r="30" spans="2:12" x14ac:dyDescent="0.25">
      <c r="B30" s="17" t="s">
        <v>215</v>
      </c>
      <c r="C30" s="18">
        <f>C29/Balance_Sheet!C74</f>
        <v>6.3649543304919579E-2</v>
      </c>
      <c r="D30" s="18">
        <f>D29/Balance_Sheet!D74</f>
        <v>3.1847273119202747E-2</v>
      </c>
      <c r="E30" s="18">
        <f>E29/Balance_Sheet!E74</f>
        <v>2.145489034558011E-2</v>
      </c>
      <c r="F30" s="18">
        <f>F29/Balance_Sheet!F74</f>
        <v>1.9609987564394697E-2</v>
      </c>
      <c r="G30" s="18">
        <f>G29/Balance_Sheet!G74</f>
        <v>1.7818832947182495E-2</v>
      </c>
      <c r="H30" s="25">
        <f>MEDIAN(C30:G30)</f>
        <v>2.145489034558011E-2</v>
      </c>
      <c r="I30" s="25">
        <f t="shared" ref="I30:L30" si="23">H30</f>
        <v>2.145489034558011E-2</v>
      </c>
      <c r="J30" s="25">
        <f t="shared" si="23"/>
        <v>2.145489034558011E-2</v>
      </c>
      <c r="K30" s="25">
        <f t="shared" si="23"/>
        <v>2.145489034558011E-2</v>
      </c>
      <c r="L30" s="25">
        <f t="shared" si="23"/>
        <v>2.145489034558011E-2</v>
      </c>
    </row>
    <row r="31" spans="2:12" ht="18.75" x14ac:dyDescent="0.25">
      <c r="B31" s="8" t="s">
        <v>20</v>
      </c>
      <c r="C31" s="5">
        <v>5439.67</v>
      </c>
      <c r="D31" s="5">
        <v>4986</v>
      </c>
      <c r="E31" s="5">
        <v>5214.6099999999997</v>
      </c>
      <c r="F31" s="5">
        <v>5747.54</v>
      </c>
      <c r="G31" s="5">
        <v>6496.01</v>
      </c>
      <c r="H31" s="24">
        <f>H74*H32</f>
        <v>13957.72264326794</v>
      </c>
      <c r="I31" s="24">
        <f t="shared" ref="I31:L31" si="24">I74*I32</f>
        <v>18071.753768205475</v>
      </c>
      <c r="J31" s="24">
        <f t="shared" si="24"/>
        <v>24928.668353804169</v>
      </c>
      <c r="K31" s="24">
        <f t="shared" si="24"/>
        <v>36049.237844234958</v>
      </c>
      <c r="L31" s="24">
        <f t="shared" si="24"/>
        <v>50973.179460232255</v>
      </c>
    </row>
    <row r="32" spans="2:12" x14ac:dyDescent="0.25">
      <c r="B32" s="17" t="s">
        <v>216</v>
      </c>
      <c r="C32" s="18">
        <f>C31/Balance_Sheet!C74</f>
        <v>8.8689105284593547E-2</v>
      </c>
      <c r="D32" s="18">
        <f>D31/Balance_Sheet!D74</f>
        <v>4.0966882376310257E-2</v>
      </c>
      <c r="E32" s="18">
        <f>E31/Balance_Sheet!E74</f>
        <v>2.8524668869089512E-2</v>
      </c>
      <c r="F32" s="18">
        <f>F31/Balance_Sheet!F74</f>
        <v>2.5309820830476445E-2</v>
      </c>
      <c r="G32" s="18">
        <f>G31/Balance_Sheet!G74</f>
        <v>2.1590319628823629E-2</v>
      </c>
      <c r="H32" s="25">
        <f>MEDIAN(C32:G32)</f>
        <v>2.8524668869089512E-2</v>
      </c>
      <c r="I32" s="25">
        <f t="shared" ref="I32:L32" si="25">H32</f>
        <v>2.8524668869089512E-2</v>
      </c>
      <c r="J32" s="25">
        <f t="shared" si="25"/>
        <v>2.8524668869089512E-2</v>
      </c>
      <c r="K32" s="25">
        <f t="shared" si="25"/>
        <v>2.8524668869089512E-2</v>
      </c>
      <c r="L32" s="25">
        <f t="shared" si="25"/>
        <v>2.8524668869089512E-2</v>
      </c>
    </row>
    <row r="33" spans="2:12" ht="18.75" x14ac:dyDescent="0.25">
      <c r="B33" s="9" t="s">
        <v>22</v>
      </c>
      <c r="C33" s="7">
        <f>C23+C25+C27+C29+C31</f>
        <v>12481.24</v>
      </c>
      <c r="D33" s="7">
        <f t="shared" ref="D33:L33" si="26">D23+D25+D27+D29+D31</f>
        <v>13776.74</v>
      </c>
      <c r="E33" s="7">
        <f t="shared" si="26"/>
        <v>15182.099999999999</v>
      </c>
      <c r="F33" s="7">
        <f t="shared" si="26"/>
        <v>17256.37</v>
      </c>
      <c r="G33" s="7">
        <f t="shared" si="26"/>
        <v>20224.45</v>
      </c>
      <c r="H33" s="27">
        <f t="shared" si="26"/>
        <v>39060.39748237469</v>
      </c>
      <c r="I33" s="27">
        <f t="shared" si="26"/>
        <v>50573.426885918714</v>
      </c>
      <c r="J33" s="27">
        <f t="shared" si="26"/>
        <v>69762.355445085312</v>
      </c>
      <c r="K33" s="27">
        <f t="shared" si="26"/>
        <v>100883.03041087708</v>
      </c>
      <c r="L33" s="27">
        <f t="shared" si="26"/>
        <v>142647.37141413812</v>
      </c>
    </row>
    <row r="34" spans="2:12" x14ac:dyDescent="0.25">
      <c r="B34" s="19" t="s">
        <v>217</v>
      </c>
      <c r="C34" s="20">
        <f>C33/Balance_Sheet!C74</f>
        <v>0.20349580184869306</v>
      </c>
      <c r="D34" s="20">
        <f>D33/Balance_Sheet!D74</f>
        <v>0.11319496331909518</v>
      </c>
      <c r="E34" s="20">
        <f>E33/Balance_Sheet!E74</f>
        <v>8.304827690611645E-2</v>
      </c>
      <c r="F34" s="20">
        <f>F33/Balance_Sheet!F74</f>
        <v>7.5990011880632202E-2</v>
      </c>
      <c r="G34" s="20">
        <f>G33/Balance_Sheet!G74</f>
        <v>6.7218544894044496E-2</v>
      </c>
      <c r="H34" s="28">
        <f>H33/Balance_Sheet!H74</f>
        <v>7.9825694531704072E-2</v>
      </c>
      <c r="I34" s="28">
        <f>I33/Balance_Sheet!I74</f>
        <v>7.9825692293016975E-2</v>
      </c>
      <c r="J34" s="28">
        <f>J33/Balance_Sheet!J74</f>
        <v>7.982568745173714E-2</v>
      </c>
      <c r="K34" s="28">
        <f>K33/Balance_Sheet!K74</f>
        <v>7.9825683123027638E-2</v>
      </c>
      <c r="L34" s="28">
        <f>L33/Balance_Sheet!L74</f>
        <v>7.9825686326057063E-2</v>
      </c>
    </row>
    <row r="35" spans="2:12" ht="18.75" x14ac:dyDescent="0.25">
      <c r="B35" s="8" t="s">
        <v>10</v>
      </c>
      <c r="C35" s="4">
        <v>38.92</v>
      </c>
      <c r="D35" s="4">
        <v>45.95</v>
      </c>
      <c r="E35" s="4">
        <v>87.04</v>
      </c>
      <c r="F35" s="4">
        <v>97.49</v>
      </c>
      <c r="G35" s="4">
        <v>191.18</v>
      </c>
      <c r="H35" s="26">
        <f>H74*H36</f>
        <v>232.9762300287158</v>
      </c>
      <c r="I35" s="26">
        <f t="shared" ref="I35:L35" si="27">I74*I36</f>
        <v>301.64584657042514</v>
      </c>
      <c r="J35" s="26">
        <f t="shared" si="27"/>
        <v>416.09847975497979</v>
      </c>
      <c r="K35" s="26">
        <f t="shared" si="27"/>
        <v>601.71818447826615</v>
      </c>
      <c r="L35" s="26">
        <f t="shared" si="27"/>
        <v>850.82212096755393</v>
      </c>
    </row>
    <row r="36" spans="2:12" x14ac:dyDescent="0.25">
      <c r="B36" s="17" t="s">
        <v>218</v>
      </c>
      <c r="C36" s="18">
        <f>C35/Balance_Sheet!C74</f>
        <v>6.3455687158897156E-4</v>
      </c>
      <c r="D36" s="18">
        <f>D35/Balance_Sheet!D74</f>
        <v>3.775427687909058E-4</v>
      </c>
      <c r="E36" s="18">
        <f>E35/Balance_Sheet!E74</f>
        <v>4.7612135487899412E-4</v>
      </c>
      <c r="F36" s="18">
        <f>F35/Balance_Sheet!F74</f>
        <v>4.2930617842818814E-4</v>
      </c>
      <c r="G36" s="18">
        <f>G35/Balance_Sheet!G74</f>
        <v>6.3541116880030989E-4</v>
      </c>
      <c r="H36" s="25">
        <f>MEDIAN(C36:G36)</f>
        <v>4.7612135487899412E-4</v>
      </c>
      <c r="I36" s="25">
        <f t="shared" ref="I36:L36" si="28">H36</f>
        <v>4.7612135487899412E-4</v>
      </c>
      <c r="J36" s="25">
        <f t="shared" si="28"/>
        <v>4.7612135487899412E-4</v>
      </c>
      <c r="K36" s="25">
        <f t="shared" si="28"/>
        <v>4.7612135487899412E-4</v>
      </c>
      <c r="L36" s="25">
        <f t="shared" si="28"/>
        <v>4.7612135487899412E-4</v>
      </c>
    </row>
    <row r="37" spans="2:12" ht="18.75" x14ac:dyDescent="0.25">
      <c r="B37" s="9" t="s">
        <v>124</v>
      </c>
      <c r="C37" s="7">
        <f>C13+C21+C33+C35</f>
        <v>61334.139999999992</v>
      </c>
      <c r="D37" s="7">
        <f t="shared" ref="D37:L37" si="29">D13+D21+D33+D35</f>
        <v>121708.06541244722</v>
      </c>
      <c r="E37" s="7">
        <f t="shared" si="29"/>
        <v>182810.53581837591</v>
      </c>
      <c r="F37" s="7">
        <f t="shared" si="29"/>
        <v>227087.34441451225</v>
      </c>
      <c r="G37" s="7">
        <f t="shared" si="29"/>
        <v>300876.0459167849</v>
      </c>
      <c r="H37" s="27">
        <f t="shared" si="29"/>
        <v>489321.11034575739</v>
      </c>
      <c r="I37" s="27">
        <f t="shared" si="29"/>
        <v>633548.24033693725</v>
      </c>
      <c r="J37" s="27">
        <f t="shared" si="29"/>
        <v>873933.663111437</v>
      </c>
      <c r="K37" s="27">
        <f t="shared" si="29"/>
        <v>1263791.6327680626</v>
      </c>
      <c r="L37" s="27">
        <f t="shared" si="29"/>
        <v>1786985.843522582</v>
      </c>
    </row>
    <row r="38" spans="2:12" x14ac:dyDescent="0.25">
      <c r="B38" s="19" t="s">
        <v>219</v>
      </c>
      <c r="C38" s="20">
        <f>C37/Balance_Sheet!C74</f>
        <v>0.99999999999999989</v>
      </c>
      <c r="D38" s="20">
        <f>D37/Balance_Sheet!D74</f>
        <v>1</v>
      </c>
      <c r="E38" s="20">
        <f>E37/Balance_Sheet!E74</f>
        <v>1.0000000000000002</v>
      </c>
      <c r="F38" s="20">
        <f>F37/Balance_Sheet!F74</f>
        <v>1.0000000000000002</v>
      </c>
      <c r="G38" s="20">
        <f>G37/Balance_Sheet!G74</f>
        <v>1</v>
      </c>
      <c r="H38" s="28">
        <f>H37/Balance_Sheet!H74</f>
        <v>1</v>
      </c>
      <c r="I38" s="28">
        <f>I37/Balance_Sheet!I74</f>
        <v>1</v>
      </c>
      <c r="J38" s="28">
        <f>J37/Balance_Sheet!J74</f>
        <v>1</v>
      </c>
      <c r="K38" s="28">
        <f>K37/Balance_Sheet!K74</f>
        <v>1</v>
      </c>
      <c r="L38" s="28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29416.84</v>
      </c>
      <c r="D40" s="5">
        <v>31287.77</v>
      </c>
      <c r="E40" s="5">
        <v>36349.26</v>
      </c>
      <c r="F40" s="5">
        <v>38859.660000000003</v>
      </c>
      <c r="G40" s="5">
        <v>60062.46</v>
      </c>
      <c r="H40" s="24">
        <f>ROUND(H74*H41,2)</f>
        <v>97680.86</v>
      </c>
      <c r="I40" s="24">
        <f t="shared" ref="I40:L40" si="30">ROUND(I74*I41,2)</f>
        <v>126472.23</v>
      </c>
      <c r="J40" s="24">
        <f t="shared" si="30"/>
        <v>174459.24</v>
      </c>
      <c r="K40" s="24">
        <f t="shared" si="30"/>
        <v>252284.74</v>
      </c>
      <c r="L40" s="24">
        <f t="shared" si="30"/>
        <v>356727.52</v>
      </c>
    </row>
    <row r="41" spans="2:12" x14ac:dyDescent="0.25">
      <c r="B41" s="17" t="s">
        <v>220</v>
      </c>
      <c r="C41" s="18">
        <f>C40/Balance_Sheet!C74</f>
        <v>0.47961608331020866</v>
      </c>
      <c r="D41" s="18">
        <f>D40/Balance_Sheet!D74</f>
        <v>0.2570722810684013</v>
      </c>
      <c r="E41" s="18">
        <f>E40/Balance_Sheet!E74</f>
        <v>0.19883569531306095</v>
      </c>
      <c r="F41" s="18">
        <f>F40/Balance_Sheet!F74</f>
        <v>0.17112208564589934</v>
      </c>
      <c r="G41" s="18">
        <f>G40/Balance_Sheet!G74</f>
        <v>0.1996252636762311</v>
      </c>
      <c r="H41" s="25">
        <f>G41</f>
        <v>0.1996252636762311</v>
      </c>
      <c r="I41" s="25">
        <f t="shared" ref="I41:L41" si="31">H41</f>
        <v>0.1996252636762311</v>
      </c>
      <c r="J41" s="25">
        <f t="shared" si="31"/>
        <v>0.1996252636762311</v>
      </c>
      <c r="K41" s="25">
        <f t="shared" si="31"/>
        <v>0.1996252636762311</v>
      </c>
      <c r="L41" s="25">
        <f t="shared" si="31"/>
        <v>0.1996252636762311</v>
      </c>
    </row>
    <row r="42" spans="2:12" ht="18.75" x14ac:dyDescent="0.25">
      <c r="B42" s="8" t="s">
        <v>27</v>
      </c>
      <c r="C42" s="4">
        <v>1063.45</v>
      </c>
      <c r="D42" s="5">
        <v>1412.51</v>
      </c>
      <c r="E42" s="5">
        <v>1880.36</v>
      </c>
      <c r="F42" s="5">
        <v>2300.6799999999998</v>
      </c>
      <c r="G42" s="5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1.7338630654966387E-2</v>
      </c>
      <c r="D43" s="18">
        <f>D42/Balance_Sheet!D74</f>
        <v>1.1605722227308865E-2</v>
      </c>
      <c r="E43" s="18">
        <f>E42/Balance_Sheet!E74</f>
        <v>1.0285840428082092E-2</v>
      </c>
      <c r="F43" s="18">
        <f>F42/Balance_Sheet!F74</f>
        <v>1.013125590918211E-2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1666.64</v>
      </c>
      <c r="E44" s="5">
        <f>Income_Statement!E31+D44</f>
        <v>3746.8</v>
      </c>
      <c r="F44" s="5">
        <f>Income_Statement!F31+E44</f>
        <v>5920.6200000000008</v>
      </c>
      <c r="G44" s="5">
        <f>Income_Statement!G31+F44</f>
        <v>8340.7900000000009</v>
      </c>
      <c r="H44" s="24">
        <f>Income_Statement!H31+G44</f>
        <v>13544.063627695425</v>
      </c>
      <c r="I44" s="24">
        <f>Income_Statement!I31+H44</f>
        <v>20280.998775428867</v>
      </c>
      <c r="J44" s="24">
        <f>Income_Statement!J31+I44</f>
        <v>29574.110676775621</v>
      </c>
      <c r="K44" s="24">
        <f>Income_Statement!K31+J44</f>
        <v>43012.838942599614</v>
      </c>
      <c r="L44" s="24">
        <f>Income_Statement!L31+K44</f>
        <v>62015.035453658093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1.369375147285474E-2</v>
      </c>
      <c r="E45" s="18">
        <f>E44/Balance_Sheet!E74</f>
        <v>2.0495536448306699E-2</v>
      </c>
      <c r="F45" s="18">
        <f>F44/Balance_Sheet!F74</f>
        <v>2.6071994523802437E-2</v>
      </c>
      <c r="G45" s="18">
        <f>G44/Balance_Sheet!G74</f>
        <v>2.7721681779568665E-2</v>
      </c>
      <c r="H45" s="25">
        <f>H44/Balance_Sheet!H74</f>
        <v>2.767929554096921E-2</v>
      </c>
      <c r="I45" s="25">
        <f>I44/Balance_Sheet!I74</f>
        <v>3.2011767193359908E-2</v>
      </c>
      <c r="J45" s="25">
        <f>J44/Balance_Sheet!J74</f>
        <v>3.3840223720738596E-2</v>
      </c>
      <c r="K45" s="25">
        <f>K44/Balance_Sheet!K74</f>
        <v>3.4034755277172771E-2</v>
      </c>
      <c r="L45" s="25">
        <f>L44/Balance_Sheet!L74</f>
        <v>3.4703708302138217E-2</v>
      </c>
    </row>
    <row r="46" spans="2:12" ht="18.75" x14ac:dyDescent="0.25">
      <c r="B46" s="9" t="s">
        <v>126</v>
      </c>
      <c r="C46" s="7">
        <f>C40+C42-C44</f>
        <v>30480.29</v>
      </c>
      <c r="D46" s="7">
        <f t="shared" ref="D46:L46" si="34">D40+D42-D44</f>
        <v>31033.64</v>
      </c>
      <c r="E46" s="7">
        <f t="shared" si="34"/>
        <v>34482.82</v>
      </c>
      <c r="F46" s="7">
        <f t="shared" si="34"/>
        <v>35239.72</v>
      </c>
      <c r="G46" s="7">
        <f t="shared" si="34"/>
        <v>51721.67</v>
      </c>
      <c r="H46" s="27">
        <f t="shared" si="34"/>
        <v>84136.796372304583</v>
      </c>
      <c r="I46" s="27">
        <f t="shared" si="34"/>
        <v>106191.23122457112</v>
      </c>
      <c r="J46" s="27">
        <f t="shared" si="34"/>
        <v>144885.12932322436</v>
      </c>
      <c r="K46" s="27">
        <f t="shared" si="34"/>
        <v>209271.90105740039</v>
      </c>
      <c r="L46" s="27">
        <f t="shared" si="34"/>
        <v>294712.48454634193</v>
      </c>
    </row>
    <row r="47" spans="2:12" x14ac:dyDescent="0.25">
      <c r="B47" s="19" t="s">
        <v>223</v>
      </c>
      <c r="C47" s="20">
        <f>C46/Balance_Sheet!C74</f>
        <v>0.49695471396517504</v>
      </c>
      <c r="D47" s="20">
        <f>D46/Balance_Sheet!D74</f>
        <v>0.25498425182285539</v>
      </c>
      <c r="E47" s="20">
        <f>E46/Balance_Sheet!E74</f>
        <v>0.18862599929283633</v>
      </c>
      <c r="F47" s="20">
        <f>F46/Balance_Sheet!F74</f>
        <v>0.155181347031279</v>
      </c>
      <c r="G47" s="20">
        <f>G46/Balance_Sheet!G74</f>
        <v>0.17190358189666244</v>
      </c>
      <c r="H47" s="28">
        <f>H46/Balance_Sheet!H74</f>
        <v>0.1719459769737974</v>
      </c>
      <c r="I47" s="28">
        <f>I46/Balance_Sheet!I74</f>
        <v>0.1676134893344442</v>
      </c>
      <c r="J47" s="28">
        <f>J46/Balance_Sheet!J74</f>
        <v>0.1657850423193388</v>
      </c>
      <c r="K47" s="28">
        <f>K46/Balance_Sheet!K74</f>
        <v>0.16559051004241537</v>
      </c>
      <c r="L47" s="28">
        <f>L46/Balance_Sheet!L74</f>
        <v>0.16492155526279506</v>
      </c>
    </row>
    <row r="48" spans="2:12" ht="18.75" x14ac:dyDescent="0.25">
      <c r="B48" s="8" t="s">
        <v>30</v>
      </c>
      <c r="C48" s="5">
        <v>10070.4</v>
      </c>
      <c r="D48" s="5">
        <v>10625.72</v>
      </c>
      <c r="E48" s="5">
        <v>9892.9500000000007</v>
      </c>
      <c r="F48" s="5">
        <v>12589.26</v>
      </c>
      <c r="G48" s="5">
        <v>16408.150000000001</v>
      </c>
      <c r="H48" s="24">
        <f>H74*H49</f>
        <v>27126.966046980455</v>
      </c>
      <c r="I48" s="24">
        <f t="shared" ref="I48:L48" si="35">I74*I49</f>
        <v>35122.624471689771</v>
      </c>
      <c r="J48" s="24">
        <f t="shared" si="35"/>
        <v>48449.102859644809</v>
      </c>
      <c r="K48" s="24">
        <f t="shared" si="35"/>
        <v>70062.034904508328</v>
      </c>
      <c r="L48" s="24">
        <f t="shared" si="35"/>
        <v>99066.856668862529</v>
      </c>
    </row>
    <row r="49" spans="2:12" x14ac:dyDescent="0.25">
      <c r="B49" s="17" t="s">
        <v>224</v>
      </c>
      <c r="C49" s="18">
        <f>C48/Balance_Sheet!C74</f>
        <v>0.16418914490363767</v>
      </c>
      <c r="D49" s="18">
        <f>D48/Balance_Sheet!D74</f>
        <v>8.7304978219736748E-2</v>
      </c>
      <c r="E49" s="18">
        <f>E48/Balance_Sheet!E74</f>
        <v>5.4115863485180889E-2</v>
      </c>
      <c r="F49" s="18">
        <f>F48/Balance_Sheet!F74</f>
        <v>5.5437963892079722E-2</v>
      </c>
      <c r="G49" s="18">
        <f>G48/Balance_Sheet!G74</f>
        <v>5.4534584001207267E-2</v>
      </c>
      <c r="H49" s="25">
        <f>MEDIAN(C49:G49)</f>
        <v>5.5437963892079722E-2</v>
      </c>
      <c r="I49" s="25">
        <f t="shared" ref="I49:L49" si="36">H49</f>
        <v>5.5437963892079722E-2</v>
      </c>
      <c r="J49" s="25">
        <f t="shared" si="36"/>
        <v>5.5437963892079722E-2</v>
      </c>
      <c r="K49" s="25">
        <f t="shared" si="36"/>
        <v>5.5437963892079722E-2</v>
      </c>
      <c r="L49" s="25">
        <f t="shared" si="36"/>
        <v>5.5437963892079722E-2</v>
      </c>
    </row>
    <row r="50" spans="2:12" ht="18.75" x14ac:dyDescent="0.25">
      <c r="B50" s="8" t="s">
        <v>36</v>
      </c>
      <c r="C50" s="4">
        <v>381.47</v>
      </c>
      <c r="D50" s="4">
        <v>0</v>
      </c>
      <c r="E50" s="4">
        <v>0</v>
      </c>
      <c r="F50" s="4">
        <v>468.48</v>
      </c>
      <c r="G50" s="4">
        <v>0</v>
      </c>
      <c r="H50" s="26">
        <f>H74*H51</f>
        <v>0</v>
      </c>
      <c r="I50" s="26">
        <f t="shared" ref="I50:L50" si="37">I74*I51</f>
        <v>0</v>
      </c>
      <c r="J50" s="26">
        <f t="shared" si="37"/>
        <v>0</v>
      </c>
      <c r="K50" s="26">
        <f t="shared" si="37"/>
        <v>0</v>
      </c>
      <c r="L50" s="26">
        <f t="shared" si="37"/>
        <v>0</v>
      </c>
    </row>
    <row r="51" spans="2:12" x14ac:dyDescent="0.25">
      <c r="B51" s="17" t="s">
        <v>225</v>
      </c>
      <c r="C51" s="18">
        <f>C50/Balance_Sheet!C74</f>
        <v>6.2195377647750504E-3</v>
      </c>
      <c r="D51" s="18">
        <f>D50/Balance_Sheet!D74</f>
        <v>0</v>
      </c>
      <c r="E51" s="18">
        <f>E50/Balance_Sheet!E74</f>
        <v>0</v>
      </c>
      <c r="F51" s="18">
        <f>F50/Balance_Sheet!F74</f>
        <v>2.0629947530006933E-3</v>
      </c>
      <c r="G51" s="18">
        <f>G50/Balance_Sheet!G74</f>
        <v>0</v>
      </c>
      <c r="H51" s="25">
        <f>MEDIAN(C51:G51)</f>
        <v>0</v>
      </c>
      <c r="I51" s="25">
        <f t="shared" ref="I51:L51" si="38">H51</f>
        <v>0</v>
      </c>
      <c r="J51" s="25">
        <f t="shared" si="38"/>
        <v>0</v>
      </c>
      <c r="K51" s="25">
        <f t="shared" si="38"/>
        <v>0</v>
      </c>
      <c r="L51" s="25">
        <f t="shared" si="38"/>
        <v>0</v>
      </c>
    </row>
    <row r="52" spans="2:12" ht="18.75" x14ac:dyDescent="0.25">
      <c r="B52" s="8" t="s">
        <v>28</v>
      </c>
      <c r="C52" s="4">
        <v>5938.39</v>
      </c>
      <c r="D52" s="5">
        <v>9737.5</v>
      </c>
      <c r="E52" s="5">
        <v>11666.31</v>
      </c>
      <c r="F52" s="5">
        <v>13399.66</v>
      </c>
      <c r="G52" s="5">
        <v>0</v>
      </c>
      <c r="H52" s="24">
        <f>H74*H53</f>
        <v>31226.710962158861</v>
      </c>
      <c r="I52" s="24">
        <f t="shared" ref="I52:L52" si="39">I74*I53</f>
        <v>40430.766961201938</v>
      </c>
      <c r="J52" s="24">
        <f t="shared" si="39"/>
        <v>55771.298889594647</v>
      </c>
      <c r="K52" s="24">
        <f t="shared" si="39"/>
        <v>80650.630431533107</v>
      </c>
      <c r="L52" s="24">
        <f t="shared" si="39"/>
        <v>114039.00066710688</v>
      </c>
    </row>
    <row r="53" spans="2:12" x14ac:dyDescent="0.25">
      <c r="B53" s="17" t="s">
        <v>226</v>
      </c>
      <c r="C53" s="18">
        <f>C52/Balance_Sheet!C74</f>
        <v>9.6820302689497248E-2</v>
      </c>
      <c r="D53" s="18">
        <f>D52/Balance_Sheet!D74</f>
        <v>8.0007023092523291E-2</v>
      </c>
      <c r="E53" s="18">
        <f>E52/Balance_Sheet!E74</f>
        <v>6.3816398479300984E-2</v>
      </c>
      <c r="F53" s="18">
        <f>F52/Balance_Sheet!F74</f>
        <v>5.9006634801898203E-2</v>
      </c>
      <c r="G53" s="18">
        <f>G52/Balance_Sheet!G74</f>
        <v>0</v>
      </c>
      <c r="H53" s="25">
        <f>MEDIAN(C53:G53)</f>
        <v>6.3816398479300984E-2</v>
      </c>
      <c r="I53" s="25">
        <f t="shared" ref="I53:L53" si="40">H53</f>
        <v>6.3816398479300984E-2</v>
      </c>
      <c r="J53" s="25">
        <f t="shared" si="40"/>
        <v>6.3816398479300984E-2</v>
      </c>
      <c r="K53" s="25">
        <f t="shared" si="40"/>
        <v>6.3816398479300984E-2</v>
      </c>
      <c r="L53" s="25">
        <f t="shared" si="40"/>
        <v>6.3816398479300984E-2</v>
      </c>
    </row>
    <row r="54" spans="2:12" ht="18.75" x14ac:dyDescent="0.25">
      <c r="B54" s="9" t="s">
        <v>127</v>
      </c>
      <c r="C54" s="7">
        <f>C46+C48+C50+C52</f>
        <v>46870.55</v>
      </c>
      <c r="D54" s="7">
        <f t="shared" ref="D54:L54" si="41">D46+D48+D50+D52</f>
        <v>51396.86</v>
      </c>
      <c r="E54" s="7">
        <f t="shared" si="41"/>
        <v>56042.080000000002</v>
      </c>
      <c r="F54" s="7">
        <f t="shared" si="41"/>
        <v>61697.12000000001</v>
      </c>
      <c r="G54" s="7">
        <f t="shared" si="41"/>
        <v>68129.820000000007</v>
      </c>
      <c r="H54" s="27">
        <f t="shared" si="41"/>
        <v>142490.47338144388</v>
      </c>
      <c r="I54" s="27">
        <f t="shared" si="41"/>
        <v>181744.62265746284</v>
      </c>
      <c r="J54" s="27">
        <f t="shared" si="41"/>
        <v>249105.53107246381</v>
      </c>
      <c r="K54" s="27">
        <f t="shared" si="41"/>
        <v>359984.56639344181</v>
      </c>
      <c r="L54" s="27">
        <f t="shared" si="41"/>
        <v>507818.34188231133</v>
      </c>
    </row>
    <row r="55" spans="2:12" x14ac:dyDescent="0.25">
      <c r="B55" s="19" t="s">
        <v>227</v>
      </c>
      <c r="C55" s="20">
        <f>C54/Balance_Sheet!C74</f>
        <v>0.76418369932308505</v>
      </c>
      <c r="D55" s="20">
        <f>D54/Balance_Sheet!D74</f>
        <v>0.42229625313511543</v>
      </c>
      <c r="E55" s="20">
        <f>E54/Balance_Sheet!E74</f>
        <v>0.30655826125731822</v>
      </c>
      <c r="F55" s="20">
        <f>F54/Balance_Sheet!F74</f>
        <v>0.27168894047825765</v>
      </c>
      <c r="G55" s="20">
        <f>G54/Balance_Sheet!G74</f>
        <v>0.22643816589786972</v>
      </c>
      <c r="H55" s="28">
        <f>H54/Balance_Sheet!H74</f>
        <v>0.29120033934517808</v>
      </c>
      <c r="I55" s="28">
        <f>I54/Balance_Sheet!I74</f>
        <v>0.28686785170582491</v>
      </c>
      <c r="J55" s="28">
        <f>J54/Balance_Sheet!J74</f>
        <v>0.28503940469071948</v>
      </c>
      <c r="K55" s="28">
        <f>K54/Balance_Sheet!K74</f>
        <v>0.28484487241379608</v>
      </c>
      <c r="L55" s="28">
        <f>L54/Balance_Sheet!L74</f>
        <v>0.28417591763417577</v>
      </c>
    </row>
    <row r="56" spans="2:12" ht="18.75" x14ac:dyDescent="0.25">
      <c r="B56" s="8" t="s">
        <v>31</v>
      </c>
      <c r="C56" s="4">
        <v>0</v>
      </c>
      <c r="D56" s="4">
        <v>0</v>
      </c>
      <c r="E56" s="4">
        <v>0</v>
      </c>
      <c r="F56" s="4">
        <v>0</v>
      </c>
      <c r="G56" s="4">
        <v>432.04</v>
      </c>
      <c r="H56" s="26">
        <f>H74*H57</f>
        <v>0</v>
      </c>
      <c r="I56" s="26">
        <f t="shared" ref="I56:L56" si="42">I74*I57</f>
        <v>0</v>
      </c>
      <c r="J56" s="26">
        <f t="shared" si="42"/>
        <v>0</v>
      </c>
      <c r="K56" s="26">
        <f t="shared" si="42"/>
        <v>0</v>
      </c>
      <c r="L56" s="26">
        <f t="shared" si="42"/>
        <v>0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0</v>
      </c>
      <c r="E57" s="18">
        <f>E56/Balance_Sheet!E74</f>
        <v>0</v>
      </c>
      <c r="F57" s="18">
        <f>F56/Balance_Sheet!F74</f>
        <v>0</v>
      </c>
      <c r="G57" s="18">
        <f>G56/Balance_Sheet!G74</f>
        <v>1.4359401682628198E-3</v>
      </c>
      <c r="H57" s="25">
        <f>MEDIAN(C57:G57)</f>
        <v>0</v>
      </c>
      <c r="I57" s="25">
        <f t="shared" ref="I57:L57" si="43">H57</f>
        <v>0</v>
      </c>
      <c r="J57" s="25">
        <f t="shared" si="43"/>
        <v>0</v>
      </c>
      <c r="K57" s="25">
        <f t="shared" si="43"/>
        <v>0</v>
      </c>
      <c r="L57" s="25">
        <f t="shared" si="43"/>
        <v>0</v>
      </c>
    </row>
    <row r="58" spans="2:12" ht="18.75" x14ac:dyDescent="0.25">
      <c r="B58" s="8" t="s">
        <v>32</v>
      </c>
      <c r="C58" s="4">
        <v>550.05999999999995</v>
      </c>
      <c r="D58" s="4">
        <v>669.29</v>
      </c>
      <c r="E58" s="4">
        <v>556.12</v>
      </c>
      <c r="F58" s="4">
        <v>390.36</v>
      </c>
      <c r="G58" s="4">
        <v>285.37</v>
      </c>
      <c r="H58" s="26">
        <f>ROUND(H74*H59,2)</f>
        <v>464.1</v>
      </c>
      <c r="I58" s="26">
        <f t="shared" ref="I58:L58" si="44">ROUND(I74*I59,2)</f>
        <v>600.9</v>
      </c>
      <c r="J58" s="26">
        <f t="shared" si="44"/>
        <v>828.89</v>
      </c>
      <c r="K58" s="26">
        <f t="shared" si="44"/>
        <v>1198.6600000000001</v>
      </c>
      <c r="L58" s="26">
        <f t="shared" si="44"/>
        <v>1694.89</v>
      </c>
    </row>
    <row r="59" spans="2:12" x14ac:dyDescent="0.25">
      <c r="B59" s="17" t="s">
        <v>229</v>
      </c>
      <c r="C59" s="18">
        <f>C58/Balance_Sheet!C74</f>
        <v>8.9682516132124773E-3</v>
      </c>
      <c r="D59" s="18">
        <f>D58/Balance_Sheet!D74</f>
        <v>5.4991425402408124E-3</v>
      </c>
      <c r="E59" s="18">
        <f>E58/Balance_Sheet!E74</f>
        <v>3.0420566162144553E-3</v>
      </c>
      <c r="F59" s="18">
        <f>F58/Balance_Sheet!F74</f>
        <v>1.7189861504895633E-3</v>
      </c>
      <c r="G59" s="18">
        <f>G58/Balance_Sheet!G74</f>
        <v>9.4846367423655426E-4</v>
      </c>
      <c r="H59" s="25">
        <f>G59</f>
        <v>9.4846367423655426E-4</v>
      </c>
      <c r="I59" s="25">
        <f t="shared" ref="I59:L59" si="45">H59</f>
        <v>9.4846367423655426E-4</v>
      </c>
      <c r="J59" s="25">
        <f t="shared" si="45"/>
        <v>9.4846367423655426E-4</v>
      </c>
      <c r="K59" s="25">
        <f t="shared" si="45"/>
        <v>9.4846367423655426E-4</v>
      </c>
      <c r="L59" s="25">
        <f t="shared" si="45"/>
        <v>9.4846367423655426E-4</v>
      </c>
    </row>
    <row r="60" spans="2:12" ht="18.75" x14ac:dyDescent="0.25">
      <c r="B60" s="8" t="s">
        <v>33</v>
      </c>
      <c r="C60" s="5">
        <v>3406.58</v>
      </c>
      <c r="D60" s="5">
        <v>3625.98</v>
      </c>
      <c r="E60" s="5">
        <v>2574.75</v>
      </c>
      <c r="F60" s="5">
        <v>2978.11</v>
      </c>
      <c r="G60" s="5">
        <v>3064.23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5.5541334728097594E-2</v>
      </c>
      <c r="D61" s="18">
        <f>D60/Balance_Sheet!D74</f>
        <v>2.979243805833403E-2</v>
      </c>
      <c r="E61" s="18">
        <f>E60/Balance_Sheet!E74</f>
        <v>1.4084253888725758E-2</v>
      </c>
      <c r="F61" s="18">
        <f>F60/Balance_Sheet!F74</f>
        <v>1.3114381198469294E-2</v>
      </c>
      <c r="G61" s="18">
        <f>G60/Balance_Sheet!G74</f>
        <v>1.0184360109702759E-2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693.59</v>
      </c>
      <c r="D62" s="4">
        <v>824</v>
      </c>
      <c r="E62" s="5">
        <v>1069.98</v>
      </c>
      <c r="F62" s="4">
        <v>685.67</v>
      </c>
      <c r="G62" s="4">
        <v>99.54</v>
      </c>
      <c r="H62" s="26">
        <f>ROUND(H74*H63,2)</f>
        <v>161.88</v>
      </c>
      <c r="I62" s="26">
        <f t="shared" ref="I62:L62" si="46">ROUND(I74*I63,2)</f>
        <v>209.6</v>
      </c>
      <c r="J62" s="26">
        <f t="shared" si="46"/>
        <v>289.13</v>
      </c>
      <c r="K62" s="26">
        <f t="shared" si="46"/>
        <v>418.11</v>
      </c>
      <c r="L62" s="26">
        <f t="shared" si="46"/>
        <v>591.20000000000005</v>
      </c>
    </row>
    <row r="63" spans="2:12" x14ac:dyDescent="0.25">
      <c r="B63" s="17" t="s">
        <v>231</v>
      </c>
      <c r="C63" s="18">
        <f>C62/Balance_Sheet!C74</f>
        <v>1.1308383878864202E-2</v>
      </c>
      <c r="D63" s="18">
        <f>D62/Balance_Sheet!D74</f>
        <v>6.7702990529642298E-3</v>
      </c>
      <c r="E63" s="18">
        <f>E62/Balance_Sheet!E74</f>
        <v>5.8529449367351345E-3</v>
      </c>
      <c r="F63" s="18">
        <f>F62/Balance_Sheet!F74</f>
        <v>3.0194108868894834E-3</v>
      </c>
      <c r="G63" s="18">
        <f>G62/Balance_Sheet!G74</f>
        <v>3.3083391433404565E-4</v>
      </c>
      <c r="H63" s="25">
        <f>G63</f>
        <v>3.3083391433404565E-4</v>
      </c>
      <c r="I63" s="25">
        <f t="shared" ref="I63:L63" si="47">H63</f>
        <v>3.3083391433404565E-4</v>
      </c>
      <c r="J63" s="25">
        <f t="shared" si="47"/>
        <v>3.3083391433404565E-4</v>
      </c>
      <c r="K63" s="25">
        <f t="shared" si="47"/>
        <v>3.3083391433404565E-4</v>
      </c>
      <c r="L63" s="25">
        <f t="shared" si="47"/>
        <v>3.3083391433404565E-4</v>
      </c>
    </row>
    <row r="64" spans="2:12" ht="18.75" x14ac:dyDescent="0.25">
      <c r="B64" s="8" t="s">
        <v>41</v>
      </c>
      <c r="C64" s="5">
        <v>1592.75</v>
      </c>
      <c r="D64" s="5">
        <v>1933.5</v>
      </c>
      <c r="E64" s="5">
        <v>1672.96</v>
      </c>
      <c r="F64" s="5">
        <v>1197.21</v>
      </c>
      <c r="G64" s="5">
        <v>2380.44</v>
      </c>
      <c r="H64" s="24">
        <f>H74*H65</f>
        <v>4477.9401859931113</v>
      </c>
      <c r="I64" s="24">
        <f t="shared" ref="I64:L64" si="48">I74*I65</f>
        <v>5797.8106098168482</v>
      </c>
      <c r="J64" s="24">
        <f t="shared" si="48"/>
        <v>7997.6575447023324</v>
      </c>
      <c r="K64" s="24">
        <f t="shared" si="48"/>
        <v>11565.377457545499</v>
      </c>
      <c r="L64" s="24">
        <f t="shared" si="48"/>
        <v>16353.301648596955</v>
      </c>
    </row>
    <row r="65" spans="2:12" x14ac:dyDescent="0.25">
      <c r="B65" s="17" t="s">
        <v>232</v>
      </c>
      <c r="C65" s="18">
        <f>C64/Balance_Sheet!C74</f>
        <v>2.5968408458975703E-2</v>
      </c>
      <c r="D65" s="18">
        <f>D64/Balance_Sheet!D74</f>
        <v>1.5886375265663034E-2</v>
      </c>
      <c r="E65" s="18">
        <f>E64/Balance_Sheet!E74</f>
        <v>9.15133251215949E-3</v>
      </c>
      <c r="F65" s="18">
        <f>F64/Balance_Sheet!F74</f>
        <v>5.2720243089138495E-3</v>
      </c>
      <c r="G65" s="18">
        <f>G64/Balance_Sheet!G74</f>
        <v>7.9116966348938677E-3</v>
      </c>
      <c r="H65" s="25">
        <f>MEDIAN(C65:G65)</f>
        <v>9.15133251215949E-3</v>
      </c>
      <c r="I65" s="25">
        <f t="shared" ref="I65:L65" si="49">H65</f>
        <v>9.15133251215949E-3</v>
      </c>
      <c r="J65" s="25">
        <f t="shared" si="49"/>
        <v>9.15133251215949E-3</v>
      </c>
      <c r="K65" s="25">
        <f t="shared" si="49"/>
        <v>9.15133251215949E-3</v>
      </c>
      <c r="L65" s="25">
        <f t="shared" si="49"/>
        <v>9.15133251215949E-3</v>
      </c>
    </row>
    <row r="66" spans="2:12" ht="18.75" x14ac:dyDescent="0.25">
      <c r="B66" s="8" t="s">
        <v>37</v>
      </c>
      <c r="C66" s="5">
        <v>1932.51</v>
      </c>
      <c r="D66" s="5">
        <v>2502.64</v>
      </c>
      <c r="E66" s="5">
        <v>3183.01</v>
      </c>
      <c r="F66" s="5">
        <v>2989.73</v>
      </c>
      <c r="G66" s="5">
        <v>3576.61</v>
      </c>
      <c r="H66" s="24">
        <f>H74*H67</f>
        <v>8519.8261712282019</v>
      </c>
      <c r="I66" s="24">
        <f t="shared" ref="I66:L66" si="50">I74*I67</f>
        <v>11031.040281389349</v>
      </c>
      <c r="J66" s="24">
        <f t="shared" si="50"/>
        <v>15216.516797390834</v>
      </c>
      <c r="K66" s="24">
        <f t="shared" si="50"/>
        <v>22004.538124726172</v>
      </c>
      <c r="L66" s="24">
        <f t="shared" si="50"/>
        <v>31114.146590773595</v>
      </c>
    </row>
    <row r="67" spans="2:12" x14ac:dyDescent="0.25">
      <c r="B67" s="17" t="s">
        <v>233</v>
      </c>
      <c r="C67" s="18">
        <f>C66/Balance_Sheet!C74</f>
        <v>3.1507900820000087E-2</v>
      </c>
      <c r="D67" s="18">
        <f>D66/Balance_Sheet!D74</f>
        <v>2.0562647113968931E-2</v>
      </c>
      <c r="E67" s="18">
        <f>E66/Balance_Sheet!E74</f>
        <v>1.7411523825751229E-2</v>
      </c>
      <c r="F67" s="18">
        <f>F66/Balance_Sheet!F74</f>
        <v>1.3165550936835645E-2</v>
      </c>
      <c r="G67" s="18">
        <f>G66/Balance_Sheet!G74</f>
        <v>1.1887320537937422E-2</v>
      </c>
      <c r="H67" s="25">
        <f>MEDIAN(C67:G67)</f>
        <v>1.7411523825751229E-2</v>
      </c>
      <c r="I67" s="25">
        <f t="shared" ref="I67:L67" si="51">H67</f>
        <v>1.7411523825751229E-2</v>
      </c>
      <c r="J67" s="25">
        <f t="shared" si="51"/>
        <v>1.7411523825751229E-2</v>
      </c>
      <c r="K67" s="25">
        <f t="shared" si="51"/>
        <v>1.7411523825751229E-2</v>
      </c>
      <c r="L67" s="25">
        <f t="shared" si="51"/>
        <v>1.7411523825751229E-2</v>
      </c>
    </row>
    <row r="68" spans="2:12" ht="18.75" x14ac:dyDescent="0.25">
      <c r="B68" s="8" t="s">
        <v>38</v>
      </c>
      <c r="C68" s="5">
        <v>3429.56</v>
      </c>
      <c r="D68" s="5">
        <v>4363.3900000000003</v>
      </c>
      <c r="E68" s="5">
        <v>4818.3100000000004</v>
      </c>
      <c r="F68" s="5">
        <v>3501.5</v>
      </c>
      <c r="G68" s="5">
        <v>7446.53</v>
      </c>
      <c r="H68" s="24">
        <f>H69*H74</f>
        <v>6732.7331626474979</v>
      </c>
      <c r="I68" s="24">
        <f t="shared" ref="I68:L68" si="52">I69*I74</f>
        <v>8717.2025846982724</v>
      </c>
      <c r="J68" s="24">
        <f t="shared" si="52"/>
        <v>12024.746186459712</v>
      </c>
      <c r="K68" s="24">
        <f t="shared" si="52"/>
        <v>17388.932659377013</v>
      </c>
      <c r="L68" s="24">
        <f t="shared" si="52"/>
        <v>24587.737163771064</v>
      </c>
    </row>
    <row r="69" spans="2:12" x14ac:dyDescent="0.25">
      <c r="B69" s="17" t="s">
        <v>234</v>
      </c>
      <c r="C69" s="18">
        <f>C68/Balance_Sheet!C74</f>
        <v>5.5916003713429419E-2</v>
      </c>
      <c r="D69" s="18">
        <f>D68/Balance_Sheet!D74</f>
        <v>3.5851280563972812E-2</v>
      </c>
      <c r="E69" s="18">
        <f>E68/Balance_Sheet!E74</f>
        <v>2.6356850705733067E-2</v>
      </c>
      <c r="F69" s="18">
        <f>F68/Balance_Sheet!F74</f>
        <v>1.5419177185006676E-2</v>
      </c>
      <c r="G69" s="18">
        <f>G68/Balance_Sheet!G74</f>
        <v>2.4749494355092435E-2</v>
      </c>
      <c r="H69" s="25">
        <f>GROWTH(C69:G69,C4:G4,H4)</f>
        <v>1.3759335169271782E-2</v>
      </c>
      <c r="I69" s="25">
        <f t="shared" ref="I69:L69" si="53">H69</f>
        <v>1.3759335169271782E-2</v>
      </c>
      <c r="J69" s="25">
        <f t="shared" si="53"/>
        <v>1.3759335169271782E-2</v>
      </c>
      <c r="K69" s="25">
        <f t="shared" si="53"/>
        <v>1.3759335169271782E-2</v>
      </c>
      <c r="L69" s="25">
        <f t="shared" si="53"/>
        <v>1.3759335169271782E-2</v>
      </c>
    </row>
    <row r="70" spans="2:12" ht="18.75" x14ac:dyDescent="0.25">
      <c r="B70" s="8" t="s">
        <v>39</v>
      </c>
      <c r="C70" s="5">
        <v>2858.54</v>
      </c>
      <c r="D70" s="5">
        <f>CashFlow_Statement!D48+C70</f>
        <v>56392.405412447217</v>
      </c>
      <c r="E70" s="5">
        <f>CashFlow_Statement!E48+D70</f>
        <v>112893.32581837587</v>
      </c>
      <c r="F70" s="5">
        <f>CashFlow_Statement!F48+E70</f>
        <v>153647.64441451224</v>
      </c>
      <c r="G70" s="5">
        <f>CashFlow_Statement!G48+F70</f>
        <v>215461.46591678492</v>
      </c>
      <c r="H70" s="24">
        <f>CashFlow_Statement!H48+G70</f>
        <v>230331.51618978233</v>
      </c>
      <c r="I70" s="24">
        <f>CashFlow_Statement!I48+H70</f>
        <v>265334.89067092171</v>
      </c>
      <c r="J70" s="24">
        <f>CashFlow_Statement!J48+I70</f>
        <v>287200.89474040701</v>
      </c>
      <c r="K70" s="24">
        <f>CashFlow_Statement!K48+J70</f>
        <v>286468.66492700001</v>
      </c>
      <c r="L70" s="24">
        <f>CashFlow_Statement!L48+K70</f>
        <v>254286.89391795802</v>
      </c>
    </row>
    <row r="71" spans="2:12" x14ac:dyDescent="0.25">
      <c r="B71" s="17" t="s">
        <v>235</v>
      </c>
      <c r="C71" s="18">
        <f>C70/Balance_Sheet!C74</f>
        <v>4.6606017464335521E-2</v>
      </c>
      <c r="D71" s="18">
        <f>D70/Balance_Sheet!D74</f>
        <v>0.46334156426974066</v>
      </c>
      <c r="E71" s="18">
        <f>E70/Balance_Sheet!E74</f>
        <v>0.61754277625736265</v>
      </c>
      <c r="F71" s="18">
        <f>F70/Balance_Sheet!F74</f>
        <v>0.67660152885513791</v>
      </c>
      <c r="G71" s="18">
        <f>G70/Balance_Sheet!G74</f>
        <v>0.71611372470767043</v>
      </c>
      <c r="H71" s="25">
        <f>H70/Balance_Sheet!H74</f>
        <v>0.47071649131799898</v>
      </c>
      <c r="I71" s="25">
        <f>I70/Balance_Sheet!I74</f>
        <v>0.41880771467348687</v>
      </c>
      <c r="J71" s="25">
        <f>J70/Balance_Sheet!J74</f>
        <v>0.32863008585559594</v>
      </c>
      <c r="K71" s="25">
        <f>K70/Balance_Sheet!K74</f>
        <v>0.22667396863480752</v>
      </c>
      <c r="L71" s="25">
        <f>L70/Balance_Sheet!L74</f>
        <v>0.14229933317026</v>
      </c>
    </row>
    <row r="72" spans="2:12" ht="18.75" x14ac:dyDescent="0.25">
      <c r="B72" s="9" t="s">
        <v>42</v>
      </c>
      <c r="C72" s="7">
        <f>C56+C58+C60+C62+C64+C66+C68+C70</f>
        <v>14463.59</v>
      </c>
      <c r="D72" s="7">
        <f t="shared" ref="D72:L72" si="54">D56+D58+D60+D62+D64+D66+D68+D70</f>
        <v>70311.20541244722</v>
      </c>
      <c r="E72" s="7">
        <f t="shared" si="54"/>
        <v>126768.45581837588</v>
      </c>
      <c r="F72" s="7">
        <f t="shared" si="54"/>
        <v>165390.22441451222</v>
      </c>
      <c r="G72" s="7">
        <f t="shared" si="54"/>
        <v>232746.22591678493</v>
      </c>
      <c r="H72" s="27">
        <f t="shared" si="54"/>
        <v>250687.99570965115</v>
      </c>
      <c r="I72" s="27">
        <f t="shared" si="54"/>
        <v>291691.44414682616</v>
      </c>
      <c r="J72" s="27">
        <f t="shared" si="54"/>
        <v>323557.83526895987</v>
      </c>
      <c r="K72" s="27">
        <f t="shared" si="54"/>
        <v>339044.28316864872</v>
      </c>
      <c r="L72" s="27">
        <f t="shared" si="54"/>
        <v>328628.16932109965</v>
      </c>
    </row>
    <row r="73" spans="2:12" x14ac:dyDescent="0.25">
      <c r="B73" s="19" t="s">
        <v>236</v>
      </c>
      <c r="C73" s="20">
        <f>C72/Balance_Sheet!C74</f>
        <v>0.235816300676915</v>
      </c>
      <c r="D73" s="20">
        <f>D72/Balance_Sheet!D74</f>
        <v>0.57770374686488457</v>
      </c>
      <c r="E73" s="20">
        <f>E72/Balance_Sheet!E74</f>
        <v>0.69344173874268178</v>
      </c>
      <c r="F73" s="20">
        <f>F72/Balance_Sheet!F74</f>
        <v>0.72831105952174235</v>
      </c>
      <c r="G73" s="20">
        <f>G72/Balance_Sheet!G74</f>
        <v>0.77356183410213042</v>
      </c>
      <c r="H73" s="28">
        <f>H72/Balance_Sheet!H74</f>
        <v>0.51231796546139896</v>
      </c>
      <c r="I73" s="28">
        <f>I72/Balance_Sheet!I74</f>
        <v>0.46040920892100839</v>
      </c>
      <c r="J73" s="28">
        <f>J72/Balance_Sheet!J74</f>
        <v>0.37023157354644937</v>
      </c>
      <c r="K73" s="28">
        <f>K72/Balance_Sheet!K74</f>
        <v>0.26827546122143997</v>
      </c>
      <c r="L73" s="28">
        <f>L72/Balance_Sheet!L74</f>
        <v>0.18390082412365052</v>
      </c>
    </row>
    <row r="74" spans="2:12" ht="18.75" x14ac:dyDescent="0.25">
      <c r="B74" s="9" t="s">
        <v>43</v>
      </c>
      <c r="C74" s="7">
        <f>C54+C72</f>
        <v>61334.14</v>
      </c>
      <c r="D74" s="7">
        <f t="shared" ref="D74:G74" si="55">D54+D72</f>
        <v>121708.06541244722</v>
      </c>
      <c r="E74" s="7">
        <f t="shared" si="55"/>
        <v>182810.53581837588</v>
      </c>
      <c r="F74" s="7">
        <f t="shared" si="55"/>
        <v>227087.34441451222</v>
      </c>
      <c r="G74" s="7">
        <f t="shared" si="55"/>
        <v>300876.0459167849</v>
      </c>
      <c r="H74" s="27">
        <f>Income_Statement!H5/H80</f>
        <v>489321.11034575739</v>
      </c>
      <c r="I74" s="27">
        <f>Income_Statement!I5/I80</f>
        <v>633548.24033693725</v>
      </c>
      <c r="J74" s="27">
        <f>Income_Statement!J5/J80</f>
        <v>873933.663111437</v>
      </c>
      <c r="K74" s="27">
        <f>Income_Statement!K5/K80</f>
        <v>1263791.6327680626</v>
      </c>
      <c r="L74" s="27">
        <f>Income_Statement!L5/L80</f>
        <v>1786985.843522582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0.88948976866717289</v>
      </c>
      <c r="D80">
        <f>Income_Statement!D5/D74</f>
        <v>0.62372218096432253</v>
      </c>
      <c r="E80">
        <f>Income_Statement!E5/E74</f>
        <v>0.39616731976516684</v>
      </c>
      <c r="F80">
        <f>Income_Statement!F5/F74</f>
        <v>0.25192121625049957</v>
      </c>
      <c r="G80">
        <f>Income_Statement!G5/G74</f>
        <v>0.30867801295715869</v>
      </c>
      <c r="H80">
        <f>GROWTH(C80:G80,C4:G4,H4)</f>
        <v>0.17891928612428976</v>
      </c>
      <c r="I80">
        <f t="shared" ref="I80:L80" si="56">GROWTH(D80:H80,D4:H4,I4)</f>
        <v>0.14104158567961952</v>
      </c>
      <c r="J80">
        <f t="shared" si="56"/>
        <v>0.11599239871980974</v>
      </c>
      <c r="K80">
        <f t="shared" si="56"/>
        <v>9.2745357317006047E-2</v>
      </c>
      <c r="L80">
        <f t="shared" si="56"/>
        <v>6.5290493344987668E-2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E0FB77DE-902D-49EA-A336-9CE46834D78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4FC5C-4A91-4847-BF2F-E4ACF69686ED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5.42578125" bestFit="1" customWidth="1"/>
    <col min="8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62995.225412447217</v>
      </c>
      <c r="E5" s="5">
        <f>Income_Statement!E45</f>
        <v>60480.08040592866</v>
      </c>
      <c r="F5" s="5">
        <f>Income_Statement!F45</f>
        <v>45611.078596136358</v>
      </c>
      <c r="G5" s="5">
        <f>Income_Statement!G45</f>
        <v>72706.091502272669</v>
      </c>
      <c r="H5" s="24">
        <f>Income_Statement!H45</f>
        <v>64720.876463417844</v>
      </c>
      <c r="I5" s="24">
        <f>Income_Statement!I45</f>
        <v>64540.689466369709</v>
      </c>
      <c r="J5" s="24">
        <f>Income_Statement!J45</f>
        <v>71462.412261418125</v>
      </c>
      <c r="K5" s="24">
        <f>Income_Statement!K45</f>
        <v>79765.934306878873</v>
      </c>
      <c r="L5" s="24">
        <f>Income_Statement!L45</f>
        <v>73418.968206287929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1666.64</v>
      </c>
      <c r="E7" s="5">
        <f>Income_Statement!E31</f>
        <v>2080.16</v>
      </c>
      <c r="F7" s="5">
        <f>Income_Statement!F31</f>
        <v>2173.8200000000002</v>
      </c>
      <c r="G7" s="5">
        <f>Income_Statement!G31</f>
        <v>2420.17</v>
      </c>
      <c r="H7" s="24">
        <f>Income_Statement!H31</f>
        <v>5203.2736276954229</v>
      </c>
      <c r="I7" s="24">
        <f>Income_Statement!I31</f>
        <v>6736.935147733444</v>
      </c>
      <c r="J7" s="24">
        <f>Income_Statement!J31</f>
        <v>9293.111901346756</v>
      </c>
      <c r="K7" s="24">
        <f>Income_Statement!K31</f>
        <v>13438.728265823995</v>
      </c>
      <c r="L7" s="24">
        <f>Income_Statement!L31</f>
        <v>19002.196511058479</v>
      </c>
    </row>
    <row r="8" spans="2:15" ht="18.75" x14ac:dyDescent="0.25">
      <c r="B8" s="8" t="s">
        <v>131</v>
      </c>
      <c r="C8" s="4"/>
      <c r="D8" s="4">
        <f>Income_Statement!D35</f>
        <v>159.19999999999999</v>
      </c>
      <c r="E8" s="4">
        <f>Income_Statement!E35</f>
        <v>308.94</v>
      </c>
      <c r="F8" s="4">
        <f>Income_Statement!F35</f>
        <v>179.27</v>
      </c>
      <c r="G8" s="4">
        <f>Income_Statement!G35</f>
        <v>202.48</v>
      </c>
      <c r="H8" s="26">
        <f>Income_Statement!H35</f>
        <v>329.29760726348331</v>
      </c>
      <c r="I8" s="26">
        <f>Income_Statement!I35</f>
        <v>426.357808618653</v>
      </c>
      <c r="J8" s="26">
        <f>Income_Statement!J35</f>
        <v>588.12952382852473</v>
      </c>
      <c r="K8" s="26">
        <f>Income_Statement!K35</f>
        <v>850.49160920371514</v>
      </c>
      <c r="L8" s="26">
        <f>Income_Statement!L35</f>
        <v>1202.5845834528313</v>
      </c>
    </row>
    <row r="9" spans="2:15" ht="18.75" x14ac:dyDescent="0.25">
      <c r="B9" s="8" t="s">
        <v>59</v>
      </c>
      <c r="C9" s="4"/>
      <c r="D9" s="5">
        <f>Income_Statement!D11</f>
        <v>1214.27</v>
      </c>
      <c r="E9" s="5">
        <f>Income_Statement!E11</f>
        <v>1537.15</v>
      </c>
      <c r="F9" s="5">
        <f>Income_Statement!F11</f>
        <v>1120.2</v>
      </c>
      <c r="G9" s="5">
        <f>Income_Statement!G11</f>
        <v>1172.25</v>
      </c>
      <c r="H9" s="24">
        <f>Income_Statement!H11</f>
        <v>1400.4120098032156</v>
      </c>
      <c r="I9" s="24">
        <f>Income_Statement!I11</f>
        <v>1429.3269692857889</v>
      </c>
      <c r="J9" s="24">
        <f>Income_Statement!J11</f>
        <v>1621.4841781702753</v>
      </c>
      <c r="K9" s="24">
        <f>Income_Statement!K11</f>
        <v>1874.8752315631186</v>
      </c>
      <c r="L9" s="24">
        <f>Income_Statement!L11</f>
        <v>1866.2756065776257</v>
      </c>
    </row>
    <row r="10" spans="2:15" ht="18.75" x14ac:dyDescent="0.25">
      <c r="B10" s="9" t="s">
        <v>132</v>
      </c>
      <c r="C10" s="6"/>
      <c r="D10" s="7">
        <f>D7+D8-D9</f>
        <v>611.57000000000016</v>
      </c>
      <c r="E10" s="7">
        <f t="shared" ref="E10:L10" si="0">E7+E8-E9</f>
        <v>851.94999999999982</v>
      </c>
      <c r="F10" s="7">
        <f t="shared" si="0"/>
        <v>1232.8900000000001</v>
      </c>
      <c r="G10" s="7">
        <f t="shared" si="0"/>
        <v>1450.4</v>
      </c>
      <c r="H10" s="27">
        <f t="shared" si="0"/>
        <v>4132.1592251556913</v>
      </c>
      <c r="I10" s="27">
        <f t="shared" si="0"/>
        <v>5733.9659870663072</v>
      </c>
      <c r="J10" s="27">
        <f t="shared" si="0"/>
        <v>8259.7572470050072</v>
      </c>
      <c r="K10" s="27">
        <f t="shared" si="0"/>
        <v>12414.34464346459</v>
      </c>
      <c r="L10" s="27">
        <f t="shared" si="0"/>
        <v>18338.505487933682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0</v>
      </c>
      <c r="E12" s="4">
        <f>Balance_Sheet!D56-Balance_Sheet!E56</f>
        <v>0</v>
      </c>
      <c r="F12" s="4">
        <f>Balance_Sheet!E56-Balance_Sheet!F56</f>
        <v>0</v>
      </c>
      <c r="G12" s="4">
        <f>Balance_Sheet!F56-Balance_Sheet!G56</f>
        <v>-432.04</v>
      </c>
      <c r="H12" s="26">
        <f>Balance_Sheet!G56-Balance_Sheet!H56</f>
        <v>432.04</v>
      </c>
      <c r="I12" s="26">
        <f>Balance_Sheet!H56-Balance_Sheet!I56</f>
        <v>0</v>
      </c>
      <c r="J12" s="26">
        <f>Balance_Sheet!I56-Balance_Sheet!J56</f>
        <v>0</v>
      </c>
      <c r="K12" s="26">
        <f>Balance_Sheet!J56-Balance_Sheet!K56</f>
        <v>0</v>
      </c>
      <c r="L12" s="26">
        <f>Balance_Sheet!K56-Balance_Sheet!L56</f>
        <v>0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-119.23000000000002</v>
      </c>
      <c r="E13" s="4">
        <f>Balance_Sheet!D58-Balance_Sheet!E58</f>
        <v>113.16999999999996</v>
      </c>
      <c r="F13" s="4">
        <f>Balance_Sheet!E58-Balance_Sheet!F58</f>
        <v>165.76</v>
      </c>
      <c r="G13" s="4">
        <f>Balance_Sheet!F58-Balance_Sheet!G58</f>
        <v>104.99000000000001</v>
      </c>
      <c r="H13" s="26">
        <f>Balance_Sheet!G58-Balance_Sheet!H58</f>
        <v>-178.73000000000002</v>
      </c>
      <c r="I13" s="26">
        <f>Balance_Sheet!H58-Balance_Sheet!I58</f>
        <v>-136.79999999999995</v>
      </c>
      <c r="J13" s="26">
        <f>Balance_Sheet!I58-Balance_Sheet!J58</f>
        <v>-227.99</v>
      </c>
      <c r="K13" s="26">
        <f>Balance_Sheet!J58-Balance_Sheet!K58</f>
        <v>-369.7700000000001</v>
      </c>
      <c r="L13" s="26">
        <f>Balance_Sheet!K58-Balance_Sheet!L58</f>
        <v>-496.23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-219.40000000000009</v>
      </c>
      <c r="E14" s="5">
        <f>Balance_Sheet!D60-Balance_Sheet!E60</f>
        <v>1051.23</v>
      </c>
      <c r="F14" s="5">
        <f>Balance_Sheet!E60-Balance_Sheet!F60</f>
        <v>-403.36000000000013</v>
      </c>
      <c r="G14" s="5">
        <f>Balance_Sheet!F60-Balance_Sheet!G60</f>
        <v>-86.119999999999891</v>
      </c>
      <c r="H14" s="24">
        <f>Balance_Sheet!G60-Balance_Sheet!H60</f>
        <v>3064.23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-130.40999999999997</v>
      </c>
      <c r="E15" s="4">
        <f>Balance_Sheet!D62-Balance_Sheet!E62</f>
        <v>-245.98000000000002</v>
      </c>
      <c r="F15" s="4">
        <f>Balance_Sheet!E62-Balance_Sheet!F62</f>
        <v>384.31000000000006</v>
      </c>
      <c r="G15" s="4">
        <f>Balance_Sheet!F62-Balance_Sheet!G62</f>
        <v>586.13</v>
      </c>
      <c r="H15" s="26">
        <f>Balance_Sheet!G62-Balance_Sheet!H62</f>
        <v>-62.339999999999989</v>
      </c>
      <c r="I15" s="26">
        <f>Balance_Sheet!H62-Balance_Sheet!I62</f>
        <v>-47.72</v>
      </c>
      <c r="J15" s="26">
        <f>Balance_Sheet!I62-Balance_Sheet!J62</f>
        <v>-79.53</v>
      </c>
      <c r="K15" s="26">
        <f>Balance_Sheet!J62-Balance_Sheet!K62</f>
        <v>-128.98000000000002</v>
      </c>
      <c r="L15" s="26">
        <f>Balance_Sheet!K62-Balance_Sheet!L62</f>
        <v>-173.09000000000003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-340.75</v>
      </c>
      <c r="E16" s="5">
        <f>Balance_Sheet!D64-Balance_Sheet!E64</f>
        <v>260.53999999999996</v>
      </c>
      <c r="F16" s="5">
        <f>Balance_Sheet!E64-Balance_Sheet!F64</f>
        <v>475.75</v>
      </c>
      <c r="G16" s="5">
        <f>Balance_Sheet!F64-Balance_Sheet!G64</f>
        <v>-1183.23</v>
      </c>
      <c r="H16" s="24">
        <f>Balance_Sheet!G64-Balance_Sheet!H64</f>
        <v>-2097.5001859931112</v>
      </c>
      <c r="I16" s="24">
        <f>Balance_Sheet!H64-Balance_Sheet!I64</f>
        <v>-1319.8704238237369</v>
      </c>
      <c r="J16" s="24">
        <f>Balance_Sheet!I64-Balance_Sheet!J64</f>
        <v>-2199.8469348854842</v>
      </c>
      <c r="K16" s="24">
        <f>Balance_Sheet!J64-Balance_Sheet!K64</f>
        <v>-3567.7199128431666</v>
      </c>
      <c r="L16" s="24">
        <f>Balance_Sheet!K64-Balance_Sheet!L64</f>
        <v>-4787.9241910514556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-570.12999999999988</v>
      </c>
      <c r="E17" s="5">
        <f>Balance_Sheet!D66-Balance_Sheet!E66</f>
        <v>-680.37000000000035</v>
      </c>
      <c r="F17" s="5">
        <f>Balance_Sheet!E66-Balance_Sheet!F66</f>
        <v>193.2800000000002</v>
      </c>
      <c r="G17" s="5">
        <f>Balance_Sheet!F66-Balance_Sheet!G66</f>
        <v>-586.88000000000011</v>
      </c>
      <c r="H17" s="24">
        <f>Balance_Sheet!G66-Balance_Sheet!H66</f>
        <v>-4943.2161712282013</v>
      </c>
      <c r="I17" s="24">
        <f>Balance_Sheet!H66-Balance_Sheet!I66</f>
        <v>-2511.2141101611469</v>
      </c>
      <c r="J17" s="24">
        <f>Balance_Sheet!I66-Balance_Sheet!J66</f>
        <v>-4185.4765160014849</v>
      </c>
      <c r="K17" s="24">
        <f>Balance_Sheet!J66-Balance_Sheet!K66</f>
        <v>-6788.0213273353384</v>
      </c>
      <c r="L17" s="24">
        <f>Balance_Sheet!K66-Balance_Sheet!L66</f>
        <v>-9109.6084660474226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-933.83000000000038</v>
      </c>
      <c r="E18" s="5">
        <f>Balance_Sheet!D68-Balance_Sheet!E68</f>
        <v>-454.92000000000007</v>
      </c>
      <c r="F18" s="5">
        <f>Balance_Sheet!E68-Balance_Sheet!F68</f>
        <v>1316.8100000000004</v>
      </c>
      <c r="G18" s="5">
        <f>Balance_Sheet!F68-Balance_Sheet!G68</f>
        <v>-3945.0299999999997</v>
      </c>
      <c r="H18" s="24">
        <f>Balance_Sheet!G68-Balance_Sheet!H68</f>
        <v>713.79683735250183</v>
      </c>
      <c r="I18" s="24">
        <f>Balance_Sheet!H68-Balance_Sheet!I68</f>
        <v>-1984.4694220507745</v>
      </c>
      <c r="J18" s="24">
        <f>Balance_Sheet!I68-Balance_Sheet!J68</f>
        <v>-3307.5436017614393</v>
      </c>
      <c r="K18" s="24">
        <f>Balance_Sheet!J68-Balance_Sheet!K68</f>
        <v>-5364.1864729173012</v>
      </c>
      <c r="L18" s="24">
        <f>Balance_Sheet!K68-Balance_Sheet!L68</f>
        <v>-7198.804504394051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112.93999999999994</v>
      </c>
      <c r="E20" s="4">
        <f>Balance_Sheet!E23-Balance_Sheet!D23</f>
        <v>-163.52999999999997</v>
      </c>
      <c r="F20" s="4">
        <f>Balance_Sheet!F23-Balance_Sheet!E23</f>
        <v>18.509999999999991</v>
      </c>
      <c r="G20" s="4">
        <f>Balance_Sheet!G23-Balance_Sheet!F23</f>
        <v>119.06000000000006</v>
      </c>
      <c r="H20" s="26">
        <f>Balance_Sheet!H23-Balance_Sheet!G23</f>
        <v>765.32659044995091</v>
      </c>
      <c r="I20" s="26">
        <f>Balance_Sheet!I23-Balance_Sheet!H23</f>
        <v>424.85380519158912</v>
      </c>
      <c r="J20" s="26">
        <f>Balance_Sheet!J23-Balance_Sheet!I23</f>
        <v>708.10992068261157</v>
      </c>
      <c r="K20" s="26">
        <f>Balance_Sheet!K23-Balance_Sheet!J23</f>
        <v>1148.4152940089261</v>
      </c>
      <c r="L20" s="26">
        <f>Balance_Sheet!L23-Balance_Sheet!K23</f>
        <v>1541.1875096374806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-110.03000000000009</v>
      </c>
      <c r="E21" s="4">
        <f>Balance_Sheet!E25-Balance_Sheet!D25</f>
        <v>20.110000000000014</v>
      </c>
      <c r="F21" s="4">
        <f>Balance_Sheet!F25-Balance_Sheet!E25</f>
        <v>53.550000000000068</v>
      </c>
      <c r="G21" s="4">
        <f>Balance_Sheet!G25-Balance_Sheet!F25</f>
        <v>44.490000000000009</v>
      </c>
      <c r="H21" s="26">
        <f>Balance_Sheet!H25-Balance_Sheet!G25</f>
        <v>1201.6374824110674</v>
      </c>
      <c r="I21" s="26">
        <f>Balance_Sheet!I25-Balance_Sheet!H25</f>
        <v>611.55721459640881</v>
      </c>
      <c r="J21" s="26">
        <f>Balance_Sheet!J25-Balance_Sheet!I25</f>
        <v>1019.2911665824836</v>
      </c>
      <c r="K21" s="26">
        <f>Balance_Sheet!K25-Balance_Sheet!J25</f>
        <v>1653.0901920186425</v>
      </c>
      <c r="L21" s="26">
        <f>Balance_Sheet!L25-Balance_Sheet!K25</f>
        <v>2218.4674564457291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1774.08</v>
      </c>
      <c r="E22" s="5">
        <f>Balance_Sheet!E27-Balance_Sheet!D27</f>
        <v>1274.0600000000004</v>
      </c>
      <c r="F22" s="5">
        <f>Balance_Sheet!F27-Balance_Sheet!E27</f>
        <v>938.27999999999975</v>
      </c>
      <c r="G22" s="5">
        <f>Balance_Sheet!G27-Balance_Sheet!F27</f>
        <v>1147.9799999999996</v>
      </c>
      <c r="H22" s="24">
        <f>Balance_Sheet!H27-Balance_Sheet!G27</f>
        <v>4270.2000000000007</v>
      </c>
      <c r="I22" s="24">
        <f>Balance_Sheet!I27-Balance_Sheet!H27</f>
        <v>3268.2099999999991</v>
      </c>
      <c r="J22" s="24">
        <f>Balance_Sheet!J27-Balance_Sheet!I27</f>
        <v>5447.17</v>
      </c>
      <c r="K22" s="24">
        <f>Balance_Sheet!K27-Balance_Sheet!J27</f>
        <v>8834.2400000000016</v>
      </c>
      <c r="L22" s="24">
        <f>Balance_Sheet!L27-Balance_Sheet!K27</f>
        <v>11855.669999999998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-27.819999999999709</v>
      </c>
      <c r="E23" s="5">
        <f>Balance_Sheet!E29-Balance_Sheet!D29</f>
        <v>46.109999999999673</v>
      </c>
      <c r="F23" s="5">
        <f>Balance_Sheet!F29-Balance_Sheet!E29</f>
        <v>531.00000000000045</v>
      </c>
      <c r="G23" s="5">
        <f>Balance_Sheet!G29-Balance_Sheet!F29</f>
        <v>908.07999999999993</v>
      </c>
      <c r="H23" s="24">
        <f>Balance_Sheet!H29-Balance_Sheet!G29</f>
        <v>5137.0707662457298</v>
      </c>
      <c r="I23" s="24">
        <f>Balance_Sheet!I29-Balance_Sheet!H29</f>
        <v>3094.3772588184929</v>
      </c>
      <c r="J23" s="24">
        <f>Balance_Sheet!J29-Balance_Sheet!I29</f>
        <v>5157.4428863028061</v>
      </c>
      <c r="K23" s="24">
        <f>Balance_Sheet!K29-Balance_Sheet!J29</f>
        <v>8364.3599893334031</v>
      </c>
      <c r="L23" s="24">
        <f>Balance_Sheet!L29-Balance_Sheet!K29</f>
        <v>11225.07442118054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-453.67000000000007</v>
      </c>
      <c r="E24" s="5">
        <f>Balance_Sheet!E31-Balance_Sheet!D31</f>
        <v>228.60999999999967</v>
      </c>
      <c r="F24" s="5">
        <f>Balance_Sheet!F31-Balance_Sheet!E31</f>
        <v>532.93000000000029</v>
      </c>
      <c r="G24" s="5">
        <f>Balance_Sheet!G31-Balance_Sheet!F31</f>
        <v>748.47000000000025</v>
      </c>
      <c r="H24" s="24">
        <f>Balance_Sheet!H31-Balance_Sheet!G31</f>
        <v>7461.7126432679397</v>
      </c>
      <c r="I24" s="24">
        <f>Balance_Sheet!I31-Balance_Sheet!H31</f>
        <v>4114.0311249375354</v>
      </c>
      <c r="J24" s="24">
        <f>Balance_Sheet!J31-Balance_Sheet!I31</f>
        <v>6856.9145855986935</v>
      </c>
      <c r="K24" s="24">
        <f>Balance_Sheet!K31-Balance_Sheet!J31</f>
        <v>11120.569490430789</v>
      </c>
      <c r="L24" s="24">
        <f>Balance_Sheet!L31-Balance_Sheet!K31</f>
        <v>14923.941615997297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3278.42</v>
      </c>
      <c r="E26" s="5">
        <f>Income_Statement!E47</f>
        <v>914.3</v>
      </c>
      <c r="F26" s="5">
        <f>Income_Statement!F47</f>
        <v>1582.63</v>
      </c>
      <c r="G26" s="5">
        <f>Income_Statement!G47</f>
        <v>3159.89</v>
      </c>
      <c r="H26" s="24">
        <f>Income_Statement!H47</f>
        <v>2812.8434097106806</v>
      </c>
      <c r="I26" s="24">
        <f>Income_Statement!I47</f>
        <v>2805.0122764680877</v>
      </c>
      <c r="J26" s="24">
        <f>Income_Statement!J47</f>
        <v>3105.8382759259443</v>
      </c>
      <c r="K26" s="24">
        <f>Income_Statement!K47</f>
        <v>3466.7188532488335</v>
      </c>
      <c r="L26" s="24">
        <f>Income_Statement!L47</f>
        <v>3190.872437945799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59310.125412447218</v>
      </c>
      <c r="E27" s="7">
        <f t="shared" ref="E27:L27" si="1">E12+E13+E14+E15+E16+E17+E18+E20+E21+E22+E23+E24-E26+E10+E5</f>
        <v>61866.76040592866</v>
      </c>
      <c r="F27" s="7">
        <f t="shared" si="1"/>
        <v>49468.15859613636</v>
      </c>
      <c r="G27" s="7">
        <f t="shared" si="1"/>
        <v>68422.501502272673</v>
      </c>
      <c r="H27" s="27">
        <f t="shared" si="1"/>
        <v>81804.420241368731</v>
      </c>
      <c r="I27" s="27">
        <f t="shared" si="1"/>
        <v>72982.59862447629</v>
      </c>
      <c r="J27" s="27">
        <f t="shared" si="1"/>
        <v>85804.87273901538</v>
      </c>
      <c r="K27" s="27">
        <f t="shared" si="1"/>
        <v>103615.55734979059</v>
      </c>
      <c r="L27" s="27">
        <f t="shared" si="1"/>
        <v>108565.28509804393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-1870.9300000000003</v>
      </c>
      <c r="E29" s="5">
        <f>Balance_Sheet!D40-Balance_Sheet!E40</f>
        <v>-5061.4900000000016</v>
      </c>
      <c r="F29" s="5">
        <f>Balance_Sheet!E40-Balance_Sheet!F40</f>
        <v>-2510.4000000000015</v>
      </c>
      <c r="G29" s="5">
        <f>Balance_Sheet!F40-Balance_Sheet!G40</f>
        <v>-21202.799999999996</v>
      </c>
      <c r="H29" s="24">
        <f>Balance_Sheet!G40-Balance_Sheet!H40</f>
        <v>-37618.400000000001</v>
      </c>
      <c r="I29" s="24">
        <f>Balance_Sheet!H40-Balance_Sheet!I40</f>
        <v>-28791.369999999995</v>
      </c>
      <c r="J29" s="24">
        <f>Balance_Sheet!I40-Balance_Sheet!J40</f>
        <v>-47987.009999999995</v>
      </c>
      <c r="K29" s="24">
        <f>Balance_Sheet!J40-Balance_Sheet!K40</f>
        <v>-77825.5</v>
      </c>
      <c r="L29" s="24">
        <f>Balance_Sheet!K40-Balance_Sheet!L40</f>
        <v>-104442.78000000003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-349.05999999999995</v>
      </c>
      <c r="E30" s="5">
        <f>Balance_Sheet!D42-Balance_Sheet!E42</f>
        <v>-467.84999999999991</v>
      </c>
      <c r="F30" s="5">
        <f>Balance_Sheet!E42-Balance_Sheet!F42</f>
        <v>-420.31999999999994</v>
      </c>
      <c r="G30" s="5">
        <f>Balance_Sheet!F42-Balance_Sheet!G42</f>
        <v>2300.6799999999998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-555.31999999999971</v>
      </c>
      <c r="E31" s="5">
        <f>Balance_Sheet!D48-Balance_Sheet!E48</f>
        <v>732.76999999999862</v>
      </c>
      <c r="F31" s="5">
        <f>Balance_Sheet!E48-Balance_Sheet!F48</f>
        <v>-2696.3099999999995</v>
      </c>
      <c r="G31" s="5">
        <f>Balance_Sheet!F48-Balance_Sheet!G48</f>
        <v>-3818.8900000000012</v>
      </c>
      <c r="H31" s="24">
        <f>Balance_Sheet!G48-Balance_Sheet!H48</f>
        <v>-10718.816046980453</v>
      </c>
      <c r="I31" s="24">
        <f>Balance_Sheet!H48-Balance_Sheet!I48</f>
        <v>-7995.658424709316</v>
      </c>
      <c r="J31" s="24">
        <f>Balance_Sheet!I48-Balance_Sheet!J48</f>
        <v>-13326.478387955038</v>
      </c>
      <c r="K31" s="24">
        <f>Balance_Sheet!J48-Balance_Sheet!K48</f>
        <v>-21612.932044863519</v>
      </c>
      <c r="L31" s="24">
        <f>Balance_Sheet!K48-Balance_Sheet!L48</f>
        <v>-29004.821764354201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381.47</v>
      </c>
      <c r="E32" s="4">
        <f>Balance_Sheet!D50-Balance_Sheet!E50</f>
        <v>0</v>
      </c>
      <c r="F32" s="4">
        <f>Balance_Sheet!E50-Balance_Sheet!F50</f>
        <v>-468.48</v>
      </c>
      <c r="G32" s="4">
        <f>Balance_Sheet!F50-Balance_Sheet!G50</f>
        <v>468.48</v>
      </c>
      <c r="H32" s="26">
        <f>Balance_Sheet!G50-Balance_Sheet!H50</f>
        <v>0</v>
      </c>
      <c r="I32" s="26">
        <f>Balance_Sheet!H50-Balance_Sheet!I50</f>
        <v>0</v>
      </c>
      <c r="J32" s="26">
        <f>Balance_Sheet!I50-Balance_Sheet!J50</f>
        <v>0</v>
      </c>
      <c r="K32" s="26">
        <f>Balance_Sheet!J50-Balance_Sheet!K50</f>
        <v>0</v>
      </c>
      <c r="L32" s="26">
        <f>Balance_Sheet!K50-Balance_Sheet!L50</f>
        <v>0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-3799.1099999999997</v>
      </c>
      <c r="E33" s="5">
        <f>Balance_Sheet!D52-Balance_Sheet!E52</f>
        <v>-1928.8099999999995</v>
      </c>
      <c r="F33" s="5">
        <f>Balance_Sheet!E52-Balance_Sheet!F52</f>
        <v>-1733.3500000000004</v>
      </c>
      <c r="G33" s="5">
        <f>Balance_Sheet!F52-Balance_Sheet!G52</f>
        <v>13399.66</v>
      </c>
      <c r="H33" s="24">
        <f>Balance_Sheet!G52-Balance_Sheet!H52</f>
        <v>-31226.710962158861</v>
      </c>
      <c r="I33" s="24">
        <f>Balance_Sheet!H52-Balance_Sheet!I52</f>
        <v>-9204.0559990430775</v>
      </c>
      <c r="J33" s="24">
        <f>Balance_Sheet!I52-Balance_Sheet!J52</f>
        <v>-15340.531928392709</v>
      </c>
      <c r="K33" s="24">
        <f>Balance_Sheet!J52-Balance_Sheet!K52</f>
        <v>-24879.33154193846</v>
      </c>
      <c r="L33" s="24">
        <f>Balance_Sheet!K52-Balance_Sheet!L52</f>
        <v>-33388.370235573777</v>
      </c>
    </row>
    <row r="34" spans="2:12" ht="18.75" x14ac:dyDescent="0.25">
      <c r="B34" s="8" t="s">
        <v>59</v>
      </c>
      <c r="C34" s="4"/>
      <c r="D34" s="5">
        <f>Income_Statement!D11</f>
        <v>1214.27</v>
      </c>
      <c r="E34" s="5">
        <f>Income_Statement!E11</f>
        <v>1537.15</v>
      </c>
      <c r="F34" s="5">
        <f>Income_Statement!F11</f>
        <v>1120.2</v>
      </c>
      <c r="G34" s="5">
        <f>Income_Statement!G11</f>
        <v>1172.25</v>
      </c>
      <c r="H34" s="24">
        <f>Income_Statement!H11</f>
        <v>1400.4120098032156</v>
      </c>
      <c r="I34" s="24">
        <f>Income_Statement!I11</f>
        <v>1429.3269692857889</v>
      </c>
      <c r="J34" s="24">
        <f>Income_Statement!J11</f>
        <v>1621.4841781702753</v>
      </c>
      <c r="K34" s="24">
        <f>Income_Statement!K11</f>
        <v>1874.8752315631186</v>
      </c>
      <c r="L34" s="24">
        <f>Income_Statement!L11</f>
        <v>1866.2756065776257</v>
      </c>
    </row>
    <row r="35" spans="2:12" ht="18.75" x14ac:dyDescent="0.25">
      <c r="B35" s="9" t="s">
        <v>137</v>
      </c>
      <c r="C35" s="6"/>
      <c r="D35" s="7">
        <f>D29+D30+D31+D32+D33+D34</f>
        <v>-4978.68</v>
      </c>
      <c r="E35" s="7">
        <f t="shared" ref="E35:L35" si="2">E29+E30+E31+E32+E33+E34</f>
        <v>-5188.2300000000032</v>
      </c>
      <c r="F35" s="7">
        <f t="shared" si="2"/>
        <v>-6708.6600000000008</v>
      </c>
      <c r="G35" s="7">
        <f t="shared" si="2"/>
        <v>-7680.6199999999953</v>
      </c>
      <c r="H35" s="27">
        <f t="shared" si="2"/>
        <v>-78163.514999336097</v>
      </c>
      <c r="I35" s="27">
        <f t="shared" si="2"/>
        <v>-44561.757454466599</v>
      </c>
      <c r="J35" s="27">
        <f t="shared" si="2"/>
        <v>-75032.536138177471</v>
      </c>
      <c r="K35" s="27">
        <f t="shared" si="2"/>
        <v>-122442.88835523887</v>
      </c>
      <c r="L35" s="27">
        <f t="shared" si="2"/>
        <v>-164969.69639335037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0</v>
      </c>
      <c r="E37" s="5">
        <f>Balance_Sheet!E5-Balance_Sheet!D5</f>
        <v>2255.0700000000002</v>
      </c>
      <c r="F37" s="5">
        <f>Balance_Sheet!F5-Balance_Sheet!E5</f>
        <v>-69.75</v>
      </c>
      <c r="G37" s="5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-90.810000000000173</v>
      </c>
      <c r="E39" s="5">
        <f>Balance_Sheet!E15-Balance_Sheet!D15</f>
        <v>2745.57</v>
      </c>
      <c r="F39" s="5">
        <f>Balance_Sheet!F15-Balance_Sheet!E15</f>
        <v>1463.9999999999995</v>
      </c>
      <c r="G39" s="5">
        <f>Balance_Sheet!G15-Balance_Sheet!F15</f>
        <v>230.66000000000076</v>
      </c>
      <c r="H39" s="24">
        <f>Balance_Sheet!H15-Balance_Sheet!G15</f>
        <v>3424.7599999999993</v>
      </c>
      <c r="I39" s="24">
        <f>Balance_Sheet!I15-Balance_Sheet!H15</f>
        <v>2621.16</v>
      </c>
      <c r="J39" s="24">
        <f>Balance_Sheet!J15-Balance_Sheet!I15</f>
        <v>4368.7100000000009</v>
      </c>
      <c r="K39" s="24">
        <f>Balance_Sheet!K15-Balance_Sheet!J15</f>
        <v>7085.1999999999989</v>
      </c>
      <c r="L39" s="24">
        <f>Balance_Sheet!L15-Balance_Sheet!K15</f>
        <v>9508.43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1470.7700000000004</v>
      </c>
      <c r="E40" s="5">
        <f>Balance_Sheet!E17-Balance_Sheet!D17</f>
        <v>-2470.69</v>
      </c>
      <c r="F40" s="5">
        <f>Balance_Sheet!F17-Balance_Sheet!E17</f>
        <v>49.269999999999982</v>
      </c>
      <c r="G40" s="5">
        <f>Balance_Sheet!G17-Balance_Sheet!F17</f>
        <v>110.71000000000004</v>
      </c>
      <c r="H40" s="24">
        <f>Balance_Sheet!H17-Balance_Sheet!G17</f>
        <v>6612.3564081995464</v>
      </c>
      <c r="I40" s="24">
        <f>Balance_Sheet!I17-Balance_Sheet!H17</f>
        <v>3186.6915032066536</v>
      </c>
      <c r="J40" s="24">
        <f>Balance_Sheet!J17-Balance_Sheet!I17</f>
        <v>5311.3043592913727</v>
      </c>
      <c r="K40" s="24">
        <f>Balance_Sheet!K17-Balance_Sheet!J17</f>
        <v>8613.893096521726</v>
      </c>
      <c r="L40" s="24">
        <f>Balance_Sheet!L17-Balance_Sheet!K17</f>
        <v>11559.950933228014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65.240000000000123</v>
      </c>
      <c r="E41" s="5">
        <f>Balance_Sheet!E19-Balance_Sheet!D19</f>
        <v>1521.2999999999997</v>
      </c>
      <c r="F41" s="5">
        <f>Balance_Sheet!F19-Balance_Sheet!E19</f>
        <v>-1041.2999999999997</v>
      </c>
      <c r="G41" s="5">
        <f>Balance_Sheet!G19-Balance_Sheet!F19</f>
        <v>839.36000000000013</v>
      </c>
      <c r="H41" s="24">
        <f>Balance_Sheet!H19-Balance_Sheet!G19</f>
        <v>1479.5299999999997</v>
      </c>
      <c r="I41" s="24">
        <f>Balance_Sheet!I19-Balance_Sheet!H19</f>
        <v>1132.3699999999999</v>
      </c>
      <c r="J41" s="24">
        <f>Balance_Sheet!J19-Balance_Sheet!I19</f>
        <v>1887.33</v>
      </c>
      <c r="K41" s="24">
        <f>Balance_Sheet!K19-Balance_Sheet!J19</f>
        <v>3060.880000000001</v>
      </c>
      <c r="L41" s="24">
        <f>Balance_Sheet!L19-Balance_Sheet!K19</f>
        <v>4107.74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7.0300000000000011</v>
      </c>
      <c r="E42" s="4">
        <f>Balance_Sheet!E35-Balance_Sheet!D35</f>
        <v>41.09</v>
      </c>
      <c r="F42" s="4">
        <f>Balance_Sheet!F35-Balance_Sheet!E35</f>
        <v>10.449999999999989</v>
      </c>
      <c r="G42" s="4">
        <f>Balance_Sheet!G35-Balance_Sheet!F35</f>
        <v>93.690000000000012</v>
      </c>
      <c r="H42" s="26">
        <f>Balance_Sheet!H35-Balance_Sheet!G35</f>
        <v>41.796230028715797</v>
      </c>
      <c r="I42" s="26">
        <f>Balance_Sheet!I35-Balance_Sheet!H35</f>
        <v>68.669616541709331</v>
      </c>
      <c r="J42" s="26">
        <f>Balance_Sheet!J35-Balance_Sheet!I35</f>
        <v>114.45263318455466</v>
      </c>
      <c r="K42" s="26">
        <f>Balance_Sheet!K35-Balance_Sheet!J35</f>
        <v>185.61970472328636</v>
      </c>
      <c r="L42" s="26">
        <f>Balance_Sheet!L35-Balance_Sheet!K35</f>
        <v>249.10393648928778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1734.15</v>
      </c>
      <c r="E44" s="5">
        <f>Income_Statement!E51</f>
        <v>3285.64</v>
      </c>
      <c r="F44" s="5">
        <f>Income_Statement!F51</f>
        <v>2238.58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356.46</v>
      </c>
      <c r="E45" s="4">
        <f>Income_Statement!E53</f>
        <v>675.37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159.19999999999999</v>
      </c>
      <c r="E46" s="4">
        <f>Income_Statement!E35</f>
        <v>308.94</v>
      </c>
      <c r="F46" s="4">
        <f>Income_Statement!F35</f>
        <v>179.27</v>
      </c>
      <c r="G46" s="4">
        <f>Income_Statement!G35</f>
        <v>202.48</v>
      </c>
      <c r="H46" s="26">
        <f>Income_Statement!H35</f>
        <v>329.29760726348331</v>
      </c>
      <c r="I46" s="26">
        <f>Income_Statement!I35</f>
        <v>426.357808618653</v>
      </c>
      <c r="J46" s="26">
        <f>Income_Statement!J35</f>
        <v>588.12952382852473</v>
      </c>
      <c r="K46" s="26">
        <f>Income_Statement!K35</f>
        <v>850.49160920371514</v>
      </c>
      <c r="L46" s="26">
        <f>Income_Statement!L35</f>
        <v>1202.5845834528313</v>
      </c>
    </row>
    <row r="47" spans="2:12" ht="18.75" x14ac:dyDescent="0.25">
      <c r="B47" s="9" t="s">
        <v>141</v>
      </c>
      <c r="C47" s="6"/>
      <c r="D47" s="7">
        <f>D37+D38+D39+D40+D41+D42-D44-D45-D46</f>
        <v>-797.57999999999993</v>
      </c>
      <c r="E47" s="7">
        <f t="shared" ref="E47:L47" si="3">E37+E38+E39+E40+E41+E42-E44-E45-E46</f>
        <v>-177.60999999999973</v>
      </c>
      <c r="F47" s="7">
        <f t="shared" si="3"/>
        <v>-2005.18</v>
      </c>
      <c r="G47" s="7">
        <f t="shared" si="3"/>
        <v>1071.940000000001</v>
      </c>
      <c r="H47" s="27">
        <f t="shared" si="3"/>
        <v>11229.145030964777</v>
      </c>
      <c r="I47" s="27">
        <f t="shared" si="3"/>
        <v>6582.5333111297105</v>
      </c>
      <c r="J47" s="27">
        <f t="shared" si="3"/>
        <v>11093.667468647403</v>
      </c>
      <c r="K47" s="27">
        <f t="shared" si="3"/>
        <v>18095.101192041293</v>
      </c>
      <c r="L47" s="27">
        <f t="shared" si="3"/>
        <v>24222.640286264472</v>
      </c>
    </row>
    <row r="48" spans="2:12" ht="18.75" x14ac:dyDescent="0.25">
      <c r="B48" s="9" t="s">
        <v>142</v>
      </c>
      <c r="C48" s="6"/>
      <c r="D48" s="7">
        <f>D27+D35+D47</f>
        <v>53533.865412447216</v>
      </c>
      <c r="E48" s="7">
        <f t="shared" ref="E48:L48" si="4">E27+E35+E47</f>
        <v>56500.920405928657</v>
      </c>
      <c r="F48" s="7">
        <f t="shared" si="4"/>
        <v>40754.318596136356</v>
      </c>
      <c r="G48" s="7">
        <f t="shared" si="4"/>
        <v>61813.82150227268</v>
      </c>
      <c r="H48" s="27">
        <f t="shared" si="4"/>
        <v>14870.050272997411</v>
      </c>
      <c r="I48" s="27">
        <f t="shared" si="4"/>
        <v>35003.374481139399</v>
      </c>
      <c r="J48" s="27">
        <f t="shared" si="4"/>
        <v>21866.004069485312</v>
      </c>
      <c r="K48" s="27">
        <f t="shared" si="4"/>
        <v>-732.22981340699334</v>
      </c>
      <c r="L48" s="27">
        <f t="shared" si="4"/>
        <v>-32181.771009041975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4F1A8E5-B5EC-49DF-A04E-0A2FDE807B9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3055-190C-4D5D-9804-6CC0B1018996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140625" bestFit="1" customWidth="1"/>
    <col min="4" max="4" width="14.85546875" bestFit="1" customWidth="1"/>
    <col min="5" max="6" width="15.57031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41197.001268402848</v>
      </c>
      <c r="D6" s="13">
        <f>Income_Statement!D49</f>
        <v>59716.805412447218</v>
      </c>
      <c r="E6" s="13">
        <f>Income_Statement!E49</f>
        <v>59565.780405928657</v>
      </c>
      <c r="F6" s="13">
        <f>Income_Statement!F49</f>
        <v>44028.448596136361</v>
      </c>
      <c r="G6" s="13">
        <f>Income_Statement!G49</f>
        <v>69546.20150227267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21</v>
      </c>
      <c r="D8" s="14">
        <f t="shared" ref="D8:G8" si="0">ROUND(D6/D7, 2)</f>
        <v>29</v>
      </c>
      <c r="E8" s="14">
        <f t="shared" si="0"/>
        <v>21</v>
      </c>
      <c r="F8" s="14">
        <f t="shared" si="0"/>
        <v>14</v>
      </c>
      <c r="G8" s="14">
        <f t="shared" si="0"/>
        <v>28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2106.86</v>
      </c>
      <c r="D11" s="13">
        <f>Income_Statement!D51</f>
        <v>1734.15</v>
      </c>
      <c r="E11" s="13">
        <f>Income_Statement!E51</f>
        <v>3285.64</v>
      </c>
      <c r="F11" s="13">
        <f>Income_Statement!F51</f>
        <v>2238.58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1961.7619651620403</v>
      </c>
      <c r="D12" s="13">
        <f>Income_Statement!D61</f>
        <v>2059.2001866361111</v>
      </c>
      <c r="E12" s="13">
        <f>Income_Statement!E61</f>
        <v>2836.4657336156502</v>
      </c>
      <c r="F12" s="13">
        <f>Income_Statement!F61</f>
        <v>3144.8891854383114</v>
      </c>
      <c r="G12" s="13">
        <f>Income_Statement!G61</f>
        <v>2483.7929107954524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1.07</v>
      </c>
      <c r="D13" s="14">
        <f t="shared" ref="D13:G13" si="1">ROUND(D11/D12, 2)</f>
        <v>0.84</v>
      </c>
      <c r="E13" s="14">
        <f t="shared" si="1"/>
        <v>1.1599999999999999</v>
      </c>
      <c r="F13" s="14">
        <f t="shared" si="1"/>
        <v>0.71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41678.57</v>
      </c>
      <c r="D16" s="13">
        <f>Balance_Sheet!D13</f>
        <v>99304.765412447217</v>
      </c>
      <c r="E16" s="13">
        <f>Balance_Sheet!E13</f>
        <v>157164.60581837589</v>
      </c>
      <c r="F16" s="13">
        <f>Balance_Sheet!F13</f>
        <v>198884.72441451225</v>
      </c>
      <c r="G16" s="13">
        <f>Balance_Sheet!G13</f>
        <v>268430.92591678491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1961.7619651620403</v>
      </c>
      <c r="D17" s="13">
        <f>Income_Statement!D61</f>
        <v>2059.2001866361111</v>
      </c>
      <c r="E17" s="13">
        <f>Income_Statement!E61</f>
        <v>2836.4657336156502</v>
      </c>
      <c r="F17" s="13">
        <f>Income_Statement!F61</f>
        <v>3144.8891854383114</v>
      </c>
      <c r="G17" s="13">
        <f>Income_Statement!G61</f>
        <v>2483.7929107954524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21.25</v>
      </c>
      <c r="D18" s="14">
        <f t="shared" ref="D18:G18" si="2">ROUND(D16/D17, 2)</f>
        <v>48.22</v>
      </c>
      <c r="E18" s="14">
        <f t="shared" si="2"/>
        <v>55.41</v>
      </c>
      <c r="F18" s="14">
        <f t="shared" si="2"/>
        <v>63.24</v>
      </c>
      <c r="G18" s="14">
        <f t="shared" si="2"/>
        <v>108.07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2106.86</v>
      </c>
      <c r="D21" s="13">
        <f>Income_Statement!D51</f>
        <v>1734.15</v>
      </c>
      <c r="E21" s="13">
        <f>Income_Statement!E51</f>
        <v>3285.64</v>
      </c>
      <c r="F21" s="13">
        <f>Income_Statement!F51</f>
        <v>2238.58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1961.7619651620403</v>
      </c>
      <c r="D22" s="13">
        <f>Income_Statement!D61</f>
        <v>2059.2001866361111</v>
      </c>
      <c r="E22" s="13">
        <f>Income_Statement!E61</f>
        <v>2836.4657336156502</v>
      </c>
      <c r="F22" s="13">
        <f>Income_Statement!F61</f>
        <v>3144.8891854383114</v>
      </c>
      <c r="G22" s="13">
        <f>Income_Statement!G61</f>
        <v>2483.7929107954524</v>
      </c>
    </row>
    <row r="23" spans="2:12" ht="18.75" x14ac:dyDescent="0.25">
      <c r="B23" s="12" t="s">
        <v>148</v>
      </c>
      <c r="C23" s="13">
        <f>ROUND(C21/C22, 2)</f>
        <v>1.07</v>
      </c>
      <c r="D23" s="13">
        <f t="shared" ref="D23:G23" si="3">ROUND(D21/D22, 2)</f>
        <v>0.84</v>
      </c>
      <c r="E23" s="13">
        <f t="shared" si="3"/>
        <v>1.1599999999999999</v>
      </c>
      <c r="F23" s="13">
        <f t="shared" si="3"/>
        <v>0.71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41197.001268402848</v>
      </c>
      <c r="D24" s="13">
        <f>Income_Statement!D49</f>
        <v>59716.805412447218</v>
      </c>
      <c r="E24" s="13">
        <f>Income_Statement!E49</f>
        <v>59565.780405928657</v>
      </c>
      <c r="F24" s="13">
        <f>Income_Statement!F49</f>
        <v>44028.448596136361</v>
      </c>
      <c r="G24" s="13">
        <f>Income_Statement!G49</f>
        <v>69546.20150227267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1961.7619651620403</v>
      </c>
      <c r="D25" s="13">
        <f>Income_Statement!D61</f>
        <v>2059.2001866361111</v>
      </c>
      <c r="E25" s="13">
        <f>Income_Statement!E61</f>
        <v>2836.4657336156502</v>
      </c>
      <c r="F25" s="13">
        <f>Income_Statement!F61</f>
        <v>3144.8891854383114</v>
      </c>
      <c r="G25" s="13">
        <f>Income_Statement!G61</f>
        <v>2483.7929107954524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21</v>
      </c>
      <c r="D26" s="13">
        <f t="shared" ref="D26:G26" si="4">D24/D25</f>
        <v>29</v>
      </c>
      <c r="E26" s="13">
        <f t="shared" si="4"/>
        <v>21</v>
      </c>
      <c r="F26" s="13">
        <f t="shared" si="4"/>
        <v>14</v>
      </c>
      <c r="G26" s="13">
        <f t="shared" si="4"/>
        <v>28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0.05</v>
      </c>
      <c r="D27" s="14">
        <f t="shared" ref="D27:G27" si="5">ROUND(D23/D26, 2)</f>
        <v>0.03</v>
      </c>
      <c r="E27" s="14">
        <f t="shared" si="5"/>
        <v>0.06</v>
      </c>
      <c r="F27" s="14">
        <f t="shared" si="5"/>
        <v>0.05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2106.86</v>
      </c>
      <c r="D30" s="13">
        <f>Income_Statement!D51</f>
        <v>1734.15</v>
      </c>
      <c r="E30" s="13">
        <f>Income_Statement!E51</f>
        <v>3285.64</v>
      </c>
      <c r="F30" s="13">
        <f>Income_Statement!F51</f>
        <v>2238.58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1961.7619651620403</v>
      </c>
      <c r="D31" s="13">
        <f>Income_Statement!D61</f>
        <v>2059.2001866361111</v>
      </c>
      <c r="E31" s="13">
        <f>Income_Statement!E61</f>
        <v>2836.4657336156502</v>
      </c>
      <c r="F31" s="13">
        <f>Income_Statement!F61</f>
        <v>3144.8891854383114</v>
      </c>
      <c r="G31" s="13">
        <f>Income_Statement!G61</f>
        <v>2483.7929107954524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1.07</v>
      </c>
      <c r="D32" s="13">
        <f t="shared" ref="D32:G32" si="6">ROUND(D30/D31, 2)</f>
        <v>0.84</v>
      </c>
      <c r="E32" s="13">
        <f t="shared" si="6"/>
        <v>1.1599999999999999</v>
      </c>
      <c r="F32" s="13">
        <f t="shared" si="6"/>
        <v>0.71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-7.0000000000000062E-2</v>
      </c>
      <c r="D33" s="15">
        <f t="shared" ref="D33:G33" si="7">1-D32</f>
        <v>0.16000000000000003</v>
      </c>
      <c r="E33" s="15">
        <f t="shared" si="7"/>
        <v>-0.15999999999999992</v>
      </c>
      <c r="F33" s="15">
        <f t="shared" si="7"/>
        <v>0.29000000000000004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54556.09</v>
      </c>
      <c r="D36" s="13">
        <f>Income_Statement!D5</f>
        <v>75912.02</v>
      </c>
      <c r="E36" s="13">
        <f>Income_Statement!E5</f>
        <v>72423.56</v>
      </c>
      <c r="F36" s="13">
        <f>Income_Statement!F5</f>
        <v>57208.12</v>
      </c>
      <c r="G36" s="13">
        <f>Income_Statement!G5</f>
        <v>92873.82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4140.8999999999996</v>
      </c>
      <c r="D37" s="13">
        <f>Income_Statement!D17</f>
        <v>5079.83</v>
      </c>
      <c r="E37" s="13">
        <f>Income_Statement!E17</f>
        <v>4411.97</v>
      </c>
      <c r="F37" s="13">
        <f>Income_Statement!F17</f>
        <v>3905.88</v>
      </c>
      <c r="G37" s="13">
        <f>Income_Statement!G17</f>
        <v>11103.28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50415.19</v>
      </c>
      <c r="D38" s="16">
        <f t="shared" ref="D38:G38" si="8">ROUND(D36- D37, 2)</f>
        <v>70832.19</v>
      </c>
      <c r="E38" s="16">
        <f t="shared" si="8"/>
        <v>68011.59</v>
      </c>
      <c r="F38" s="16">
        <f t="shared" si="8"/>
        <v>53302.239999999998</v>
      </c>
      <c r="G38" s="16">
        <f t="shared" si="8"/>
        <v>81770.539999999994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54556.09</v>
      </c>
      <c r="D41" s="13">
        <f>Income_Statement!D5</f>
        <v>75912.02</v>
      </c>
      <c r="E41" s="13">
        <f>Income_Statement!E5</f>
        <v>72423.56</v>
      </c>
      <c r="F41" s="13">
        <f>Income_Statement!F5</f>
        <v>57208.12</v>
      </c>
      <c r="G41" s="13">
        <f>Income_Statement!G5</f>
        <v>92873.82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10030.209999999999</v>
      </c>
      <c r="D42" s="13">
        <f>Income_Statement!D25</f>
        <v>12261.96</v>
      </c>
      <c r="E42" s="13">
        <f>Income_Statement!E25</f>
        <v>11033.27</v>
      </c>
      <c r="F42" s="13">
        <f>Income_Statement!F25</f>
        <v>10308.82</v>
      </c>
      <c r="G42" s="13">
        <f>Income_Statement!G25</f>
        <v>18614.349999999999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44525.88</v>
      </c>
      <c r="D43" s="16">
        <f t="shared" ref="D43:G43" si="9">ROUND(D41- D42, 2)</f>
        <v>63650.06</v>
      </c>
      <c r="E43" s="16">
        <f t="shared" si="9"/>
        <v>61390.29</v>
      </c>
      <c r="F43" s="16">
        <f t="shared" si="9"/>
        <v>46899.3</v>
      </c>
      <c r="G43" s="16">
        <f t="shared" si="9"/>
        <v>74259.47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41197.001268402848</v>
      </c>
      <c r="D46" s="13">
        <f>Income_Statement!D49</f>
        <v>59716.805412447218</v>
      </c>
      <c r="E46" s="13">
        <f>Income_Statement!E49</f>
        <v>59565.780405928657</v>
      </c>
      <c r="F46" s="13">
        <f>Income_Statement!F49</f>
        <v>44028.448596136361</v>
      </c>
      <c r="G46" s="13">
        <f>Income_Statement!G49</f>
        <v>69546.20150227267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61334.14</v>
      </c>
      <c r="D47" s="13">
        <f>Balance_Sheet!D74</f>
        <v>121708.06541244722</v>
      </c>
      <c r="E47" s="13">
        <f>Balance_Sheet!E74</f>
        <v>182810.53581837588</v>
      </c>
      <c r="F47" s="13">
        <f>Balance_Sheet!F74</f>
        <v>227087.34441451222</v>
      </c>
      <c r="G47" s="13">
        <f>Balance_Sheet!G74</f>
        <v>300876.0459167849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0.67</v>
      </c>
      <c r="D48" s="15">
        <f t="shared" ref="D48:G48" si="10">ROUND(D46/ D47, 2)</f>
        <v>0.49</v>
      </c>
      <c r="E48" s="15">
        <f t="shared" si="10"/>
        <v>0.33</v>
      </c>
      <c r="F48" s="15">
        <f t="shared" si="10"/>
        <v>0.19</v>
      </c>
      <c r="G48" s="15">
        <f t="shared" si="10"/>
        <v>0.23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43614.76126840285</v>
      </c>
      <c r="D51" s="13">
        <f>Income_Statement!D33</f>
        <v>63154.425412447214</v>
      </c>
      <c r="E51" s="13">
        <f>Income_Statement!E33</f>
        <v>60789.020405928663</v>
      </c>
      <c r="F51" s="13">
        <f>Income_Statement!F33</f>
        <v>45790.348596136355</v>
      </c>
      <c r="G51" s="13">
        <f>Income_Statement!G33</f>
        <v>72908.571502272665</v>
      </c>
    </row>
    <row r="52" spans="2:12" ht="19.5" thickTop="1" x14ac:dyDescent="0.25">
      <c r="B52" s="12" t="str">
        <f>Balance_Sheet!B21</f>
        <v>Total Debt</v>
      </c>
      <c r="C52" s="13">
        <f>Balance_Sheet!C21</f>
        <v>7135.41</v>
      </c>
      <c r="D52" s="13">
        <f>Balance_Sheet!D21</f>
        <v>8580.61</v>
      </c>
      <c r="E52" s="13">
        <f>Balance_Sheet!E21</f>
        <v>10376.790000000001</v>
      </c>
      <c r="F52" s="13">
        <f>Balance_Sheet!F21</f>
        <v>10848.76</v>
      </c>
      <c r="G52" s="13">
        <f>Balance_Sheet!G21</f>
        <v>12029.49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41678.57</v>
      </c>
      <c r="D53" s="13">
        <f>Balance_Sheet!D13</f>
        <v>99304.765412447217</v>
      </c>
      <c r="E53" s="13">
        <f>Balance_Sheet!E13</f>
        <v>157164.60581837589</v>
      </c>
      <c r="F53" s="13">
        <f>Balance_Sheet!F13</f>
        <v>198884.72441451225</v>
      </c>
      <c r="G53" s="13">
        <f>Balance_Sheet!G13</f>
        <v>268430.92591678491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3.06</v>
      </c>
      <c r="D54" s="15">
        <f t="shared" ref="D54:G54" si="11">ROUND(D51/ (D52+ D52), 2)</f>
        <v>3.68</v>
      </c>
      <c r="E54" s="15">
        <f t="shared" si="11"/>
        <v>2.93</v>
      </c>
      <c r="F54" s="15">
        <f t="shared" si="11"/>
        <v>2.11</v>
      </c>
      <c r="G54" s="15">
        <f t="shared" si="11"/>
        <v>3.03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41197.001268402848</v>
      </c>
      <c r="D57" s="13">
        <f>Income_Statement!D49</f>
        <v>59716.805412447218</v>
      </c>
      <c r="E57" s="13">
        <f>Income_Statement!E49</f>
        <v>59565.780405928657</v>
      </c>
      <c r="F57" s="13">
        <f>Income_Statement!F49</f>
        <v>44028.448596136361</v>
      </c>
      <c r="G57" s="13">
        <f>Income_Statement!G49</f>
        <v>69546.20150227267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41678.57</v>
      </c>
      <c r="D58" s="13">
        <f>Balance_Sheet!D13</f>
        <v>99304.765412447217</v>
      </c>
      <c r="E58" s="13">
        <f>Balance_Sheet!E13</f>
        <v>157164.60581837589</v>
      </c>
      <c r="F58" s="13">
        <f>Balance_Sheet!F13</f>
        <v>198884.72441451225</v>
      </c>
      <c r="G58" s="13">
        <f>Balance_Sheet!G13</f>
        <v>268430.92591678491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0.49</v>
      </c>
      <c r="D59" s="15">
        <f t="shared" ref="D59:G59" si="12">ROUND(D57/ (D58+ D58), 2)</f>
        <v>0.3</v>
      </c>
      <c r="E59" s="15">
        <f t="shared" si="12"/>
        <v>0.19</v>
      </c>
      <c r="F59" s="15">
        <f t="shared" si="12"/>
        <v>0.11</v>
      </c>
      <c r="G59" s="15">
        <f t="shared" si="12"/>
        <v>0.13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7135.41</v>
      </c>
      <c r="D62" s="13">
        <f>Balance_Sheet!D21</f>
        <v>8580.61</v>
      </c>
      <c r="E62" s="13">
        <f>Balance_Sheet!E21</f>
        <v>10376.790000000001</v>
      </c>
      <c r="F62" s="13">
        <f>Balance_Sheet!F21</f>
        <v>10848.76</v>
      </c>
      <c r="G62" s="13">
        <f>Balance_Sheet!G21</f>
        <v>12029.49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41678.57</v>
      </c>
      <c r="D63" s="13">
        <f>Balance_Sheet!D13</f>
        <v>99304.765412447217</v>
      </c>
      <c r="E63" s="13">
        <f>Balance_Sheet!E13</f>
        <v>157164.60581837589</v>
      </c>
      <c r="F63" s="13">
        <f>Balance_Sheet!F13</f>
        <v>198884.72441451225</v>
      </c>
      <c r="G63" s="13">
        <f>Balance_Sheet!G13</f>
        <v>268430.92591678491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0.17</v>
      </c>
      <c r="D64" s="14">
        <f t="shared" ref="D64:G64" si="13">ROUND(D62/ D63, 2)</f>
        <v>0.09</v>
      </c>
      <c r="E64" s="14">
        <f t="shared" si="13"/>
        <v>7.0000000000000007E-2</v>
      </c>
      <c r="F64" s="14">
        <f t="shared" si="13"/>
        <v>0.05</v>
      </c>
      <c r="G64" s="14">
        <f t="shared" si="13"/>
        <v>0.04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14463.59</v>
      </c>
      <c r="D67" s="13">
        <f>Balance_Sheet!D72</f>
        <v>70311.20541244722</v>
      </c>
      <c r="E67" s="13">
        <f>Balance_Sheet!E72</f>
        <v>126768.45581837588</v>
      </c>
      <c r="F67" s="13">
        <f>Balance_Sheet!F72</f>
        <v>165390.22441451222</v>
      </c>
      <c r="G67" s="13">
        <f>Balance_Sheet!G72</f>
        <v>232746.22591678493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12481.24</v>
      </c>
      <c r="D68" s="13">
        <f>Balance_Sheet!D33</f>
        <v>13776.74</v>
      </c>
      <c r="E68" s="13">
        <f>Balance_Sheet!E33</f>
        <v>15182.099999999999</v>
      </c>
      <c r="F68" s="13">
        <f>Balance_Sheet!F33</f>
        <v>17256.37</v>
      </c>
      <c r="G68" s="13">
        <f>Balance_Sheet!G33</f>
        <v>20224.45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1.1599999999999999</v>
      </c>
      <c r="D69" s="14">
        <f t="shared" ref="D69:G69" si="14">ROUND(D67/ D68, 2)</f>
        <v>5.0999999999999996</v>
      </c>
      <c r="E69" s="14">
        <f t="shared" si="14"/>
        <v>8.35</v>
      </c>
      <c r="F69" s="14">
        <f t="shared" si="14"/>
        <v>9.58</v>
      </c>
      <c r="G69" s="14">
        <f t="shared" si="14"/>
        <v>11.51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14463.59</v>
      </c>
      <c r="D72" s="13">
        <f>Balance_Sheet!D72</f>
        <v>70311.20541244722</v>
      </c>
      <c r="E72" s="13">
        <f>Balance_Sheet!E72</f>
        <v>126768.45581837588</v>
      </c>
      <c r="F72" s="13">
        <f>Balance_Sheet!F72</f>
        <v>165390.22441451222</v>
      </c>
      <c r="G72" s="13">
        <f>Balance_Sheet!G72</f>
        <v>232746.22591678493</v>
      </c>
    </row>
    <row r="73" spans="2:12" ht="19.5" thickTop="1" x14ac:dyDescent="0.25">
      <c r="B73" s="12" t="str">
        <f>Balance_Sheet!B66</f>
        <v>Inventories</v>
      </c>
      <c r="C73" s="13">
        <f>Balance_Sheet!C66</f>
        <v>1932.51</v>
      </c>
      <c r="D73" s="13">
        <f>Balance_Sheet!D66</f>
        <v>2502.64</v>
      </c>
      <c r="E73" s="13">
        <f>Balance_Sheet!E66</f>
        <v>3183.01</v>
      </c>
      <c r="F73" s="13">
        <f>Balance_Sheet!F66</f>
        <v>2989.73</v>
      </c>
      <c r="G73" s="13">
        <f>Balance_Sheet!G66</f>
        <v>3576.61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12481.24</v>
      </c>
      <c r="D74" s="13">
        <f>Balance_Sheet!D33</f>
        <v>13776.74</v>
      </c>
      <c r="E74" s="13">
        <f>Balance_Sheet!E33</f>
        <v>15182.099999999999</v>
      </c>
      <c r="F74" s="13">
        <f>Balance_Sheet!F33</f>
        <v>17256.37</v>
      </c>
      <c r="G74" s="13">
        <f>Balance_Sheet!G33</f>
        <v>20224.45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1</v>
      </c>
      <c r="D75" s="14">
        <f t="shared" ref="D75:G75" si="15">ROUND((D72-D73)/ D74, 2)</f>
        <v>4.92</v>
      </c>
      <c r="E75" s="14">
        <f t="shared" si="15"/>
        <v>8.14</v>
      </c>
      <c r="F75" s="14">
        <f t="shared" si="15"/>
        <v>9.41</v>
      </c>
      <c r="G75" s="14">
        <f t="shared" si="15"/>
        <v>11.33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43614.76126840285</v>
      </c>
      <c r="D78" s="13">
        <f>Income_Statement!D33</f>
        <v>63154.425412447214</v>
      </c>
      <c r="E78" s="13">
        <f>Income_Statement!E33</f>
        <v>60789.020405928663</v>
      </c>
      <c r="F78" s="13">
        <f>Income_Statement!F33</f>
        <v>45790.348596136355</v>
      </c>
      <c r="G78" s="13">
        <f>Income_Statement!G33</f>
        <v>72908.571502272665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294.91000000000003</v>
      </c>
      <c r="D79" s="13">
        <f>Income_Statement!D35</f>
        <v>159.19999999999999</v>
      </c>
      <c r="E79" s="13">
        <f>Income_Statement!E35</f>
        <v>308.94</v>
      </c>
      <c r="F79" s="13">
        <f>Income_Statement!F35</f>
        <v>179.27</v>
      </c>
      <c r="G79" s="13">
        <f>Income_Statement!G35</f>
        <v>202.48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147.88999999999999</v>
      </c>
      <c r="D80" s="14">
        <f t="shared" ref="D80:G80" si="16">ROUND(D78/D79, 2)</f>
        <v>396.7</v>
      </c>
      <c r="E80" s="14">
        <f t="shared" si="16"/>
        <v>196.77</v>
      </c>
      <c r="F80" s="14">
        <f t="shared" si="16"/>
        <v>255.43</v>
      </c>
      <c r="G80" s="14">
        <f t="shared" si="16"/>
        <v>360.08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4140.8999999999996</v>
      </c>
      <c r="D83" s="13">
        <f>Income_Statement!D17</f>
        <v>5079.83</v>
      </c>
      <c r="E83" s="13">
        <f>Income_Statement!E17</f>
        <v>4411.97</v>
      </c>
      <c r="F83" s="13">
        <f>Income_Statement!F17</f>
        <v>3905.88</v>
      </c>
      <c r="G83" s="13">
        <f>Income_Statement!G17</f>
        <v>11103.28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54358.13</v>
      </c>
      <c r="D84" s="13">
        <f>Income_Statement!D9</f>
        <v>75867.740000000005</v>
      </c>
      <c r="E84" s="13">
        <f>Income_Statement!E9</f>
        <v>72364.28</v>
      </c>
      <c r="F84" s="13">
        <f>Income_Statement!F9</f>
        <v>57151.770000000004</v>
      </c>
      <c r="G84" s="13">
        <f>Income_Statement!G9</f>
        <v>92769.83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0.08</v>
      </c>
      <c r="D85" s="14">
        <f t="shared" ref="D85:G85" si="17">ROUND(D83/D84, 2)</f>
        <v>7.0000000000000007E-2</v>
      </c>
      <c r="E85" s="14">
        <f t="shared" si="17"/>
        <v>0.06</v>
      </c>
      <c r="F85" s="14">
        <f t="shared" si="17"/>
        <v>7.0000000000000007E-2</v>
      </c>
      <c r="G85" s="14">
        <f t="shared" si="17"/>
        <v>0.12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2858.54</v>
      </c>
      <c r="D88" s="13">
        <f>Balance_Sheet!D70</f>
        <v>56392.405412447217</v>
      </c>
      <c r="E88" s="13">
        <f>Balance_Sheet!E70</f>
        <v>112893.32581837587</v>
      </c>
      <c r="F88" s="13">
        <f>Balance_Sheet!F70</f>
        <v>153647.64441451224</v>
      </c>
      <c r="G88" s="13">
        <f>Balance_Sheet!G70</f>
        <v>215461.46591678492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4140.8999999999996</v>
      </c>
      <c r="D89" s="13">
        <f>Income_Statement!D17</f>
        <v>5079.83</v>
      </c>
      <c r="E89" s="13">
        <f>Income_Statement!E17</f>
        <v>4411.97</v>
      </c>
      <c r="F89" s="13">
        <f>Income_Statement!F17</f>
        <v>3905.88</v>
      </c>
      <c r="G89" s="13">
        <f>Income_Statement!G17</f>
        <v>11103.28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>
        <f>ROUND(C88/C89*365, 2)</f>
        <v>251.97</v>
      </c>
      <c r="D90" s="14">
        <f t="shared" ref="D90:G90" si="18">ROUND(D88/D89*365, 2)</f>
        <v>4051.95</v>
      </c>
      <c r="E90" s="14">
        <f t="shared" si="18"/>
        <v>9339.61</v>
      </c>
      <c r="F90" s="14">
        <f t="shared" si="18"/>
        <v>14358.2</v>
      </c>
      <c r="G90" s="14">
        <f t="shared" si="18"/>
        <v>7082.9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2858.54</v>
      </c>
      <c r="D93" s="13">
        <f>Balance_Sheet!D70</f>
        <v>56392.405412447217</v>
      </c>
      <c r="E93" s="13">
        <f>Balance_Sheet!E70</f>
        <v>112893.32581837587</v>
      </c>
      <c r="F93" s="13">
        <f>Balance_Sheet!F70</f>
        <v>153647.64441451224</v>
      </c>
      <c r="G93" s="13">
        <f>Balance_Sheet!G70</f>
        <v>215461.46591678492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2858.54</v>
      </c>
      <c r="D95" s="14">
        <f t="shared" ref="D95:G95" si="19">ROUND(D93/D94*365, 2)</f>
        <v>56392.41</v>
      </c>
      <c r="E95" s="14">
        <f t="shared" si="19"/>
        <v>112893.33</v>
      </c>
      <c r="F95" s="14">
        <f t="shared" si="19"/>
        <v>153647.64000000001</v>
      </c>
      <c r="G95" s="14">
        <f t="shared" si="19"/>
        <v>215461.47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54556.09</v>
      </c>
      <c r="D98" s="13">
        <f>Income_Statement!D5</f>
        <v>75912.02</v>
      </c>
      <c r="E98" s="13">
        <f>Income_Statement!E5</f>
        <v>72423.56</v>
      </c>
      <c r="F98" s="13">
        <f>Income_Statement!F5</f>
        <v>57208.12</v>
      </c>
      <c r="G98" s="13">
        <f>Income_Statement!G5</f>
        <v>92873.82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61334.14</v>
      </c>
      <c r="D99" s="13">
        <f>Balance_Sheet!D74</f>
        <v>121708.06541244722</v>
      </c>
      <c r="E99" s="13">
        <f>Balance_Sheet!E74</f>
        <v>182810.53581837588</v>
      </c>
      <c r="F99" s="13">
        <f>Balance_Sheet!F74</f>
        <v>227087.34441451222</v>
      </c>
      <c r="G99" s="13">
        <f>Balance_Sheet!G74</f>
        <v>300876.0459167849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0.89</v>
      </c>
      <c r="D100" s="14">
        <f t="shared" ref="D100:G100" si="20">ROUND(D98/D99, 2)</f>
        <v>0.62</v>
      </c>
      <c r="E100" s="14">
        <f t="shared" si="20"/>
        <v>0.4</v>
      </c>
      <c r="F100" s="14">
        <f t="shared" si="20"/>
        <v>0.25</v>
      </c>
      <c r="G100" s="14">
        <f t="shared" si="20"/>
        <v>0.31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54556.09</v>
      </c>
      <c r="D103" s="13">
        <f>Income_Statement!D5</f>
        <v>75912.02</v>
      </c>
      <c r="E103" s="13">
        <f>Income_Statement!E5</f>
        <v>72423.56</v>
      </c>
      <c r="F103" s="13">
        <f>Income_Statement!F5</f>
        <v>57208.12</v>
      </c>
      <c r="G103" s="13">
        <f>Income_Statement!G5</f>
        <v>92873.82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1932.51</v>
      </c>
      <c r="D104" s="13">
        <f>Balance_Sheet!D66</f>
        <v>2502.64</v>
      </c>
      <c r="E104" s="13">
        <f>Balance_Sheet!E66</f>
        <v>3183.01</v>
      </c>
      <c r="F104" s="13">
        <f>Balance_Sheet!F66</f>
        <v>2989.73</v>
      </c>
      <c r="G104" s="13">
        <f>Balance_Sheet!G66</f>
        <v>3576.61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28.23</v>
      </c>
      <c r="D105" s="14">
        <f t="shared" ref="D105:G105" si="21">ROUND(D103/D104, 2)</f>
        <v>30.33</v>
      </c>
      <c r="E105" s="14">
        <f t="shared" si="21"/>
        <v>22.75</v>
      </c>
      <c r="F105" s="14">
        <f t="shared" si="21"/>
        <v>19.13</v>
      </c>
      <c r="G105" s="14">
        <f t="shared" si="21"/>
        <v>25.97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54556.09</v>
      </c>
      <c r="D108" s="13">
        <f>Income_Statement!D5</f>
        <v>75912.02</v>
      </c>
      <c r="E108" s="13">
        <f>Income_Statement!E5</f>
        <v>72423.56</v>
      </c>
      <c r="F108" s="13">
        <f>Income_Statement!F5</f>
        <v>57208.12</v>
      </c>
      <c r="G108" s="13">
        <f>Income_Statement!G5</f>
        <v>92873.82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3429.56</v>
      </c>
      <c r="D109" s="13">
        <f>Balance_Sheet!D68</f>
        <v>4363.3900000000003</v>
      </c>
      <c r="E109" s="13">
        <f>Balance_Sheet!E68</f>
        <v>4818.3100000000004</v>
      </c>
      <c r="F109" s="13">
        <f>Balance_Sheet!F68</f>
        <v>3501.5</v>
      </c>
      <c r="G109" s="13">
        <f>Balance_Sheet!G68</f>
        <v>7446.53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15.91</v>
      </c>
      <c r="D110" s="14">
        <f t="shared" ref="D110:G110" si="22">ROUND(D108/D109, 2)</f>
        <v>17.399999999999999</v>
      </c>
      <c r="E110" s="14">
        <f t="shared" si="22"/>
        <v>15.03</v>
      </c>
      <c r="F110" s="14">
        <f t="shared" si="22"/>
        <v>16.34</v>
      </c>
      <c r="G110" s="14">
        <f t="shared" si="22"/>
        <v>12.47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54556.09</v>
      </c>
      <c r="D113" s="13">
        <f>Income_Statement!D5</f>
        <v>75912.02</v>
      </c>
      <c r="E113" s="13">
        <f>Income_Statement!E5</f>
        <v>72423.56</v>
      </c>
      <c r="F113" s="13">
        <f>Income_Statement!F5</f>
        <v>57208.12</v>
      </c>
      <c r="G113" s="13">
        <f>Income_Statement!G5</f>
        <v>92873.82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29416.84</v>
      </c>
      <c r="D114" s="13">
        <f>Balance_Sheet!D40</f>
        <v>31287.77</v>
      </c>
      <c r="E114" s="13">
        <f>Balance_Sheet!E40</f>
        <v>36349.26</v>
      </c>
      <c r="F114" s="13">
        <f>Balance_Sheet!F40</f>
        <v>38859.660000000003</v>
      </c>
      <c r="G114" s="13">
        <f>Balance_Sheet!G40</f>
        <v>60062.46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1.85</v>
      </c>
      <c r="D115" s="14">
        <f t="shared" ref="D115:G115" si="23">ROUND(D113/D114, 2)</f>
        <v>2.4300000000000002</v>
      </c>
      <c r="E115" s="14">
        <f t="shared" si="23"/>
        <v>1.99</v>
      </c>
      <c r="F115" s="14">
        <f t="shared" si="23"/>
        <v>1.47</v>
      </c>
      <c r="G115" s="14">
        <f t="shared" si="23"/>
        <v>1.55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4140.8999999999996</v>
      </c>
      <c r="D118" s="13">
        <f>Income_Statement!D17</f>
        <v>5079.83</v>
      </c>
      <c r="E118" s="13">
        <f>Income_Statement!E17</f>
        <v>4411.97</v>
      </c>
      <c r="F118" s="13">
        <f>Income_Statement!F17</f>
        <v>3905.88</v>
      </c>
      <c r="G118" s="13">
        <f>Income_Statement!G17</f>
        <v>11103.28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12481.24</v>
      </c>
      <c r="D119" s="13">
        <f>Balance_Sheet!D33</f>
        <v>13776.74</v>
      </c>
      <c r="E119" s="13">
        <f>Balance_Sheet!E33</f>
        <v>15182.099999999999</v>
      </c>
      <c r="F119" s="13">
        <f>Balance_Sheet!F33</f>
        <v>17256.37</v>
      </c>
      <c r="G119" s="13">
        <f>Balance_Sheet!G33</f>
        <v>20224.45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0.33</v>
      </c>
      <c r="D120" s="14">
        <f t="shared" ref="D120:G120" si="24">ROUND(D118/D119, 2)</f>
        <v>0.37</v>
      </c>
      <c r="E120" s="14">
        <f t="shared" si="24"/>
        <v>0.28999999999999998</v>
      </c>
      <c r="F120" s="14">
        <f t="shared" si="24"/>
        <v>0.23</v>
      </c>
      <c r="G120" s="14">
        <f t="shared" si="24"/>
        <v>0.55000000000000004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54556.09</v>
      </c>
      <c r="D123" s="13">
        <f>Income_Statement!D5</f>
        <v>75912.02</v>
      </c>
      <c r="E123" s="13">
        <f>Income_Statement!E5</f>
        <v>72423.56</v>
      </c>
      <c r="F123" s="13">
        <f>Income_Statement!F5</f>
        <v>57208.12</v>
      </c>
      <c r="G123" s="13">
        <f>Income_Statement!G5</f>
        <v>92873.82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1932.51</v>
      </c>
      <c r="D124" s="13">
        <f>Balance_Sheet!D66</f>
        <v>2502.64</v>
      </c>
      <c r="E124" s="13">
        <f>Balance_Sheet!E66</f>
        <v>3183.01</v>
      </c>
      <c r="F124" s="13">
        <f>Balance_Sheet!F66</f>
        <v>2989.73</v>
      </c>
      <c r="G124" s="13">
        <f>Balance_Sheet!G66</f>
        <v>3576.61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12.93</v>
      </c>
      <c r="D125" s="14">
        <f t="shared" ref="D125:G125" si="25">ROUND(365/D123*D124, 2)</f>
        <v>12.03</v>
      </c>
      <c r="E125" s="14">
        <f t="shared" si="25"/>
        <v>16.04</v>
      </c>
      <c r="F125" s="14">
        <f t="shared" si="25"/>
        <v>19.079999999999998</v>
      </c>
      <c r="G125" s="14">
        <f t="shared" si="25"/>
        <v>14.06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4140.8999999999996</v>
      </c>
      <c r="D128" s="13">
        <f>Income_Statement!D17</f>
        <v>5079.83</v>
      </c>
      <c r="E128" s="13">
        <f>Income_Statement!E17</f>
        <v>4411.97</v>
      </c>
      <c r="F128" s="13">
        <f>Income_Statement!F17</f>
        <v>3905.88</v>
      </c>
      <c r="G128" s="13">
        <f>Income_Statement!G17</f>
        <v>11103.28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12481.24</v>
      </c>
      <c r="D129" s="13">
        <f>Balance_Sheet!D33</f>
        <v>13776.74</v>
      </c>
      <c r="E129" s="13">
        <f>Balance_Sheet!E33</f>
        <v>15182.099999999999</v>
      </c>
      <c r="F129" s="13">
        <f>Balance_Sheet!F33</f>
        <v>17256.37</v>
      </c>
      <c r="G129" s="13">
        <f>Balance_Sheet!G33</f>
        <v>20224.45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>
        <f>ROUND(365/C128*C129, 2)</f>
        <v>1100.1600000000001</v>
      </c>
      <c r="D130" s="14">
        <f t="shared" ref="D130:G130" si="26">ROUND(365/D128*D129, 2)</f>
        <v>989.9</v>
      </c>
      <c r="E130" s="14">
        <f t="shared" si="26"/>
        <v>1256.01</v>
      </c>
      <c r="F130" s="14">
        <f t="shared" si="26"/>
        <v>1612.59</v>
      </c>
      <c r="G130" s="14">
        <f t="shared" si="26"/>
        <v>664.84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54556.09</v>
      </c>
      <c r="D133" s="13">
        <f>Income_Statement!D5</f>
        <v>75912.02</v>
      </c>
      <c r="E133" s="13">
        <f>Income_Statement!E5</f>
        <v>72423.56</v>
      </c>
      <c r="F133" s="13">
        <f>Income_Statement!F5</f>
        <v>57208.12</v>
      </c>
      <c r="G133" s="13">
        <f>Income_Statement!G5</f>
        <v>92873.82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3429.56</v>
      </c>
      <c r="D134" s="13">
        <f>Balance_Sheet!D68</f>
        <v>4363.3900000000003</v>
      </c>
      <c r="E134" s="13">
        <f>Balance_Sheet!E68</f>
        <v>4818.3100000000004</v>
      </c>
      <c r="F134" s="13">
        <f>Balance_Sheet!F68</f>
        <v>3501.5</v>
      </c>
      <c r="G134" s="13">
        <f>Balance_Sheet!G68</f>
        <v>7446.53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22.94</v>
      </c>
      <c r="D135" s="14">
        <f t="shared" ref="D135:G135" si="27">ROUND(365/D133*D134, 2)</f>
        <v>20.98</v>
      </c>
      <c r="E135" s="14">
        <f t="shared" si="27"/>
        <v>24.28</v>
      </c>
      <c r="F135" s="14">
        <f t="shared" si="27"/>
        <v>22.34</v>
      </c>
      <c r="G135" s="14">
        <f t="shared" si="27"/>
        <v>29.27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54556.09</v>
      </c>
      <c r="D138" s="13">
        <f>Income_Statement!D5</f>
        <v>75912.02</v>
      </c>
      <c r="E138" s="13">
        <f>Income_Statement!E5</f>
        <v>72423.56</v>
      </c>
      <c r="F138" s="13">
        <f>Income_Statement!F5</f>
        <v>57208.12</v>
      </c>
      <c r="G138" s="13">
        <f>Income_Statement!G5</f>
        <v>92873.82</v>
      </c>
    </row>
    <row r="139" spans="2:12" ht="18.75" x14ac:dyDescent="0.25">
      <c r="B139" s="12" t="str">
        <f>Balance_Sheet!B66</f>
        <v>Inventories</v>
      </c>
      <c r="C139" s="13">
        <f>Balance_Sheet!C66</f>
        <v>1932.51</v>
      </c>
      <c r="D139" s="13">
        <f>Balance_Sheet!D66</f>
        <v>2502.64</v>
      </c>
      <c r="E139" s="13">
        <f>Balance_Sheet!E66</f>
        <v>3183.01</v>
      </c>
      <c r="F139" s="13">
        <f>Balance_Sheet!F66</f>
        <v>2989.73</v>
      </c>
      <c r="G139" s="13">
        <f>Balance_Sheet!G66</f>
        <v>3576.61</v>
      </c>
    </row>
    <row r="140" spans="2:12" ht="18.75" x14ac:dyDescent="0.25">
      <c r="B140" s="12" t="s">
        <v>192</v>
      </c>
      <c r="C140" s="13">
        <f>ROUND(365/C138*C139, 2)</f>
        <v>12.93</v>
      </c>
      <c r="D140" s="13">
        <f t="shared" ref="D140:G140" si="28">ROUND(365/D138*D139, 2)</f>
        <v>12.03</v>
      </c>
      <c r="E140" s="13">
        <f t="shared" si="28"/>
        <v>16.04</v>
      </c>
      <c r="F140" s="13">
        <f t="shared" si="28"/>
        <v>19.079999999999998</v>
      </c>
      <c r="G140" s="13">
        <f t="shared" si="28"/>
        <v>14.06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4140.8999999999996</v>
      </c>
      <c r="D141" s="13">
        <f>Income_Statement!D17</f>
        <v>5079.83</v>
      </c>
      <c r="E141" s="13">
        <f>Income_Statement!E17</f>
        <v>4411.97</v>
      </c>
      <c r="F141" s="13">
        <f>Income_Statement!F17</f>
        <v>3905.88</v>
      </c>
      <c r="G141" s="13">
        <f>Income_Statement!G17</f>
        <v>11103.28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12481.24</v>
      </c>
      <c r="D142" s="13">
        <f>Balance_Sheet!D33</f>
        <v>13776.74</v>
      </c>
      <c r="E142" s="13">
        <f>Balance_Sheet!E33</f>
        <v>15182.099999999999</v>
      </c>
      <c r="F142" s="13">
        <f>Balance_Sheet!F33</f>
        <v>17256.37</v>
      </c>
      <c r="G142" s="13">
        <f>Balance_Sheet!G33</f>
        <v>20224.45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>
        <f>ROUND(365/C141*C142, 2)</f>
        <v>1100.1600000000001</v>
      </c>
      <c r="D143" s="13">
        <f t="shared" ref="D143:G143" si="29">ROUND(365/D141*D142, 2)</f>
        <v>989.9</v>
      </c>
      <c r="E143" s="13">
        <f t="shared" si="29"/>
        <v>1256.01</v>
      </c>
      <c r="F143" s="13">
        <f t="shared" si="29"/>
        <v>1612.59</v>
      </c>
      <c r="G143" s="13">
        <f t="shared" si="29"/>
        <v>664.84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>
        <f>ROUND(C143+C140, 2)</f>
        <v>1113.0899999999999</v>
      </c>
      <c r="D144" s="16">
        <f t="shared" ref="D144:G144" si="30">ROUND(D143+D140, 2)</f>
        <v>1001.93</v>
      </c>
      <c r="E144" s="16">
        <f t="shared" si="30"/>
        <v>1272.05</v>
      </c>
      <c r="F144" s="16">
        <f t="shared" si="30"/>
        <v>1631.67</v>
      </c>
      <c r="G144" s="16">
        <f t="shared" si="30"/>
        <v>678.9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54556.09</v>
      </c>
      <c r="D147" s="13">
        <f>Income_Statement!D5</f>
        <v>75912.02</v>
      </c>
      <c r="E147" s="13">
        <f>Income_Statement!E5</f>
        <v>72423.56</v>
      </c>
      <c r="F147" s="13">
        <f>Income_Statement!F5</f>
        <v>57208.12</v>
      </c>
      <c r="G147" s="13">
        <f>Income_Statement!G5</f>
        <v>92873.82</v>
      </c>
    </row>
    <row r="148" spans="2:12" ht="18.75" x14ac:dyDescent="0.25">
      <c r="B148" s="12" t="str">
        <f>Balance_Sheet!B66</f>
        <v>Inventories</v>
      </c>
      <c r="C148" s="13">
        <f>Balance_Sheet!C66</f>
        <v>1932.51</v>
      </c>
      <c r="D148" s="13">
        <f>Balance_Sheet!D66</f>
        <v>2502.64</v>
      </c>
      <c r="E148" s="13">
        <f>Balance_Sheet!E66</f>
        <v>3183.01</v>
      </c>
      <c r="F148" s="13">
        <f>Balance_Sheet!F66</f>
        <v>2989.73</v>
      </c>
      <c r="G148" s="13">
        <f>Balance_Sheet!G66</f>
        <v>3576.61</v>
      </c>
    </row>
    <row r="149" spans="2:12" ht="18.75" x14ac:dyDescent="0.25">
      <c r="B149" s="12" t="s">
        <v>192</v>
      </c>
      <c r="C149" s="13">
        <f>ROUND(365/C147*C148, 2)</f>
        <v>12.93</v>
      </c>
      <c r="D149" s="13">
        <f t="shared" ref="D149:G149" si="31">ROUND(365/D147*D148, 2)</f>
        <v>12.03</v>
      </c>
      <c r="E149" s="13">
        <f t="shared" si="31"/>
        <v>16.04</v>
      </c>
      <c r="F149" s="13">
        <f t="shared" si="31"/>
        <v>19.079999999999998</v>
      </c>
      <c r="G149" s="13">
        <f t="shared" si="31"/>
        <v>14.06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4140.8999999999996</v>
      </c>
      <c r="D150" s="13">
        <f>Income_Statement!D17</f>
        <v>5079.83</v>
      </c>
      <c r="E150" s="13">
        <f>Income_Statement!E17</f>
        <v>4411.97</v>
      </c>
      <c r="F150" s="13">
        <f>Income_Statement!F17</f>
        <v>3905.88</v>
      </c>
      <c r="G150" s="13">
        <f>Income_Statement!G17</f>
        <v>11103.28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12481.24</v>
      </c>
      <c r="D151" s="13">
        <f>Balance_Sheet!D33</f>
        <v>13776.74</v>
      </c>
      <c r="E151" s="13">
        <f>Balance_Sheet!E33</f>
        <v>15182.099999999999</v>
      </c>
      <c r="F151" s="13">
        <f>Balance_Sheet!F33</f>
        <v>17256.37</v>
      </c>
      <c r="G151" s="13">
        <f>Balance_Sheet!G33</f>
        <v>20224.45</v>
      </c>
    </row>
    <row r="152" spans="2:12" ht="18.75" x14ac:dyDescent="0.25">
      <c r="B152" s="12" t="s">
        <v>194</v>
      </c>
      <c r="C152" s="13">
        <f>ROUND(365/C150*C151, 2)</f>
        <v>1100.1600000000001</v>
      </c>
      <c r="D152" s="13">
        <f t="shared" ref="D152:G152" si="32">ROUND(365/D150*D151, 2)</f>
        <v>989.9</v>
      </c>
      <c r="E152" s="13">
        <f t="shared" si="32"/>
        <v>1256.01</v>
      </c>
      <c r="F152" s="13">
        <f t="shared" si="32"/>
        <v>1612.59</v>
      </c>
      <c r="G152" s="13">
        <f t="shared" si="32"/>
        <v>664.84</v>
      </c>
    </row>
    <row r="153" spans="2:12" ht="18.75" x14ac:dyDescent="0.25">
      <c r="B153" s="12" t="s">
        <v>200</v>
      </c>
      <c r="C153" s="13">
        <f>ROUND(C152+C149, 2)</f>
        <v>1113.0899999999999</v>
      </c>
      <c r="D153" s="13">
        <f t="shared" ref="D153:G153" si="33">ROUND(D152+D149, 2)</f>
        <v>1001.93</v>
      </c>
      <c r="E153" s="13">
        <f t="shared" si="33"/>
        <v>1272.05</v>
      </c>
      <c r="F153" s="13">
        <f t="shared" si="33"/>
        <v>1631.67</v>
      </c>
      <c r="G153" s="13">
        <f t="shared" si="33"/>
        <v>678.9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4140.8999999999996</v>
      </c>
      <c r="D154" s="13">
        <f>Income_Statement!D17</f>
        <v>5079.83</v>
      </c>
      <c r="E154" s="13">
        <f>Income_Statement!E17</f>
        <v>4411.97</v>
      </c>
      <c r="F154" s="13">
        <f>Income_Statement!F17</f>
        <v>3905.88</v>
      </c>
      <c r="G154" s="13">
        <f>Income_Statement!G17</f>
        <v>11103.28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12481.24</v>
      </c>
      <c r="D155" s="13">
        <f>Balance_Sheet!D33</f>
        <v>13776.74</v>
      </c>
      <c r="E155" s="13">
        <f>Balance_Sheet!E33</f>
        <v>15182.099999999999</v>
      </c>
      <c r="F155" s="13">
        <f>Balance_Sheet!F33</f>
        <v>17256.37</v>
      </c>
      <c r="G155" s="13">
        <f>Balance_Sheet!G33</f>
        <v>20224.45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>
        <f>ROUND(365/C154*C155, 2)</f>
        <v>1100.1600000000001</v>
      </c>
      <c r="D156" s="13">
        <f t="shared" ref="D156:G156" si="34">ROUND(365/D154*D155, 2)</f>
        <v>989.9</v>
      </c>
      <c r="E156" s="13">
        <f t="shared" si="34"/>
        <v>1256.01</v>
      </c>
      <c r="F156" s="13">
        <f t="shared" si="34"/>
        <v>1612.59</v>
      </c>
      <c r="G156" s="13">
        <f t="shared" si="34"/>
        <v>664.84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>
        <f>ROUND(C156-C153, 2)</f>
        <v>-12.93</v>
      </c>
      <c r="D157" s="16">
        <f t="shared" ref="D157:G157" si="35">ROUND(D156-D153, 2)</f>
        <v>-12.03</v>
      </c>
      <c r="E157" s="16">
        <f t="shared" si="35"/>
        <v>-16.04</v>
      </c>
      <c r="F157" s="16">
        <f t="shared" si="35"/>
        <v>-19.079999999999998</v>
      </c>
      <c r="G157" s="16">
        <f t="shared" si="35"/>
        <v>-14.06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D8BBF07A-36E6-4650-A909-8DEED3D4D5E7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6B3FAB9D-A0D5-496B-A72D-A80975CF1B9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1A3C8169-1BB4-4BED-9150-568BC60757C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1728D06B-6DCF-4DB8-9BAB-1DD2702679A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F34B8001-6077-4549-B0A4-8F2316BEBC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AD23D868-CAE7-43FA-95C1-73359CFC7C7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008CCDFD-9B7D-458E-B832-EB89796ABF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F4374370-DC3D-4337-98BA-4CB9AFD55B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159F0078-991D-4114-9858-6C904CFE10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7F0060A-4033-41EB-A6B2-02F8ED59E1D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26901B7B-5DDF-45CE-89E7-0846066413A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49399992-032A-487A-9427-24A559417E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C1996029-DE13-455E-BCCB-8923D3E91D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30521439-E5F7-4018-98EF-F78A8EF7BF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EA520019-219B-48D3-94D3-FB115D4FE3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F57AC340-2260-4C7C-BA10-8646EAC7F97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9DEB3D0D-409E-43C0-B606-241301C6478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D085E3C5-6B39-40F7-81A9-F0F652CFC2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8BFF711C-EEB4-40B7-997C-A9BB6F2C5B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02258F41-4356-4B7C-A601-A908F3B7AE6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7023FCF5-D81E-4C90-B45F-C1D168B705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A9BCA914-F697-4730-A7DB-B4D858BC023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41C89905-5B06-414E-A9D2-1273721293A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7E81EDA3-EB08-4EBF-8AF9-0015E56E00E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8E368586-91FD-4E4D-BB5D-AFE6E0D7AC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6312DB43-CA8A-4BD3-BA63-A76B37091C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930D9806-06C6-46AD-BF09-977DCB134AE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415FD0EC-E92C-4323-8E54-1D3A7D9CF2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B2F6-2C92-4148-A6E3-207EC55841D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41197.001268402848</v>
      </c>
      <c r="D6" s="13">
        <f>Income_Statement!D49</f>
        <v>59716.805412447218</v>
      </c>
      <c r="E6" s="13">
        <f>Income_Statement!E49</f>
        <v>59565.780405928657</v>
      </c>
      <c r="F6" s="13">
        <f>Income_Statement!F49</f>
        <v>44028.448596136361</v>
      </c>
      <c r="G6" s="13">
        <f>Income_Statement!G49</f>
        <v>69546.20150227267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</row>
    <row r="8" spans="2:15" ht="18.75" x14ac:dyDescent="0.25">
      <c r="B8" s="14" t="s">
        <v>146</v>
      </c>
      <c r="C8" s="14">
        <f>ROUND(C6/C7, 2)</f>
        <v>21</v>
      </c>
      <c r="D8" s="14">
        <f t="shared" ref="D8:G8" si="0">ROUND(D6/D7, 2)</f>
        <v>29</v>
      </c>
      <c r="E8" s="14">
        <f t="shared" si="0"/>
        <v>21</v>
      </c>
      <c r="F8" s="14">
        <f t="shared" si="0"/>
        <v>14</v>
      </c>
      <c r="G8" s="14">
        <f t="shared" si="0"/>
        <v>28</v>
      </c>
    </row>
  </sheetData>
  <mergeCells count="1">
    <mergeCell ref="B5:G5"/>
  </mergeCells>
  <hyperlinks>
    <hyperlink ref="F1" location="Index_Data!A1" tooltip="Hi click here To return Index page" display="Index_Data!A1" xr:uid="{6C96D629-5A39-4E18-A04A-E44BCF8D6AE5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C4F1C-B516-415A-AC16-B10E1AAEB6D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2106.86</v>
      </c>
      <c r="D6" s="13">
        <f>Income_Statement!D51</f>
        <v>1734.15</v>
      </c>
      <c r="E6" s="13">
        <f>Income_Statement!E51</f>
        <v>3285.64</v>
      </c>
      <c r="F6" s="13">
        <f>Income_Statement!F51</f>
        <v>2238.58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1961.7619651620403</v>
      </c>
      <c r="D7" s="13">
        <f>Income_Statement!D61</f>
        <v>2059.2001866361111</v>
      </c>
      <c r="E7" s="13">
        <f>Income_Statement!E61</f>
        <v>2836.4657336156502</v>
      </c>
      <c r="F7" s="13">
        <f>Income_Statement!F61</f>
        <v>3144.8891854383114</v>
      </c>
      <c r="G7" s="13">
        <f>Income_Statement!G61</f>
        <v>2483.7929107954524</v>
      </c>
    </row>
    <row r="8" spans="2:15" ht="18.75" x14ac:dyDescent="0.25">
      <c r="B8" s="14" t="s">
        <v>148</v>
      </c>
      <c r="C8" s="14">
        <f>ROUND(C6/C7, 2)</f>
        <v>1.07</v>
      </c>
      <c r="D8" s="14">
        <f t="shared" ref="D8:G8" si="0">ROUND(D6/D7, 2)</f>
        <v>0.84</v>
      </c>
      <c r="E8" s="14">
        <f t="shared" si="0"/>
        <v>1.1599999999999999</v>
      </c>
      <c r="F8" s="14">
        <f t="shared" si="0"/>
        <v>0.71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89BA5895-C48E-40A4-A3EF-082454C3E873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2022-07-03T11:19:57Z</dcterms:created>
  <dcterms:modified xsi:type="dcterms:W3CDTF">2022-07-04T08:12:26Z</dcterms:modified>
</cp:coreProperties>
</file>