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F4666F45-F1D9-44C5-BBB4-2A450C7D7018}" xr6:coauthVersionLast="47" xr6:coauthVersionMax="47" xr10:uidLastSave="{00000000-0000-0000-0000-000000000000}"/>
  <bookViews>
    <workbookView xWindow="-120" yWindow="-120" windowWidth="20730" windowHeight="11160" firstSheet="2" activeTab="2" xr2:uid="{14D763DE-7EA8-4D4F-8B2B-77D3AB80B179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/>
  <c r="K64" i="3"/>
  <c r="L64" i="3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J46" i="5" s="1"/>
  <c r="J47" i="5" s="1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K7" i="5" s="1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L47" i="5"/>
  <c r="H46" i="5"/>
  <c r="H47" i="5" s="1"/>
  <c r="I46" i="5"/>
  <c r="I47" i="5" s="1"/>
  <c r="K46" i="5"/>
  <c r="K47" i="5" s="1"/>
  <c r="L46" i="5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K8" i="5"/>
  <c r="L8" i="5"/>
  <c r="H7" i="5"/>
  <c r="I7" i="5"/>
  <c r="I10" i="5" s="1"/>
  <c r="J7" i="5"/>
  <c r="L7" i="5"/>
  <c r="L10" i="5" s="1"/>
  <c r="L66" i="4"/>
  <c r="H66" i="4"/>
  <c r="I67" i="4"/>
  <c r="J67" i="4" s="1"/>
  <c r="K67" i="4" s="1"/>
  <c r="L67" i="4" s="1"/>
  <c r="H67" i="4"/>
  <c r="L64" i="4"/>
  <c r="H64" i="4"/>
  <c r="I65" i="4"/>
  <c r="J65" i="4" s="1"/>
  <c r="K65" i="4" s="1"/>
  <c r="L65" i="4" s="1"/>
  <c r="H65" i="4"/>
  <c r="H62" i="4"/>
  <c r="I63" i="4"/>
  <c r="I62" i="4" s="1"/>
  <c r="H63" i="4"/>
  <c r="I58" i="4"/>
  <c r="K58" i="4"/>
  <c r="L58" i="4"/>
  <c r="H58" i="4"/>
  <c r="I59" i="4"/>
  <c r="J59" i="4" s="1"/>
  <c r="K59" i="4" s="1"/>
  <c r="L59" i="4" s="1"/>
  <c r="H59" i="4"/>
  <c r="K56" i="4"/>
  <c r="L56" i="4"/>
  <c r="H56" i="4"/>
  <c r="I57" i="4"/>
  <c r="J57" i="4" s="1"/>
  <c r="K57" i="4" s="1"/>
  <c r="L57" i="4" s="1"/>
  <c r="H57" i="4"/>
  <c r="K52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K48" i="4"/>
  <c r="L48" i="4"/>
  <c r="H48" i="4"/>
  <c r="I49" i="4"/>
  <c r="J49" i="4" s="1"/>
  <c r="K49" i="4" s="1"/>
  <c r="L49" i="4" s="1"/>
  <c r="H49" i="4"/>
  <c r="L42" i="4"/>
  <c r="H42" i="4"/>
  <c r="I43" i="4"/>
  <c r="J43" i="4" s="1"/>
  <c r="K43" i="4" s="1"/>
  <c r="L43" i="4" s="1"/>
  <c r="H43" i="4"/>
  <c r="H40" i="4"/>
  <c r="H46" i="4" s="1"/>
  <c r="I41" i="4"/>
  <c r="I40" i="4" s="1"/>
  <c r="H41" i="4"/>
  <c r="L35" i="4"/>
  <c r="H35" i="4"/>
  <c r="I36" i="4"/>
  <c r="J36" i="4" s="1"/>
  <c r="K36" i="4" s="1"/>
  <c r="L36" i="4" s="1"/>
  <c r="H36" i="4"/>
  <c r="H33" i="4"/>
  <c r="H34" i="4" s="1"/>
  <c r="L31" i="4"/>
  <c r="H31" i="4"/>
  <c r="I32" i="4"/>
  <c r="I31" i="4" s="1"/>
  <c r="J32" i="4"/>
  <c r="K32" i="4" s="1"/>
  <c r="L32" i="4" s="1"/>
  <c r="H32" i="4"/>
  <c r="H29" i="4"/>
  <c r="I30" i="4"/>
  <c r="I29" i="4" s="1"/>
  <c r="H30" i="4"/>
  <c r="H27" i="4"/>
  <c r="I28" i="4"/>
  <c r="I27" i="4" s="1"/>
  <c r="J28" i="4"/>
  <c r="J27" i="4" s="1"/>
  <c r="K28" i="4"/>
  <c r="L28" i="4" s="1"/>
  <c r="L27" i="4" s="1"/>
  <c r="H28" i="4"/>
  <c r="L25" i="4"/>
  <c r="H25" i="4"/>
  <c r="I26" i="4"/>
  <c r="J26" i="4" s="1"/>
  <c r="K26" i="4" s="1"/>
  <c r="L26" i="4" s="1"/>
  <c r="H26" i="4"/>
  <c r="L23" i="4"/>
  <c r="H23" i="4"/>
  <c r="I24" i="4"/>
  <c r="J24" i="4" s="1"/>
  <c r="K24" i="4" s="1"/>
  <c r="L24" i="4" s="1"/>
  <c r="H24" i="4"/>
  <c r="H21" i="4"/>
  <c r="I22" i="4"/>
  <c r="I21" i="4" s="1"/>
  <c r="H22" i="4"/>
  <c r="L19" i="4"/>
  <c r="H19" i="4"/>
  <c r="I20" i="4"/>
  <c r="J20" i="4" s="1"/>
  <c r="K20" i="4" s="1"/>
  <c r="L20" i="4" s="1"/>
  <c r="H20" i="4"/>
  <c r="L17" i="4"/>
  <c r="H17" i="4"/>
  <c r="I18" i="4"/>
  <c r="J18" i="4" s="1"/>
  <c r="K18" i="4" s="1"/>
  <c r="L18" i="4" s="1"/>
  <c r="H18" i="4"/>
  <c r="K15" i="4"/>
  <c r="L15" i="4"/>
  <c r="H15" i="4"/>
  <c r="I16" i="4"/>
  <c r="J16" i="4" s="1"/>
  <c r="K16" i="4" s="1"/>
  <c r="L16" i="4" s="1"/>
  <c r="H16" i="4"/>
  <c r="H13" i="4"/>
  <c r="H14" i="4" s="1"/>
  <c r="I13" i="4"/>
  <c r="J13" i="4"/>
  <c r="K13" i="4"/>
  <c r="K14" i="4" s="1"/>
  <c r="L13" i="4"/>
  <c r="I14" i="4"/>
  <c r="J14" i="4"/>
  <c r="L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I68" i="4"/>
  <c r="H68" i="4"/>
  <c r="I69" i="4"/>
  <c r="J69" i="4" s="1"/>
  <c r="K69" i="4" s="1"/>
  <c r="L69" i="4" s="1"/>
  <c r="L68" i="4" s="1"/>
  <c r="H69" i="4"/>
  <c r="L53" i="3"/>
  <c r="H53" i="3"/>
  <c r="I54" i="3"/>
  <c r="J54" i="3" s="1"/>
  <c r="K54" i="3" s="1"/>
  <c r="L54" i="3" s="1"/>
  <c r="H54" i="3"/>
  <c r="H51" i="3"/>
  <c r="I52" i="3"/>
  <c r="I51" i="3" s="1"/>
  <c r="H52" i="3"/>
  <c r="L43" i="3"/>
  <c r="H43" i="3"/>
  <c r="I44" i="3"/>
  <c r="J44" i="3" s="1"/>
  <c r="K44" i="3" s="1"/>
  <c r="L44" i="3" s="1"/>
  <c r="H44" i="3"/>
  <c r="K39" i="3"/>
  <c r="L39" i="3"/>
  <c r="H39" i="3"/>
  <c r="I40" i="3"/>
  <c r="J40" i="3" s="1"/>
  <c r="K40" i="3" s="1"/>
  <c r="L40" i="3" s="1"/>
  <c r="H40" i="3"/>
  <c r="H33" i="3"/>
  <c r="H37" i="3" s="1"/>
  <c r="I33" i="3"/>
  <c r="I37" i="3" s="1"/>
  <c r="J33" i="3"/>
  <c r="L33" i="3"/>
  <c r="L37" i="3" s="1"/>
  <c r="H34" i="3"/>
  <c r="I34" i="3"/>
  <c r="J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I23" i="3" s="1"/>
  <c r="J24" i="3"/>
  <c r="K24" i="3" s="1"/>
  <c r="L24" i="3" s="1"/>
  <c r="H24" i="3"/>
  <c r="L21" i="3"/>
  <c r="H21" i="3"/>
  <c r="I22" i="3"/>
  <c r="J22" i="3" s="1"/>
  <c r="K22" i="3" s="1"/>
  <c r="L22" i="3" s="1"/>
  <c r="H22" i="3"/>
  <c r="H19" i="3"/>
  <c r="I20" i="3"/>
  <c r="I19" i="3" s="1"/>
  <c r="H20" i="3"/>
  <c r="L17" i="3"/>
  <c r="H17" i="3"/>
  <c r="I18" i="3"/>
  <c r="J18" i="3" s="1"/>
  <c r="K18" i="3" s="1"/>
  <c r="L18" i="3" s="1"/>
  <c r="H18" i="3"/>
  <c r="H15" i="3"/>
  <c r="I15" i="3"/>
  <c r="I16" i="3" s="1"/>
  <c r="J15" i="3"/>
  <c r="K15" i="3"/>
  <c r="K16" i="3" s="1"/>
  <c r="L15" i="3"/>
  <c r="H16" i="3"/>
  <c r="J16" i="3"/>
  <c r="L16" i="3"/>
  <c r="L13" i="3"/>
  <c r="H13" i="3"/>
  <c r="I14" i="3"/>
  <c r="J14" i="3" s="1"/>
  <c r="K14" i="3" s="1"/>
  <c r="L14" i="3" s="1"/>
  <c r="H14" i="3"/>
  <c r="K11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K7" i="3"/>
  <c r="L7" i="3"/>
  <c r="H7" i="3"/>
  <c r="I8" i="3"/>
  <c r="J8" i="3" s="1"/>
  <c r="K8" i="3" s="1"/>
  <c r="L8" i="3" s="1"/>
  <c r="H8" i="3"/>
  <c r="H6" i="3"/>
  <c r="J6" i="3"/>
  <c r="I5" i="3"/>
  <c r="J5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4" s="1"/>
  <c r="E54" i="4" s="1"/>
  <c r="E6" i="42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G7" i="5"/>
  <c r="D7" i="5"/>
  <c r="D10" i="5" s="1"/>
  <c r="D33" i="4"/>
  <c r="D7" i="30" s="1"/>
  <c r="E33" i="4"/>
  <c r="E7" i="30" s="1"/>
  <c r="F33" i="4"/>
  <c r="F8" i="19" s="1"/>
  <c r="G33" i="4"/>
  <c r="G10" i="32" s="1"/>
  <c r="D21" i="4"/>
  <c r="D52" i="6" s="1"/>
  <c r="E21" i="4"/>
  <c r="F21" i="4"/>
  <c r="G21" i="4"/>
  <c r="G7" i="15" s="1"/>
  <c r="D9" i="4"/>
  <c r="E9" i="4"/>
  <c r="F9" i="4"/>
  <c r="G9" i="4"/>
  <c r="C72" i="4"/>
  <c r="C6" i="18" s="1"/>
  <c r="C46" i="4"/>
  <c r="C54" i="4" s="1"/>
  <c r="C6" i="42" s="1"/>
  <c r="C33" i="4"/>
  <c r="C7" i="28" s="1"/>
  <c r="C21" i="4"/>
  <c r="C9" i="4"/>
  <c r="C13" i="4" s="1"/>
  <c r="C6" i="9" s="1"/>
  <c r="D25" i="3"/>
  <c r="D26" i="3" s="1"/>
  <c r="E25" i="3"/>
  <c r="E5" i="44" s="1"/>
  <c r="F25" i="3"/>
  <c r="F26" i="3" s="1"/>
  <c r="G25" i="3"/>
  <c r="G26" i="3" s="1"/>
  <c r="D9" i="3"/>
  <c r="D10" i="3" s="1"/>
  <c r="E9" i="3"/>
  <c r="E84" i="6" s="1"/>
  <c r="F9" i="3"/>
  <c r="G9" i="3"/>
  <c r="C25" i="3"/>
  <c r="C26" i="3" s="1"/>
  <c r="C9" i="3"/>
  <c r="C10" i="3" s="1"/>
  <c r="H37" i="4" l="1"/>
  <c r="H38" i="4" s="1"/>
  <c r="J8" i="5"/>
  <c r="J10" i="5" s="1"/>
  <c r="K10" i="5"/>
  <c r="J37" i="3"/>
  <c r="J38" i="3" s="1"/>
  <c r="H10" i="5"/>
  <c r="L38" i="3"/>
  <c r="L41" i="3"/>
  <c r="I41" i="3"/>
  <c r="I38" i="3"/>
  <c r="J41" i="3"/>
  <c r="L34" i="3"/>
  <c r="K33" i="3"/>
  <c r="K44" i="4"/>
  <c r="H41" i="3"/>
  <c r="H38" i="3"/>
  <c r="J45" i="4"/>
  <c r="I45" i="4"/>
  <c r="H45" i="4"/>
  <c r="H54" i="4"/>
  <c r="H55" i="4" s="1"/>
  <c r="H47" i="4"/>
  <c r="K68" i="4"/>
  <c r="J68" i="4"/>
  <c r="K66" i="4"/>
  <c r="J66" i="4"/>
  <c r="I66" i="4"/>
  <c r="K64" i="4"/>
  <c r="J64" i="4"/>
  <c r="I64" i="4"/>
  <c r="J63" i="4"/>
  <c r="J58" i="4"/>
  <c r="J56" i="4"/>
  <c r="I56" i="4"/>
  <c r="J52" i="4"/>
  <c r="I52" i="4"/>
  <c r="K50" i="4"/>
  <c r="J50" i="4"/>
  <c r="I50" i="4"/>
  <c r="J48" i="4"/>
  <c r="I48" i="4"/>
  <c r="K42" i="4"/>
  <c r="J42" i="4"/>
  <c r="I42" i="4"/>
  <c r="I46" i="4" s="1"/>
  <c r="J41" i="4"/>
  <c r="K35" i="4"/>
  <c r="J35" i="4"/>
  <c r="I35" i="4"/>
  <c r="K31" i="4"/>
  <c r="J31" i="4"/>
  <c r="J30" i="4"/>
  <c r="K27" i="4"/>
  <c r="K25" i="4"/>
  <c r="J25" i="4"/>
  <c r="I25" i="4"/>
  <c r="K23" i="4"/>
  <c r="J23" i="4"/>
  <c r="I23" i="4"/>
  <c r="I33" i="4" s="1"/>
  <c r="J22" i="4"/>
  <c r="K19" i="4"/>
  <c r="J19" i="4"/>
  <c r="I19" i="4"/>
  <c r="K17" i="4"/>
  <c r="J17" i="4"/>
  <c r="I17" i="4"/>
  <c r="J15" i="4"/>
  <c r="I15" i="4"/>
  <c r="K80" i="4"/>
  <c r="L80" i="4" s="1"/>
  <c r="K53" i="3"/>
  <c r="J53" i="3"/>
  <c r="I53" i="3"/>
  <c r="J52" i="3"/>
  <c r="K43" i="3"/>
  <c r="J43" i="3"/>
  <c r="I43" i="3"/>
  <c r="J39" i="3"/>
  <c r="I39" i="3"/>
  <c r="J23" i="3"/>
  <c r="K23" i="3"/>
  <c r="K21" i="3"/>
  <c r="J21" i="3"/>
  <c r="I21" i="3"/>
  <c r="J20" i="3"/>
  <c r="K17" i="3"/>
  <c r="J17" i="3"/>
  <c r="I17" i="3"/>
  <c r="K13" i="3"/>
  <c r="J13" i="3"/>
  <c r="I13" i="3"/>
  <c r="J11" i="3"/>
  <c r="I11" i="3"/>
  <c r="J7" i="3"/>
  <c r="I7" i="3"/>
  <c r="I6" i="3"/>
  <c r="K5" i="3"/>
  <c r="G10" i="5"/>
  <c r="E26" i="3"/>
  <c r="F10" i="5"/>
  <c r="F38" i="6"/>
  <c r="E8" i="12"/>
  <c r="C8" i="28"/>
  <c r="E105" i="6"/>
  <c r="E110" i="6"/>
  <c r="E115" i="6"/>
  <c r="G10" i="3"/>
  <c r="G15" i="3" s="1"/>
  <c r="G16" i="3" s="1"/>
  <c r="G8" i="12"/>
  <c r="C8" i="22"/>
  <c r="F10" i="3"/>
  <c r="F15" i="3" s="1"/>
  <c r="F16" i="3" s="1"/>
  <c r="E10" i="3"/>
  <c r="E15" i="3" s="1"/>
  <c r="E16" i="3" s="1"/>
  <c r="E8" i="25"/>
  <c r="E8" i="26"/>
  <c r="E8" i="27"/>
  <c r="D8" i="29"/>
  <c r="G8" i="31"/>
  <c r="C8" i="31"/>
  <c r="G8" i="32"/>
  <c r="C8" i="32"/>
  <c r="F8" i="33"/>
  <c r="D8" i="30"/>
  <c r="E38" i="6"/>
  <c r="D125" i="6"/>
  <c r="G135" i="6"/>
  <c r="C135" i="6"/>
  <c r="G140" i="6"/>
  <c r="C140" i="6"/>
  <c r="F149" i="6"/>
  <c r="D8" i="12"/>
  <c r="G38" i="6"/>
  <c r="D38" i="6"/>
  <c r="F8" i="12"/>
  <c r="F8" i="25"/>
  <c r="F8" i="26"/>
  <c r="F8" i="27"/>
  <c r="E8" i="29"/>
  <c r="D8" i="31"/>
  <c r="D8" i="32"/>
  <c r="G8" i="33"/>
  <c r="C8" i="33"/>
  <c r="C38" i="6"/>
  <c r="C8" i="12"/>
  <c r="E8" i="30"/>
  <c r="C90" i="6"/>
  <c r="G105" i="6"/>
  <c r="C105" i="6"/>
  <c r="G110" i="6"/>
  <c r="C110" i="6"/>
  <c r="G115" i="6"/>
  <c r="C115" i="6"/>
  <c r="F125" i="6"/>
  <c r="E135" i="6"/>
  <c r="E140" i="6"/>
  <c r="D149" i="6"/>
  <c r="F105" i="6"/>
  <c r="F110" i="6"/>
  <c r="F115" i="6"/>
  <c r="E125" i="6"/>
  <c r="D135" i="6"/>
  <c r="D140" i="6"/>
  <c r="G149" i="6"/>
  <c r="C149" i="6"/>
  <c r="G8" i="25"/>
  <c r="C8" i="25"/>
  <c r="G8" i="26"/>
  <c r="C8" i="26"/>
  <c r="G8" i="27"/>
  <c r="C8" i="27"/>
  <c r="F8" i="29"/>
  <c r="E8" i="31"/>
  <c r="E8" i="32"/>
  <c r="D8" i="33"/>
  <c r="G5" i="44"/>
  <c r="G7" i="13"/>
  <c r="G8" i="13" s="1"/>
  <c r="G42" i="6"/>
  <c r="G43" i="6" s="1"/>
  <c r="E7" i="13"/>
  <c r="E8" i="13" s="1"/>
  <c r="F7" i="13"/>
  <c r="F8" i="13" s="1"/>
  <c r="F42" i="6"/>
  <c r="F43" i="6" s="1"/>
  <c r="F5" i="44"/>
  <c r="E85" i="6"/>
  <c r="E7" i="21"/>
  <c r="E8" i="21" s="1"/>
  <c r="C7" i="21"/>
  <c r="C8" i="21" s="1"/>
  <c r="C84" i="6"/>
  <c r="C85" i="6" s="1"/>
  <c r="C15" i="3"/>
  <c r="C16" i="3" s="1"/>
  <c r="E42" i="6"/>
  <c r="E43" i="6" s="1"/>
  <c r="G7" i="21"/>
  <c r="G8" i="21" s="1"/>
  <c r="G84" i="6"/>
  <c r="G85" i="6" s="1"/>
  <c r="F7" i="21"/>
  <c r="F84" i="6"/>
  <c r="F85" i="6" s="1"/>
  <c r="C5" i="44"/>
  <c r="C7" i="13"/>
  <c r="C8" i="13" s="1"/>
  <c r="C42" i="6"/>
  <c r="C43" i="6" s="1"/>
  <c r="D7" i="21"/>
  <c r="D8" i="21" s="1"/>
  <c r="D84" i="6"/>
  <c r="D85" i="6" s="1"/>
  <c r="D15" i="3"/>
  <c r="D16" i="3" s="1"/>
  <c r="D5" i="44"/>
  <c r="D7" i="13"/>
  <c r="D8" i="13" s="1"/>
  <c r="D42" i="6"/>
  <c r="D43" i="6" s="1"/>
  <c r="F8" i="21"/>
  <c r="D105" i="6"/>
  <c r="D110" i="6"/>
  <c r="D115" i="6"/>
  <c r="G125" i="6"/>
  <c r="C125" i="6"/>
  <c r="F135" i="6"/>
  <c r="F140" i="6"/>
  <c r="E149" i="6"/>
  <c r="D8" i="25"/>
  <c r="D8" i="26"/>
  <c r="D8" i="27"/>
  <c r="G8" i="29"/>
  <c r="C8" i="29"/>
  <c r="F8" i="31"/>
  <c r="F8" i="32"/>
  <c r="E8" i="33"/>
  <c r="E35" i="47"/>
  <c r="E30" i="47"/>
  <c r="F35" i="47"/>
  <c r="F30" i="47"/>
  <c r="C35" i="47"/>
  <c r="C30" i="47"/>
  <c r="G35" i="47"/>
  <c r="G30" i="47"/>
  <c r="D30" i="47"/>
  <c r="D35" i="47"/>
  <c r="G11" i="32"/>
  <c r="C16" i="6"/>
  <c r="G35" i="5"/>
  <c r="E47" i="5"/>
  <c r="F47" i="5"/>
  <c r="G47" i="5"/>
  <c r="F35" i="5"/>
  <c r="E74" i="6"/>
  <c r="D47" i="5"/>
  <c r="E35" i="5"/>
  <c r="C6" i="17"/>
  <c r="C6" i="40"/>
  <c r="C7" i="15"/>
  <c r="C52" i="6"/>
  <c r="D35" i="5"/>
  <c r="C72" i="6"/>
  <c r="D10" i="33"/>
  <c r="D11" i="33" s="1"/>
  <c r="C14" i="33"/>
  <c r="C15" i="33" s="1"/>
  <c r="C7" i="30"/>
  <c r="C8" i="30" s="1"/>
  <c r="C7" i="18"/>
  <c r="C8" i="18" s="1"/>
  <c r="C151" i="6"/>
  <c r="C152" i="6" s="1"/>
  <c r="C6" i="36"/>
  <c r="C10" i="32"/>
  <c r="C11" i="32" s="1"/>
  <c r="C8" i="19"/>
  <c r="C119" i="6"/>
  <c r="C120" i="6" s="1"/>
  <c r="C74" i="6"/>
  <c r="C74" i="4"/>
  <c r="C71" i="4" s="1"/>
  <c r="F52" i="6"/>
  <c r="F6" i="40"/>
  <c r="F62" i="6"/>
  <c r="F10" i="32"/>
  <c r="F6" i="41"/>
  <c r="F10" i="33"/>
  <c r="F11" i="33" s="1"/>
  <c r="F7" i="30"/>
  <c r="F8" i="30" s="1"/>
  <c r="F151" i="6"/>
  <c r="F6" i="36"/>
  <c r="F14" i="33"/>
  <c r="F15" i="33" s="1"/>
  <c r="F7" i="28"/>
  <c r="F8" i="28" s="1"/>
  <c r="F7" i="18"/>
  <c r="F155" i="6"/>
  <c r="F156" i="6" s="1"/>
  <c r="F129" i="6"/>
  <c r="F130" i="6" s="1"/>
  <c r="F68" i="6"/>
  <c r="D46" i="4"/>
  <c r="F44" i="4"/>
  <c r="C63" i="6"/>
  <c r="G68" i="6"/>
  <c r="F119" i="6"/>
  <c r="F120" i="6" s="1"/>
  <c r="D129" i="6"/>
  <c r="D130" i="6" s="1"/>
  <c r="F142" i="6"/>
  <c r="F143" i="6" s="1"/>
  <c r="E151" i="6"/>
  <c r="E152" i="6" s="1"/>
  <c r="E153" i="6" s="1"/>
  <c r="C7" i="17"/>
  <c r="C10" i="33"/>
  <c r="C11" i="33" s="1"/>
  <c r="C6" i="41"/>
  <c r="C6" i="43"/>
  <c r="C6" i="19"/>
  <c r="C5" i="36"/>
  <c r="C67" i="6"/>
  <c r="G14" i="33"/>
  <c r="G15" i="33" s="1"/>
  <c r="G7" i="30"/>
  <c r="G8" i="30" s="1"/>
  <c r="G7" i="18"/>
  <c r="G151" i="6"/>
  <c r="G152" i="6" s="1"/>
  <c r="G10" i="33"/>
  <c r="G11" i="33" s="1"/>
  <c r="G119" i="6"/>
  <c r="G120" i="6" s="1"/>
  <c r="G74" i="6"/>
  <c r="G6" i="41"/>
  <c r="C62" i="6"/>
  <c r="G142" i="6"/>
  <c r="G143" i="6" s="1"/>
  <c r="F11" i="32"/>
  <c r="G6" i="36"/>
  <c r="E6" i="40"/>
  <c r="E62" i="6"/>
  <c r="E6" i="17"/>
  <c r="E7" i="15"/>
  <c r="E6" i="41"/>
  <c r="E10" i="33"/>
  <c r="E11" i="33" s="1"/>
  <c r="E12" i="33" s="1"/>
  <c r="E7" i="28"/>
  <c r="E8" i="28" s="1"/>
  <c r="E8" i="19"/>
  <c r="E155" i="6"/>
  <c r="E156" i="6" s="1"/>
  <c r="E6" i="36"/>
  <c r="E14" i="33"/>
  <c r="E15" i="33" s="1"/>
  <c r="E7" i="18"/>
  <c r="E129" i="6"/>
  <c r="E130" i="6" s="1"/>
  <c r="E68" i="6"/>
  <c r="E142" i="6"/>
  <c r="E143" i="6" s="1"/>
  <c r="C53" i="6"/>
  <c r="G62" i="6"/>
  <c r="D68" i="6"/>
  <c r="E119" i="6"/>
  <c r="E120" i="6" s="1"/>
  <c r="C129" i="6"/>
  <c r="C130" i="6" s="1"/>
  <c r="C142" i="6"/>
  <c r="C143" i="6" s="1"/>
  <c r="D151" i="6"/>
  <c r="D152" i="6" s="1"/>
  <c r="G155" i="6"/>
  <c r="G156" i="6" s="1"/>
  <c r="F6" i="17"/>
  <c r="E10" i="32"/>
  <c r="E11" i="32" s="1"/>
  <c r="G6" i="17"/>
  <c r="G52" i="6"/>
  <c r="G6" i="40"/>
  <c r="G129" i="6"/>
  <c r="G130" i="6" s="1"/>
  <c r="C37" i="4"/>
  <c r="C38" i="4" s="1"/>
  <c r="C5" i="34"/>
  <c r="C8" i="15"/>
  <c r="C58" i="6"/>
  <c r="C7" i="16"/>
  <c r="D6" i="40"/>
  <c r="D7" i="15"/>
  <c r="D6" i="17"/>
  <c r="D6" i="36"/>
  <c r="D14" i="33"/>
  <c r="D15" i="33" s="1"/>
  <c r="D6" i="41"/>
  <c r="D7" i="28"/>
  <c r="D8" i="28" s="1"/>
  <c r="D155" i="6"/>
  <c r="D156" i="6" s="1"/>
  <c r="D142" i="6"/>
  <c r="D143" i="6" s="1"/>
  <c r="D10" i="32"/>
  <c r="D11" i="32" s="1"/>
  <c r="D8" i="19"/>
  <c r="D119" i="6"/>
  <c r="D120" i="6" s="1"/>
  <c r="D74" i="6"/>
  <c r="E52" i="6"/>
  <c r="D62" i="6"/>
  <c r="C68" i="6"/>
  <c r="F74" i="6"/>
  <c r="C155" i="6"/>
  <c r="C156" i="6" s="1"/>
  <c r="F7" i="15"/>
  <c r="D7" i="18"/>
  <c r="G8" i="19"/>
  <c r="G7" i="28"/>
  <c r="G8" i="28" s="1"/>
  <c r="F152" i="6"/>
  <c r="F153" i="6" s="1"/>
  <c r="E25" i="46"/>
  <c r="I45" i="3" l="1"/>
  <c r="I42" i="3"/>
  <c r="K34" i="3"/>
  <c r="K37" i="3"/>
  <c r="L44" i="4"/>
  <c r="L45" i="4" s="1"/>
  <c r="K45" i="4"/>
  <c r="J42" i="3"/>
  <c r="J45" i="3"/>
  <c r="L42" i="3"/>
  <c r="L45" i="3"/>
  <c r="H42" i="3"/>
  <c r="H45" i="3"/>
  <c r="I34" i="4"/>
  <c r="I37" i="4"/>
  <c r="I38" i="4" s="1"/>
  <c r="I54" i="4"/>
  <c r="I55" i="4" s="1"/>
  <c r="I47" i="4"/>
  <c r="K63" i="4"/>
  <c r="J62" i="4"/>
  <c r="J40" i="4"/>
  <c r="J46" i="4" s="1"/>
  <c r="K41" i="4"/>
  <c r="K30" i="4"/>
  <c r="J29" i="4"/>
  <c r="J33" i="4" s="1"/>
  <c r="J34" i="4" s="1"/>
  <c r="J21" i="4"/>
  <c r="K22" i="4"/>
  <c r="J51" i="3"/>
  <c r="K52" i="3"/>
  <c r="J19" i="3"/>
  <c r="K20" i="3"/>
  <c r="L5" i="3"/>
  <c r="L6" i="3" s="1"/>
  <c r="K6" i="3"/>
  <c r="F12" i="32"/>
  <c r="F12" i="33"/>
  <c r="G144" i="6"/>
  <c r="D153" i="6"/>
  <c r="D157" i="6" s="1"/>
  <c r="G12" i="32"/>
  <c r="C12" i="32"/>
  <c r="F144" i="6"/>
  <c r="G12" i="33"/>
  <c r="G16" i="33" s="1"/>
  <c r="C144" i="6"/>
  <c r="D12" i="32"/>
  <c r="C153" i="6"/>
  <c r="C157" i="6" s="1"/>
  <c r="E12" i="32"/>
  <c r="F6" i="44"/>
  <c r="F6" i="39"/>
  <c r="G153" i="6"/>
  <c r="F16" i="33"/>
  <c r="E144" i="6"/>
  <c r="F27" i="3"/>
  <c r="G6" i="39"/>
  <c r="G27" i="3"/>
  <c r="G6" i="44"/>
  <c r="D12" i="33"/>
  <c r="D16" i="33" s="1"/>
  <c r="G157" i="6"/>
  <c r="C12" i="33"/>
  <c r="C16" i="33" s="1"/>
  <c r="D144" i="6"/>
  <c r="C6" i="44"/>
  <c r="C6" i="39"/>
  <c r="C27" i="3"/>
  <c r="D6" i="44"/>
  <c r="D6" i="39"/>
  <c r="D27" i="3"/>
  <c r="E6" i="39"/>
  <c r="E6" i="44"/>
  <c r="E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D54" i="4"/>
  <c r="C47" i="4"/>
  <c r="C41" i="4"/>
  <c r="C43" i="4"/>
  <c r="C34" i="4"/>
  <c r="C36" i="4"/>
  <c r="C30" i="4"/>
  <c r="C32" i="4"/>
  <c r="C26" i="4"/>
  <c r="C28" i="4"/>
  <c r="C22" i="4"/>
  <c r="C24" i="4"/>
  <c r="C18" i="4"/>
  <c r="C20" i="4"/>
  <c r="C12" i="4"/>
  <c r="C16" i="4"/>
  <c r="C14" i="4"/>
  <c r="C10" i="4"/>
  <c r="C64" i="6"/>
  <c r="C6" i="4"/>
  <c r="C8" i="4"/>
  <c r="C8" i="17"/>
  <c r="E16" i="33"/>
  <c r="C69" i="6"/>
  <c r="C75" i="6"/>
  <c r="F157" i="6"/>
  <c r="E157" i="6"/>
  <c r="C9" i="19"/>
  <c r="C5" i="41"/>
  <c r="C6" i="34"/>
  <c r="C5" i="40"/>
  <c r="G44" i="4"/>
  <c r="F46" i="4"/>
  <c r="C5" i="42"/>
  <c r="C99" i="6"/>
  <c r="C100" i="6" s="1"/>
  <c r="C47" i="6"/>
  <c r="C7" i="24"/>
  <c r="C8" i="24" s="1"/>
  <c r="C5" i="43"/>
  <c r="C7" i="14"/>
  <c r="E26" i="46"/>
  <c r="E30" i="46" s="1"/>
  <c r="F25" i="46"/>
  <c r="K38" i="3" l="1"/>
  <c r="K41" i="3"/>
  <c r="L49" i="3"/>
  <c r="L46" i="3"/>
  <c r="L5" i="5"/>
  <c r="L27" i="5" s="1"/>
  <c r="L48" i="5" s="1"/>
  <c r="J5" i="5"/>
  <c r="J27" i="5" s="1"/>
  <c r="J48" i="5" s="1"/>
  <c r="J46" i="3"/>
  <c r="J49" i="3"/>
  <c r="I46" i="3"/>
  <c r="I49" i="3"/>
  <c r="I5" i="5"/>
  <c r="I27" i="5" s="1"/>
  <c r="I48" i="5" s="1"/>
  <c r="H5" i="5"/>
  <c r="H27" i="5" s="1"/>
  <c r="H48" i="5" s="1"/>
  <c r="H70" i="4" s="1"/>
  <c r="H49" i="3"/>
  <c r="H46" i="3"/>
  <c r="J37" i="4"/>
  <c r="J38" i="4" s="1"/>
  <c r="J54" i="4"/>
  <c r="J55" i="4" s="1"/>
  <c r="J47" i="4"/>
  <c r="L63" i="4"/>
  <c r="L62" i="4" s="1"/>
  <c r="K62" i="4"/>
  <c r="L41" i="4"/>
  <c r="L40" i="4" s="1"/>
  <c r="L46" i="4" s="1"/>
  <c r="K40" i="4"/>
  <c r="K46" i="4" s="1"/>
  <c r="L30" i="4"/>
  <c r="L29" i="4" s="1"/>
  <c r="L33" i="4" s="1"/>
  <c r="L34" i="4" s="1"/>
  <c r="K29" i="4"/>
  <c r="K33" i="4" s="1"/>
  <c r="K34" i="4" s="1"/>
  <c r="L22" i="4"/>
  <c r="L21" i="4" s="1"/>
  <c r="K21" i="4"/>
  <c r="K37" i="4" s="1"/>
  <c r="K38" i="4" s="1"/>
  <c r="L52" i="3"/>
  <c r="L51" i="3" s="1"/>
  <c r="K51" i="3"/>
  <c r="L20" i="3"/>
  <c r="L19" i="3" s="1"/>
  <c r="K19" i="3"/>
  <c r="C29" i="3"/>
  <c r="C30" i="3" s="1"/>
  <c r="C28" i="3"/>
  <c r="G29" i="3"/>
  <c r="G28" i="3"/>
  <c r="D29" i="3"/>
  <c r="D30" i="3" s="1"/>
  <c r="D28" i="3"/>
  <c r="E29" i="3"/>
  <c r="E28" i="3"/>
  <c r="F29" i="3"/>
  <c r="F33" i="3" s="1"/>
  <c r="F28" i="3"/>
  <c r="G5" i="35"/>
  <c r="D5" i="35"/>
  <c r="C5" i="35"/>
  <c r="D6" i="42"/>
  <c r="F54" i="4"/>
  <c r="G46" i="4"/>
  <c r="F26" i="46"/>
  <c r="F30" i="46" s="1"/>
  <c r="G25" i="46"/>
  <c r="G26" i="46" s="1"/>
  <c r="G30" i="46" s="1"/>
  <c r="L55" i="3" l="1"/>
  <c r="L56" i="3" s="1"/>
  <c r="L50" i="3"/>
  <c r="J55" i="3"/>
  <c r="J56" i="3" s="1"/>
  <c r="J50" i="3"/>
  <c r="I50" i="3"/>
  <c r="I55" i="3"/>
  <c r="I56" i="3" s="1"/>
  <c r="K42" i="3"/>
  <c r="K45" i="3"/>
  <c r="H55" i="3"/>
  <c r="H56" i="3" s="1"/>
  <c r="H50" i="3"/>
  <c r="I70" i="4"/>
  <c r="H71" i="4"/>
  <c r="H72" i="4"/>
  <c r="H73" i="4" s="1"/>
  <c r="L37" i="4"/>
  <c r="L38" i="4" s="1"/>
  <c r="L47" i="4"/>
  <c r="L54" i="4"/>
  <c r="L55" i="4" s="1"/>
  <c r="K47" i="4"/>
  <c r="K54" i="4"/>
  <c r="K55" i="4" s="1"/>
  <c r="F6" i="20"/>
  <c r="F8" i="20" s="1"/>
  <c r="F34" i="3"/>
  <c r="F6" i="15"/>
  <c r="F9" i="15" s="1"/>
  <c r="F37" i="3"/>
  <c r="C33" i="3"/>
  <c r="C34" i="3" s="1"/>
  <c r="D33" i="3"/>
  <c r="D34" i="3" s="1"/>
  <c r="E5" i="35"/>
  <c r="E30" i="3"/>
  <c r="G33" i="3"/>
  <c r="G34" i="3" s="1"/>
  <c r="G30" i="3"/>
  <c r="F5" i="35"/>
  <c r="F30" i="3"/>
  <c r="E33" i="3"/>
  <c r="E34" i="3" s="1"/>
  <c r="F51" i="6"/>
  <c r="F54" i="6" s="1"/>
  <c r="F6" i="35"/>
  <c r="F78" i="6"/>
  <c r="F80" i="6" s="1"/>
  <c r="C6" i="35"/>
  <c r="C6" i="20"/>
  <c r="C8" i="20" s="1"/>
  <c r="E6" i="20"/>
  <c r="E8" i="20" s="1"/>
  <c r="E78" i="6"/>
  <c r="E80" i="6" s="1"/>
  <c r="D6" i="35"/>
  <c r="D6" i="15"/>
  <c r="D9" i="15" s="1"/>
  <c r="D51" i="6"/>
  <c r="D54" i="6" s="1"/>
  <c r="D6" i="20"/>
  <c r="D8" i="20" s="1"/>
  <c r="D37" i="3"/>
  <c r="D78" i="6"/>
  <c r="D80" i="6" s="1"/>
  <c r="F6" i="42"/>
  <c r="G54" i="4"/>
  <c r="K46" i="3" l="1"/>
  <c r="K5" i="5"/>
  <c r="K27" i="5" s="1"/>
  <c r="K48" i="5" s="1"/>
  <c r="K49" i="3"/>
  <c r="J70" i="4"/>
  <c r="I71" i="4"/>
  <c r="I72" i="4"/>
  <c r="I73" i="4" s="1"/>
  <c r="E6" i="35"/>
  <c r="C78" i="6"/>
  <c r="C80" i="6" s="1"/>
  <c r="D41" i="3"/>
  <c r="D38" i="3"/>
  <c r="F41" i="3"/>
  <c r="F38" i="3"/>
  <c r="E37" i="3"/>
  <c r="C51" i="6"/>
  <c r="C54" i="6" s="1"/>
  <c r="E51" i="6"/>
  <c r="E54" i="6" s="1"/>
  <c r="E6" i="15"/>
  <c r="E9" i="15" s="1"/>
  <c r="C37" i="3"/>
  <c r="C6" i="15"/>
  <c r="C9" i="15" s="1"/>
  <c r="G6" i="35"/>
  <c r="G78" i="6"/>
  <c r="G80" i="6" s="1"/>
  <c r="G6" i="15"/>
  <c r="G9" i="15" s="1"/>
  <c r="G37" i="3"/>
  <c r="G51" i="6"/>
  <c r="G54" i="6" s="1"/>
  <c r="G6" i="20"/>
  <c r="G8" i="20" s="1"/>
  <c r="G6" i="42"/>
  <c r="K50" i="3" l="1"/>
  <c r="K55" i="3"/>
  <c r="K56" i="3" s="1"/>
  <c r="K70" i="4"/>
  <c r="J71" i="4"/>
  <c r="J72" i="4"/>
  <c r="J73" i="4" s="1"/>
  <c r="D45" i="3"/>
  <c r="D46" i="3" s="1"/>
  <c r="D42" i="3"/>
  <c r="F45" i="3"/>
  <c r="F42" i="3"/>
  <c r="G41" i="3"/>
  <c r="G38" i="3"/>
  <c r="C41" i="3"/>
  <c r="C38" i="3"/>
  <c r="E41" i="3"/>
  <c r="E38" i="3"/>
  <c r="L70" i="4" l="1"/>
  <c r="K71" i="4"/>
  <c r="K72" i="4"/>
  <c r="K73" i="4" s="1"/>
  <c r="F49" i="3"/>
  <c r="F50" i="3" s="1"/>
  <c r="F46" i="3"/>
  <c r="E45" i="3"/>
  <c r="E46" i="3" s="1"/>
  <c r="E42" i="3"/>
  <c r="G45" i="3"/>
  <c r="G49" i="3" s="1"/>
  <c r="G42" i="3"/>
  <c r="F5" i="5"/>
  <c r="F27" i="5" s="1"/>
  <c r="F48" i="5" s="1"/>
  <c r="C45" i="3"/>
  <c r="C42" i="3"/>
  <c r="D5" i="5"/>
  <c r="D27" i="5" s="1"/>
  <c r="D48" i="5" s="1"/>
  <c r="D49" i="3"/>
  <c r="D50" i="3" s="1"/>
  <c r="F57" i="6"/>
  <c r="F6" i="14"/>
  <c r="F55" i="3"/>
  <c r="F5" i="45" s="1"/>
  <c r="F6" i="45"/>
  <c r="F24" i="6"/>
  <c r="F46" i="6"/>
  <c r="F6" i="16"/>
  <c r="F6" i="7"/>
  <c r="F6" i="6"/>
  <c r="F9" i="10"/>
  <c r="F61" i="3"/>
  <c r="L71" i="4" l="1"/>
  <c r="L72" i="4"/>
  <c r="L73" i="4" s="1"/>
  <c r="G46" i="6"/>
  <c r="G50" i="3"/>
  <c r="G6" i="45"/>
  <c r="G61" i="3"/>
  <c r="G7" i="7" s="1"/>
  <c r="E5" i="5"/>
  <c r="E27" i="5" s="1"/>
  <c r="E48" i="5" s="1"/>
  <c r="G6" i="16"/>
  <c r="G55" i="3"/>
  <c r="G5" i="45" s="1"/>
  <c r="G6" i="6"/>
  <c r="C49" i="3"/>
  <c r="C50" i="3" s="1"/>
  <c r="C46" i="3"/>
  <c r="G57" i="6"/>
  <c r="G6" i="7"/>
  <c r="G24" i="6"/>
  <c r="G9" i="10"/>
  <c r="G6" i="14"/>
  <c r="E49" i="3"/>
  <c r="E9" i="10" s="1"/>
  <c r="G5" i="5"/>
  <c r="G27" i="5" s="1"/>
  <c r="G48" i="5" s="1"/>
  <c r="G46" i="3"/>
  <c r="D38" i="46"/>
  <c r="D70" i="4"/>
  <c r="D6" i="7"/>
  <c r="D6" i="16"/>
  <c r="D57" i="6"/>
  <c r="D61" i="3"/>
  <c r="D6" i="45"/>
  <c r="D9" i="10"/>
  <c r="D6" i="6"/>
  <c r="D24" i="6"/>
  <c r="D6" i="14"/>
  <c r="D55" i="3"/>
  <c r="D46" i="6"/>
  <c r="F10" i="10"/>
  <c r="F11" i="10" s="1"/>
  <c r="F7" i="10"/>
  <c r="F8" i="10" s="1"/>
  <c r="F12" i="6"/>
  <c r="F13" i="6" s="1"/>
  <c r="F7" i="7"/>
  <c r="F8" i="7" s="1"/>
  <c r="F7" i="9"/>
  <c r="F7" i="8"/>
  <c r="F8" i="8" s="1"/>
  <c r="F7" i="6"/>
  <c r="F8" i="6" s="1"/>
  <c r="F31" i="6"/>
  <c r="F32" i="6" s="1"/>
  <c r="F33" i="6" s="1"/>
  <c r="F25" i="6"/>
  <c r="F26" i="6" s="1"/>
  <c r="F22" i="6"/>
  <c r="F23" i="6" s="1"/>
  <c r="F7" i="11"/>
  <c r="F8" i="11" s="1"/>
  <c r="F9" i="11" s="1"/>
  <c r="F17" i="6"/>
  <c r="E57" i="6"/>
  <c r="E6" i="6"/>
  <c r="G22" i="6"/>
  <c r="G23" i="6" s="1"/>
  <c r="G31" i="6"/>
  <c r="G32" i="6" s="1"/>
  <c r="G33" i="6" s="1"/>
  <c r="G25" i="6"/>
  <c r="G26" i="6" s="1"/>
  <c r="G10" i="10" l="1"/>
  <c r="G11" i="10" s="1"/>
  <c r="G7" i="9"/>
  <c r="E61" i="3"/>
  <c r="E7" i="11" s="1"/>
  <c r="E8" i="11" s="1"/>
  <c r="E9" i="11" s="1"/>
  <c r="G12" i="6"/>
  <c r="G13" i="6" s="1"/>
  <c r="G7" i="10"/>
  <c r="G8" i="10" s="1"/>
  <c r="G7" i="11"/>
  <c r="G8" i="11" s="1"/>
  <c r="G9" i="11" s="1"/>
  <c r="E55" i="3"/>
  <c r="E5" i="45" s="1"/>
  <c r="G17" i="6"/>
  <c r="G7" i="6"/>
  <c r="G7" i="8"/>
  <c r="G8" i="8" s="1"/>
  <c r="E6" i="16"/>
  <c r="E6" i="7"/>
  <c r="E50" i="3"/>
  <c r="E46" i="6"/>
  <c r="C46" i="6"/>
  <c r="C48" i="6" s="1"/>
  <c r="C6" i="7"/>
  <c r="C61" i="3"/>
  <c r="C57" i="6"/>
  <c r="C59" i="6" s="1"/>
  <c r="C9" i="10"/>
  <c r="C24" i="6"/>
  <c r="C6" i="14"/>
  <c r="C8" i="14" s="1"/>
  <c r="C6" i="45"/>
  <c r="C6" i="6"/>
  <c r="C6" i="16"/>
  <c r="C8" i="16" s="1"/>
  <c r="C55" i="3"/>
  <c r="C5" i="45" s="1"/>
  <c r="E6" i="45"/>
  <c r="G8" i="6"/>
  <c r="G8" i="7"/>
  <c r="E6" i="14"/>
  <c r="E24" i="6"/>
  <c r="F27" i="6"/>
  <c r="D7" i="8"/>
  <c r="D8" i="8" s="1"/>
  <c r="D31" i="6"/>
  <c r="D32" i="6" s="1"/>
  <c r="D33" i="6" s="1"/>
  <c r="D10" i="10"/>
  <c r="D11" i="10" s="1"/>
  <c r="D22" i="6"/>
  <c r="D23" i="6" s="1"/>
  <c r="D25" i="6"/>
  <c r="D26" i="6" s="1"/>
  <c r="D7" i="9"/>
  <c r="D7" i="11"/>
  <c r="D8" i="11" s="1"/>
  <c r="D9" i="11" s="1"/>
  <c r="D7" i="6"/>
  <c r="D8" i="6" s="1"/>
  <c r="D12" i="6"/>
  <c r="D13" i="6" s="1"/>
  <c r="D7" i="10"/>
  <c r="D8" i="10" s="1"/>
  <c r="D12" i="10" s="1"/>
  <c r="D7" i="7"/>
  <c r="D8" i="7" s="1"/>
  <c r="D17" i="6"/>
  <c r="D88" i="6"/>
  <c r="D90" i="6" s="1"/>
  <c r="D93" i="6"/>
  <c r="D95" i="6" s="1"/>
  <c r="D6" i="23"/>
  <c r="D8" i="23" s="1"/>
  <c r="D72" i="4"/>
  <c r="D6" i="22"/>
  <c r="D8" i="22" s="1"/>
  <c r="D39" i="46"/>
  <c r="D40" i="46" s="1"/>
  <c r="E38" i="46"/>
  <c r="D8" i="46"/>
  <c r="D11" i="4"/>
  <c r="D5" i="45"/>
  <c r="E70" i="4"/>
  <c r="F12" i="10"/>
  <c r="E17" i="6"/>
  <c r="E25" i="6"/>
  <c r="E26" i="6" s="1"/>
  <c r="E10" i="10"/>
  <c r="E11" i="10" s="1"/>
  <c r="E22" i="6"/>
  <c r="E23" i="6" s="1"/>
  <c r="E27" i="6" s="1"/>
  <c r="E7" i="9"/>
  <c r="E12" i="6"/>
  <c r="E13" i="6" s="1"/>
  <c r="G12" i="10"/>
  <c r="G27" i="6"/>
  <c r="E31" i="6" l="1"/>
  <c r="E32" i="6" s="1"/>
  <c r="E33" i="6" s="1"/>
  <c r="E7" i="7"/>
  <c r="E8" i="7" s="1"/>
  <c r="E7" i="6"/>
  <c r="E8" i="6" s="1"/>
  <c r="E7" i="8"/>
  <c r="E8" i="8" s="1"/>
  <c r="E7" i="10"/>
  <c r="E8" i="10" s="1"/>
  <c r="C7" i="10"/>
  <c r="C8" i="10" s="1"/>
  <c r="C12" i="6"/>
  <c r="C13" i="6" s="1"/>
  <c r="C22" i="6"/>
  <c r="C23" i="6" s="1"/>
  <c r="C7" i="11"/>
  <c r="C8" i="11" s="1"/>
  <c r="C9" i="11" s="1"/>
  <c r="C31" i="6"/>
  <c r="C32" i="6" s="1"/>
  <c r="C33" i="6" s="1"/>
  <c r="C25" i="6"/>
  <c r="C26" i="6" s="1"/>
  <c r="C7" i="7"/>
  <c r="C8" i="7" s="1"/>
  <c r="C7" i="6"/>
  <c r="C8" i="6" s="1"/>
  <c r="C10" i="10"/>
  <c r="C11" i="10" s="1"/>
  <c r="C7" i="8"/>
  <c r="C8" i="8" s="1"/>
  <c r="C7" i="9"/>
  <c r="C8" i="9" s="1"/>
  <c r="C17" i="6"/>
  <c r="C18" i="6" s="1"/>
  <c r="E12" i="10"/>
  <c r="E6" i="22"/>
  <c r="E8" i="22" s="1"/>
  <c r="F70" i="4"/>
  <c r="E88" i="6"/>
  <c r="E90" i="6" s="1"/>
  <c r="E93" i="6"/>
  <c r="E95" i="6" s="1"/>
  <c r="E72" i="4"/>
  <c r="E6" i="23"/>
  <c r="E8" i="23" s="1"/>
  <c r="E39" i="46"/>
  <c r="E40" i="46" s="1"/>
  <c r="F38" i="46"/>
  <c r="E11" i="4"/>
  <c r="D13" i="4"/>
  <c r="D9" i="46"/>
  <c r="D21" i="46" s="1"/>
  <c r="E8" i="46"/>
  <c r="D5" i="36"/>
  <c r="D74" i="4"/>
  <c r="D6" i="18"/>
  <c r="D8" i="18" s="1"/>
  <c r="D6" i="19"/>
  <c r="D9" i="19" s="1"/>
  <c r="D6" i="43"/>
  <c r="D67" i="6"/>
  <c r="D69" i="6" s="1"/>
  <c r="D72" i="6"/>
  <c r="D75" i="6" s="1"/>
  <c r="D27" i="6"/>
  <c r="C27" i="6" l="1"/>
  <c r="C12" i="10"/>
  <c r="D12" i="4"/>
  <c r="D73" i="4"/>
  <c r="D75" i="4"/>
  <c r="D45" i="4"/>
  <c r="D7" i="24"/>
  <c r="D8" i="24" s="1"/>
  <c r="D30" i="4"/>
  <c r="D7" i="14"/>
  <c r="D8" i="14" s="1"/>
  <c r="D41" i="4"/>
  <c r="D8" i="4"/>
  <c r="D61" i="4"/>
  <c r="D63" i="4"/>
  <c r="D36" i="4"/>
  <c r="D65" i="4"/>
  <c r="D22" i="4"/>
  <c r="D67" i="4"/>
  <c r="D32" i="4"/>
  <c r="D5" i="42"/>
  <c r="D51" i="4"/>
  <c r="D18" i="4"/>
  <c r="D55" i="4"/>
  <c r="D28" i="4"/>
  <c r="D57" i="4"/>
  <c r="D6" i="4"/>
  <c r="D59" i="4"/>
  <c r="D24" i="4"/>
  <c r="D47" i="6"/>
  <c r="D48" i="6" s="1"/>
  <c r="D43" i="4"/>
  <c r="D10" i="4"/>
  <c r="D26" i="4"/>
  <c r="D71" i="4"/>
  <c r="D53" i="4"/>
  <c r="D20" i="4"/>
  <c r="D47" i="4"/>
  <c r="D5" i="43"/>
  <c r="D49" i="4"/>
  <c r="D16" i="4"/>
  <c r="D69" i="4"/>
  <c r="D34" i="4"/>
  <c r="D99" i="6"/>
  <c r="D100" i="6" s="1"/>
  <c r="D7" i="16"/>
  <c r="D8" i="16" s="1"/>
  <c r="D6" i="9"/>
  <c r="D8" i="9" s="1"/>
  <c r="D37" i="4"/>
  <c r="D7" i="17"/>
  <c r="D8" i="17" s="1"/>
  <c r="D63" i="6"/>
  <c r="D64" i="6" s="1"/>
  <c r="D14" i="4"/>
  <c r="D16" i="6"/>
  <c r="D18" i="6" s="1"/>
  <c r="D58" i="6"/>
  <c r="D59" i="6" s="1"/>
  <c r="D53" i="6"/>
  <c r="D5" i="34"/>
  <c r="D8" i="15"/>
  <c r="F88" i="6"/>
  <c r="F90" i="6" s="1"/>
  <c r="G70" i="4"/>
  <c r="F6" i="23"/>
  <c r="F8" i="23" s="1"/>
  <c r="F6" i="22"/>
  <c r="F8" i="22" s="1"/>
  <c r="F93" i="6"/>
  <c r="F95" i="6" s="1"/>
  <c r="F72" i="4"/>
  <c r="F11" i="4"/>
  <c r="E13" i="4"/>
  <c r="E6" i="43"/>
  <c r="E6" i="18"/>
  <c r="E8" i="18" s="1"/>
  <c r="E5" i="36"/>
  <c r="E72" i="6"/>
  <c r="E75" i="6" s="1"/>
  <c r="E6" i="19"/>
  <c r="E9" i="19" s="1"/>
  <c r="E74" i="4"/>
  <c r="E73" i="4" s="1"/>
  <c r="E67" i="6"/>
  <c r="E69" i="6" s="1"/>
  <c r="F8" i="46"/>
  <c r="E9" i="46"/>
  <c r="E21" i="46" s="1"/>
  <c r="F39" i="46"/>
  <c r="F40" i="46" s="1"/>
  <c r="G38" i="46"/>
  <c r="G39" i="46" s="1"/>
  <c r="G40" i="46" s="1"/>
  <c r="F9" i="46" l="1"/>
  <c r="F21" i="46" s="1"/>
  <c r="G8" i="46"/>
  <c r="G9" i="46" s="1"/>
  <c r="G21" i="46" s="1"/>
  <c r="F6" i="43"/>
  <c r="F72" i="6"/>
  <c r="F75" i="6" s="1"/>
  <c r="F74" i="4"/>
  <c r="F67" i="6"/>
  <c r="F69" i="6" s="1"/>
  <c r="F5" i="36"/>
  <c r="F6" i="19"/>
  <c r="F9" i="19" s="1"/>
  <c r="F6" i="18"/>
  <c r="F8" i="18" s="1"/>
  <c r="G6" i="23"/>
  <c r="G8" i="23" s="1"/>
  <c r="G72" i="4"/>
  <c r="G88" i="6"/>
  <c r="G90" i="6" s="1"/>
  <c r="G6" i="22"/>
  <c r="G8" i="22" s="1"/>
  <c r="G93" i="6"/>
  <c r="G95" i="6" s="1"/>
  <c r="E8" i="15"/>
  <c r="E7" i="16"/>
  <c r="E8" i="16" s="1"/>
  <c r="E63" i="6"/>
  <c r="E64" i="6" s="1"/>
  <c r="E5" i="34"/>
  <c r="E53" i="6"/>
  <c r="E16" i="6"/>
  <c r="E18" i="6" s="1"/>
  <c r="E7" i="17"/>
  <c r="E8" i="17" s="1"/>
  <c r="E6" i="9"/>
  <c r="E8" i="9" s="1"/>
  <c r="E14" i="4"/>
  <c r="E37" i="4"/>
  <c r="E58" i="6"/>
  <c r="E59" i="6" s="1"/>
  <c r="F13" i="4"/>
  <c r="G11" i="4"/>
  <c r="F12" i="4"/>
  <c r="D38" i="4"/>
  <c r="D5" i="40"/>
  <c r="D5" i="41"/>
  <c r="D6" i="34"/>
  <c r="E57" i="4"/>
  <c r="E5" i="42"/>
  <c r="E43" i="4"/>
  <c r="E10" i="4"/>
  <c r="E61" i="4"/>
  <c r="E28" i="4"/>
  <c r="E63" i="4"/>
  <c r="E22" i="4"/>
  <c r="E24" i="4"/>
  <c r="E71" i="4"/>
  <c r="E49" i="4"/>
  <c r="E67" i="4"/>
  <c r="E34" i="4"/>
  <c r="E7" i="24"/>
  <c r="E8" i="24" s="1"/>
  <c r="E53" i="4"/>
  <c r="E20" i="4"/>
  <c r="E55" i="4"/>
  <c r="E6" i="4"/>
  <c r="E8" i="4"/>
  <c r="E75" i="4"/>
  <c r="E32" i="4"/>
  <c r="E59" i="4"/>
  <c r="E26" i="4"/>
  <c r="E47" i="6"/>
  <c r="E48" i="6" s="1"/>
  <c r="E45" i="4"/>
  <c r="E7" i="14"/>
  <c r="E8" i="14" s="1"/>
  <c r="E47" i="4"/>
  <c r="E5" i="43"/>
  <c r="E65" i="4"/>
  <c r="E16" i="4"/>
  <c r="E51" i="4"/>
  <c r="E18" i="4"/>
  <c r="E69" i="4"/>
  <c r="E36" i="4"/>
  <c r="E99" i="6"/>
  <c r="E100" i="6" s="1"/>
  <c r="E30" i="4"/>
  <c r="E41" i="4"/>
  <c r="E12" i="4"/>
  <c r="E5" i="41" l="1"/>
  <c r="E5" i="40"/>
  <c r="E38" i="4"/>
  <c r="E6" i="34"/>
  <c r="G13" i="4"/>
  <c r="G67" i="6"/>
  <c r="G69" i="6" s="1"/>
  <c r="G72" i="6"/>
  <c r="G75" i="6" s="1"/>
  <c r="G6" i="19"/>
  <c r="G9" i="19" s="1"/>
  <c r="G5" i="36"/>
  <c r="G6" i="18"/>
  <c r="G8" i="18" s="1"/>
  <c r="G6" i="43"/>
  <c r="G74" i="4"/>
  <c r="F63" i="6"/>
  <c r="F64" i="6" s="1"/>
  <c r="F14" i="4"/>
  <c r="F53" i="6"/>
  <c r="F37" i="4"/>
  <c r="F16" i="6"/>
  <c r="F18" i="6" s="1"/>
  <c r="F58" i="6"/>
  <c r="F59" i="6" s="1"/>
  <c r="F5" i="34"/>
  <c r="F8" i="15"/>
  <c r="F7" i="16"/>
  <c r="F8" i="16" s="1"/>
  <c r="F6" i="9"/>
  <c r="F8" i="9" s="1"/>
  <c r="F7" i="17"/>
  <c r="F8" i="17" s="1"/>
  <c r="F73" i="4"/>
  <c r="F57" i="4"/>
  <c r="F24" i="4"/>
  <c r="F5" i="42"/>
  <c r="F43" i="4"/>
  <c r="F10" i="4"/>
  <c r="F53" i="4"/>
  <c r="F20" i="4"/>
  <c r="F47" i="4"/>
  <c r="F22" i="4"/>
  <c r="F71" i="4"/>
  <c r="F49" i="4"/>
  <c r="F16" i="4"/>
  <c r="F67" i="4"/>
  <c r="F34" i="4"/>
  <c r="F7" i="14"/>
  <c r="F8" i="14" s="1"/>
  <c r="F45" i="4"/>
  <c r="F99" i="6"/>
  <c r="F100" i="6" s="1"/>
  <c r="F30" i="4"/>
  <c r="F6" i="4"/>
  <c r="F51" i="4"/>
  <c r="F61" i="4"/>
  <c r="F55" i="4"/>
  <c r="F75" i="4"/>
  <c r="F41" i="4"/>
  <c r="F8" i="4"/>
  <c r="F59" i="4"/>
  <c r="F26" i="4"/>
  <c r="F69" i="4"/>
  <c r="F36" i="4"/>
  <c r="F7" i="24"/>
  <c r="F8" i="24" s="1"/>
  <c r="F47" i="6"/>
  <c r="F48" i="6" s="1"/>
  <c r="F32" i="4"/>
  <c r="F28" i="4"/>
  <c r="F65" i="4"/>
  <c r="F5" i="43"/>
  <c r="F18" i="4"/>
  <c r="F63" i="4"/>
  <c r="G53" i="6" l="1"/>
  <c r="G37" i="4"/>
  <c r="G14" i="4"/>
  <c r="G7" i="16"/>
  <c r="G8" i="16" s="1"/>
  <c r="G6" i="9"/>
  <c r="G8" i="9" s="1"/>
  <c r="G8" i="15"/>
  <c r="G58" i="6"/>
  <c r="G59" i="6" s="1"/>
  <c r="G63" i="6"/>
  <c r="G64" i="6" s="1"/>
  <c r="G7" i="17"/>
  <c r="G8" i="17" s="1"/>
  <c r="G5" i="34"/>
  <c r="G16" i="6"/>
  <c r="G18" i="6" s="1"/>
  <c r="F6" i="34"/>
  <c r="F5" i="40"/>
  <c r="F5" i="41"/>
  <c r="F38" i="4"/>
  <c r="G73" i="4"/>
  <c r="G75" i="4"/>
  <c r="G30" i="4"/>
  <c r="G20" i="4"/>
  <c r="G41" i="4"/>
  <c r="G8" i="4"/>
  <c r="G51" i="4"/>
  <c r="G18" i="4"/>
  <c r="G5" i="43"/>
  <c r="G45" i="4"/>
  <c r="G28" i="4"/>
  <c r="G63" i="4"/>
  <c r="G22" i="4"/>
  <c r="G65" i="4"/>
  <c r="G32" i="4"/>
  <c r="G99" i="6"/>
  <c r="G100" i="6" s="1"/>
  <c r="G43" i="4"/>
  <c r="G10" i="4"/>
  <c r="G69" i="4"/>
  <c r="G36" i="4"/>
  <c r="G55" i="4"/>
  <c r="G6" i="4"/>
  <c r="G57" i="4"/>
  <c r="G24" i="4"/>
  <c r="G67" i="4"/>
  <c r="G34" i="4"/>
  <c r="G5" i="42"/>
  <c r="G61" i="4"/>
  <c r="G71" i="4"/>
  <c r="G47" i="4"/>
  <c r="G7" i="24"/>
  <c r="G8" i="24" s="1"/>
  <c r="G49" i="4"/>
  <c r="G16" i="4"/>
  <c r="G59" i="4"/>
  <c r="G26" i="4"/>
  <c r="G47" i="6"/>
  <c r="G48" i="6" s="1"/>
  <c r="G53" i="4"/>
  <c r="G7" i="14"/>
  <c r="G8" i="14" s="1"/>
  <c r="G12" i="4"/>
  <c r="G5" i="41" l="1"/>
  <c r="G5" i="40"/>
  <c r="G6" i="34"/>
  <c r="G38" i="4"/>
</calcChain>
</file>

<file path=xl/sharedStrings.xml><?xml version="1.0" encoding="utf-8"?>
<sst xmlns="http://schemas.openxmlformats.org/spreadsheetml/2006/main" count="720" uniqueCount="288">
  <si>
    <t>Balance Sheet of Tech Mahindra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</si>
  <si>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</si>
  <si>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</si>
  <si>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</si>
  <si>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</si>
  <si>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</si>
  <si>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</si>
  <si>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</si>
  <si>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</si>
  <si>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</si>
  <si>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</si>
  <si>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</si>
  <si>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</si>
  <si>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</si>
  <si>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</si>
  <si>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</si>
  <si>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</si>
  <si>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</si>
  <si>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</si>
  <si>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</si>
  <si>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</si>
  <si>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</si>
  <si>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</si>
  <si>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</si>
  <si>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</si>
  <si>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</si>
  <si>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</si>
  <si>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</si>
  <si>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</si>
  <si>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</si>
  <si>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</si>
  <si>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</si>
  <si>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</si>
  <si>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</si>
  <si>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</si>
  <si>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</si>
  <si>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</si>
  <si>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</si>
  <si>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</si>
  <si>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</si>
  <si>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</si>
  <si>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</si>
  <si>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</si>
  <si>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</si>
  <si>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</si>
  <si>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</si>
  <si>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</si>
  <si>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</si>
  <si>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</si>
  <si>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</si>
  <si>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</si>
  <si>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</si>
  <si>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</si>
  <si>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</si>
  <si>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</si>
  <si>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Tech Mahindra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</si>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</sst>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820-48DE-A502-CFB0A2D9CFF1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820-48DE-A502-CFB0A2D9CFF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820-48DE-A502-CFB0A2D9CF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43</c:v>
                </c:pt>
                <c:pt idx="1">
                  <c:v>48</c:v>
                </c:pt>
                <c:pt idx="2">
                  <c:v>46</c:v>
                </c:pt>
                <c:pt idx="3">
                  <c:v>51</c:v>
                </c:pt>
                <c:pt idx="4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20-48DE-A502-CFB0A2D9C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464"/>
        <c:axId val="450789120"/>
      </c:lineChart>
      <c:catAx>
        <c:axId val="45078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9120"/>
        <c:crosses val="autoZero"/>
        <c:auto val="0"/>
        <c:lblAlgn val="ctr"/>
        <c:lblOffset val="100"/>
        <c:noMultiLvlLbl val="0"/>
      </c:catAx>
      <c:valAx>
        <c:axId val="450789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F07-44B6-BF93-29C1074579E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F07-44B6-BF93-29C1074579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0.09</c:v>
                </c:pt>
                <c:pt idx="3">
                  <c:v>0.08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07-44B6-BF93-29C107457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393968"/>
        <c:axId val="547391672"/>
      </c:lineChart>
      <c:catAx>
        <c:axId val="54739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391672"/>
        <c:crosses val="autoZero"/>
        <c:auto val="0"/>
        <c:lblAlgn val="ctr"/>
        <c:lblOffset val="100"/>
        <c:noMultiLvlLbl val="0"/>
      </c:catAx>
      <c:valAx>
        <c:axId val="547391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7393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55C-436D-A33B-48CA00CBA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0.09</c:v>
                </c:pt>
                <c:pt idx="1">
                  <c:v>0.06</c:v>
                </c:pt>
                <c:pt idx="2">
                  <c:v>0.11</c:v>
                </c:pt>
                <c:pt idx="3">
                  <c:v>7.0000000000000007E-2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5C-436D-A33B-48CA00CBA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745160"/>
        <c:axId val="451747456"/>
      </c:lineChart>
      <c:catAx>
        <c:axId val="45174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747456"/>
        <c:crosses val="autoZero"/>
        <c:auto val="0"/>
        <c:lblAlgn val="ctr"/>
        <c:lblOffset val="100"/>
        <c:noMultiLvlLbl val="0"/>
      </c:catAx>
      <c:valAx>
        <c:axId val="451747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745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671-49F9-9603-128BDCD6E51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671-49F9-9603-128BDCD6E51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671-49F9-9603-128BDCD6E5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2.2799999999999998</c:v>
                </c:pt>
                <c:pt idx="2">
                  <c:v>2.52</c:v>
                </c:pt>
                <c:pt idx="3">
                  <c:v>2.46</c:v>
                </c:pt>
                <c:pt idx="4">
                  <c:v>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71-49F9-9603-128BDCD6E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648"/>
        <c:axId val="440765592"/>
      </c:lineChart>
      <c:catAx>
        <c:axId val="36404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765592"/>
        <c:crosses val="autoZero"/>
        <c:auto val="0"/>
        <c:lblAlgn val="ctr"/>
        <c:lblOffset val="100"/>
        <c:noMultiLvlLbl val="0"/>
      </c:catAx>
      <c:valAx>
        <c:axId val="440765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B05-4DB8-B402-8E0F6B31F61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B05-4DB8-B402-8E0F6B31F61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B05-4DB8-B402-8E0F6B31F6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2.19</c:v>
                </c:pt>
                <c:pt idx="1">
                  <c:v>2.27</c:v>
                </c:pt>
                <c:pt idx="2">
                  <c:v>2.5099999999999998</c:v>
                </c:pt>
                <c:pt idx="3">
                  <c:v>2.46</c:v>
                </c:pt>
                <c:pt idx="4">
                  <c:v>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05-4DB8-B402-8E0F6B31F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48400"/>
        <c:axId val="627516768"/>
      </c:lineChart>
      <c:catAx>
        <c:axId val="54694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6768"/>
        <c:crosses val="autoZero"/>
        <c:auto val="0"/>
        <c:lblAlgn val="ctr"/>
        <c:lblOffset val="100"/>
        <c:noMultiLvlLbl val="0"/>
      </c:catAx>
      <c:valAx>
        <c:axId val="627516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948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CF-4C2C-8388-51AE60855D9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1CF-4C2C-8388-51AE60855D9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1CF-4C2C-8388-51AE60855D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31.05</c:v>
                </c:pt>
                <c:pt idx="1">
                  <c:v>43.11</c:v>
                </c:pt>
                <c:pt idx="2">
                  <c:v>28.52</c:v>
                </c:pt>
                <c:pt idx="3">
                  <c:v>35.5</c:v>
                </c:pt>
                <c:pt idx="4">
                  <c:v>46.82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CF-4C2C-8388-51AE60855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17104"/>
        <c:axId val="104319400"/>
      </c:lineChart>
      <c:catAx>
        <c:axId val="10431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3171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8B-4064-B6FE-178B8BADE9A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58B-4064-B6FE-178B8BADE9A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8B-4064-B6FE-178B8BADE9A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58B-4064-B6FE-178B8BADE9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8B-4064-B6FE-178B8BADE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392656"/>
        <c:axId val="547392984"/>
      </c:lineChart>
      <c:catAx>
        <c:axId val="54739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392984"/>
        <c:crosses val="autoZero"/>
        <c:auto val="0"/>
        <c:lblAlgn val="ctr"/>
        <c:lblOffset val="100"/>
        <c:noMultiLvlLbl val="0"/>
      </c:catAx>
      <c:valAx>
        <c:axId val="547392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392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3F-4642-999E-4CC227A5C28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3F-4642-999E-4CC227A5C28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3F-4642-999E-4CC227A5C28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B3F-4642-999E-4CC227A5C2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3F-4642-999E-4CC227A5C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9352"/>
        <c:axId val="446621320"/>
      </c:lineChart>
      <c:catAx>
        <c:axId val="446619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21320"/>
        <c:crosses val="autoZero"/>
        <c:auto val="0"/>
        <c:lblAlgn val="ctr"/>
        <c:lblOffset val="100"/>
        <c:noMultiLvlLbl val="0"/>
      </c:catAx>
      <c:valAx>
        <c:axId val="446621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19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35A-4DA0-B548-D7665523BDA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5A-4DA0-B548-D7665523BDA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35A-4DA0-B548-D7665523BDA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5A-4DA0-B548-D7665523BDA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3044.3</c:v>
                </c:pt>
                <c:pt idx="1">
                  <c:v>6496.42</c:v>
                </c:pt>
                <c:pt idx="2">
                  <c:v>9396.4500000000007</c:v>
                </c:pt>
                <c:pt idx="3">
                  <c:v>10755.07</c:v>
                </c:pt>
                <c:pt idx="4">
                  <c:v>21675.01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5A-4DA0-B548-D7665523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06176"/>
        <c:axId val="447908800"/>
      </c:lineChart>
      <c:catAx>
        <c:axId val="44790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908800"/>
        <c:crosses val="autoZero"/>
        <c:auto val="0"/>
        <c:lblAlgn val="ctr"/>
        <c:lblOffset val="100"/>
        <c:noMultiLvlLbl val="0"/>
      </c:catAx>
      <c:valAx>
        <c:axId val="447908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906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1.05</c:v>
                </c:pt>
                <c:pt idx="1">
                  <c:v>1.03</c:v>
                </c:pt>
                <c:pt idx="2">
                  <c:v>0.98</c:v>
                </c:pt>
                <c:pt idx="3">
                  <c:v>0.96</c:v>
                </c:pt>
                <c:pt idx="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2B-443D-9B5F-EB95E49C7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20384"/>
        <c:axId val="104317760"/>
      </c:lineChart>
      <c:catAx>
        <c:axId val="10432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7760"/>
        <c:crosses val="autoZero"/>
        <c:auto val="0"/>
        <c:lblAlgn val="ctr"/>
        <c:lblOffset val="100"/>
        <c:noMultiLvlLbl val="0"/>
      </c:catAx>
      <c:valAx>
        <c:axId val="104317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320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CCF-4C52-8E04-9CA3D9C7386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CCF-4C52-8E04-9CA3D9C738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466.96</c:v>
                </c:pt>
                <c:pt idx="1">
                  <c:v>462</c:v>
                </c:pt>
                <c:pt idx="2">
                  <c:v>1029.82</c:v>
                </c:pt>
                <c:pt idx="3">
                  <c:v>1564.26</c:v>
                </c:pt>
                <c:pt idx="4">
                  <c:v>1102.3699999999999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CF-4C52-8E04-9CA3D9C73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748768"/>
        <c:axId val="451746144"/>
      </c:lineChart>
      <c:catAx>
        <c:axId val="45174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746144"/>
        <c:crosses val="autoZero"/>
        <c:auto val="0"/>
        <c:lblAlgn val="ctr"/>
        <c:lblOffset val="100"/>
        <c:noMultiLvlLbl val="0"/>
      </c:catAx>
      <c:valAx>
        <c:axId val="451746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748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350-4058-91EB-5AA950F3FB3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350-4058-91EB-5AA950F3FB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10.72</c:v>
                </c:pt>
                <c:pt idx="1">
                  <c:v>16.43</c:v>
                </c:pt>
                <c:pt idx="2">
                  <c:v>27.81</c:v>
                </c:pt>
                <c:pt idx="3">
                  <c:v>20.37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50-4058-91EB-5AA950F3F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880"/>
        <c:axId val="553815240"/>
      </c:lineChart>
      <c:catAx>
        <c:axId val="55364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240"/>
        <c:crosses val="autoZero"/>
        <c:auto val="0"/>
        <c:lblAlgn val="ctr"/>
        <c:lblOffset val="100"/>
        <c:noMultiLvlLbl val="0"/>
      </c:catAx>
      <c:valAx>
        <c:axId val="553815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770-493B-AE40-94894BD7566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770-493B-AE40-94894BD756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4.74</c:v>
                </c:pt>
                <c:pt idx="1">
                  <c:v>4.99</c:v>
                </c:pt>
                <c:pt idx="2">
                  <c:v>4.87</c:v>
                </c:pt>
                <c:pt idx="3">
                  <c:v>5.85</c:v>
                </c:pt>
                <c:pt idx="4">
                  <c:v>3.74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70-493B-AE40-94894BD75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8856"/>
        <c:axId val="446615248"/>
      </c:lineChart>
      <c:catAx>
        <c:axId val="44661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15248"/>
        <c:crosses val="autoZero"/>
        <c:auto val="0"/>
        <c:lblAlgn val="ctr"/>
        <c:lblOffset val="100"/>
        <c:noMultiLvlLbl val="0"/>
      </c:catAx>
      <c:valAx>
        <c:axId val="446615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18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616-4AA6-9B0C-50C648B50A5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616-4AA6-9B0C-50C648B50A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9.6999999999999993</c:v>
                </c:pt>
                <c:pt idx="1">
                  <c:v>12.44</c:v>
                </c:pt>
                <c:pt idx="2">
                  <c:v>9.27</c:v>
                </c:pt>
                <c:pt idx="3">
                  <c:v>10.63</c:v>
                </c:pt>
                <c:pt idx="4">
                  <c:v>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16-4AA6-9B0C-50C648B50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6888"/>
        <c:axId val="439797384"/>
      </c:lineChart>
      <c:catAx>
        <c:axId val="44661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384"/>
        <c:crosses val="autoZero"/>
        <c:auto val="0"/>
        <c:lblAlgn val="ctr"/>
        <c:lblOffset val="100"/>
        <c:noMultiLvlLbl val="0"/>
      </c:catAx>
      <c:valAx>
        <c:axId val="439797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168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35-414D-9202-1A7DBD9827F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735-414D-9202-1A7DBD9827F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735-414D-9202-1A7DBD9827F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735-414D-9202-1A7DBD9827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35-414D-9202-1A7DBD982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4600"/>
        <c:axId val="549534928"/>
      </c:lineChart>
      <c:catAx>
        <c:axId val="549534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534928"/>
        <c:crosses val="autoZero"/>
        <c:auto val="0"/>
        <c:lblAlgn val="ctr"/>
        <c:lblOffset val="100"/>
        <c:noMultiLvlLbl val="0"/>
      </c:catAx>
      <c:valAx>
        <c:axId val="549534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46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092-49C0-9820-712A61CED42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92-49C0-9820-712A61CED4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0.78</c:v>
                </c:pt>
                <c:pt idx="1">
                  <c:v>0.79</c:v>
                </c:pt>
                <c:pt idx="2">
                  <c:v>0.35</c:v>
                </c:pt>
                <c:pt idx="3">
                  <c:v>0.23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92-49C0-9820-712A61CED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4560"/>
        <c:axId val="439593904"/>
      </c:lineChart>
      <c:catAx>
        <c:axId val="43959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3904"/>
        <c:crosses val="autoZero"/>
        <c:auto val="0"/>
        <c:lblAlgn val="ctr"/>
        <c:lblOffset val="100"/>
        <c:noMultiLvlLbl val="0"/>
      </c:catAx>
      <c:valAx>
        <c:axId val="439593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594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6CC-4624-A175-467D6A53641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6CC-4624-A175-467D6A53641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6CC-4624-A175-467D6A53641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6CC-4624-A175-467D6A5364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CC-4624-A175-467D6A536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2424"/>
        <c:axId val="439590784"/>
      </c:lineChart>
      <c:catAx>
        <c:axId val="43959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0784"/>
        <c:crosses val="autoZero"/>
        <c:auto val="0"/>
        <c:lblAlgn val="ctr"/>
        <c:lblOffset val="100"/>
        <c:noMultiLvlLbl val="0"/>
      </c:catAx>
      <c:valAx>
        <c:axId val="439590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592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55F-42AC-8845-56135EB784F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55F-42AC-8845-56135EB784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77.069999999999993</c:v>
                </c:pt>
                <c:pt idx="1">
                  <c:v>73.11</c:v>
                </c:pt>
                <c:pt idx="2">
                  <c:v>75.02</c:v>
                </c:pt>
                <c:pt idx="3">
                  <c:v>62.41</c:v>
                </c:pt>
                <c:pt idx="4">
                  <c:v>97.56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5F-42AC-8845-56135EB78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08472"/>
        <c:axId val="447908144"/>
      </c:lineChart>
      <c:catAx>
        <c:axId val="44790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908144"/>
        <c:crosses val="autoZero"/>
        <c:auto val="0"/>
        <c:lblAlgn val="ctr"/>
        <c:lblOffset val="100"/>
        <c:noMultiLvlLbl val="0"/>
      </c:catAx>
      <c:valAx>
        <c:axId val="447908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908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E3F-4C3A-BA02-215D026B1E2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E3F-4C3A-BA02-215D026B1E2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E3F-4C3A-BA02-215D026B1E2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E3F-4C3A-BA02-215D026B1E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3F-4C3A-BA02-215D026B1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73376"/>
        <c:axId val="560471408"/>
      </c:lineChart>
      <c:catAx>
        <c:axId val="56047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71408"/>
        <c:crosses val="autoZero"/>
        <c:auto val="0"/>
        <c:lblAlgn val="ctr"/>
        <c:lblOffset val="100"/>
        <c:noMultiLvlLbl val="0"/>
      </c:catAx>
      <c:valAx>
        <c:axId val="56047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60473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B73-4B03-86A8-082FB66DAE3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B73-4B03-86A8-082FB66DAE3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B73-4B03-86A8-082FB66DAE3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B73-4B03-86A8-082FB66DAE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3-4B03-86A8-082FB66DA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6560"/>
        <c:axId val="448998648"/>
      </c:lineChart>
      <c:catAx>
        <c:axId val="44661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998648"/>
        <c:crosses val="autoZero"/>
        <c:auto val="0"/>
        <c:lblAlgn val="ctr"/>
        <c:lblOffset val="100"/>
        <c:noMultiLvlLbl val="0"/>
      </c:catAx>
      <c:valAx>
        <c:axId val="448998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6616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18840.400000000001</c:v>
                </c:pt>
                <c:pt idx="1">
                  <c:v>21707.015376157447</c:v>
                </c:pt>
                <c:pt idx="2">
                  <c:v>23328.847718831388</c:v>
                </c:pt>
                <c:pt idx="3">
                  <c:v>25974.368511274148</c:v>
                </c:pt>
                <c:pt idx="4">
                  <c:v>31607.283425051388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43-4E99-8724-7C811EDD7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996352"/>
        <c:axId val="44899668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29204.5</c:v>
                </c:pt>
                <c:pt idx="1">
                  <c:v>33639.115376157446</c:v>
                </c:pt>
                <c:pt idx="2">
                  <c:v>37638.94771883139</c:v>
                </c:pt>
                <c:pt idx="3">
                  <c:v>39556.96851127415</c:v>
                </c:pt>
                <c:pt idx="4">
                  <c:v>49592.323425051385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43-4E99-8724-7C811EDD7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996352"/>
        <c:axId val="448996680"/>
      </c:lineChart>
      <c:catAx>
        <c:axId val="44899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996680"/>
        <c:crosses val="autoZero"/>
        <c:auto val="1"/>
        <c:lblAlgn val="ctr"/>
        <c:lblOffset val="100"/>
        <c:noMultiLvlLbl val="0"/>
      </c:catAx>
      <c:valAx>
        <c:axId val="448996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9963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6127.1460307608322</c:v>
                </c:pt>
                <c:pt idx="1">
                  <c:v>6872.115376157446</c:v>
                </c:pt>
                <c:pt idx="2">
                  <c:v>6919.5323426739415</c:v>
                </c:pt>
                <c:pt idx="3">
                  <c:v>7635.1207924427581</c:v>
                </c:pt>
                <c:pt idx="4">
                  <c:v>9133.3049137772396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0-4093-827A-2CC92AC68874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5042.1460307608322</c:v>
                </c:pt>
                <c:pt idx="1">
                  <c:v>5742.9153761574462</c:v>
                </c:pt>
                <c:pt idx="2">
                  <c:v>5473.7323426739413</c:v>
                </c:pt>
                <c:pt idx="3">
                  <c:v>6177.4207924427583</c:v>
                </c:pt>
                <c:pt idx="4">
                  <c:v>7612.9049137772399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B0-4093-827A-2CC92AC68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474032"/>
        <c:axId val="560474688"/>
      </c:barChart>
      <c:catAx>
        <c:axId val="56047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74688"/>
        <c:crosses val="autoZero"/>
        <c:auto val="1"/>
        <c:lblAlgn val="ctr"/>
        <c:lblOffset val="100"/>
        <c:noMultiLvlLbl val="0"/>
      </c:catAx>
      <c:valAx>
        <c:axId val="560474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740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2F5-4400-938D-0980D1AAC78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2F5-4400-938D-0980D1AAC78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2F5-4400-938D-0980D1AAC78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2F5-4400-938D-0980D1AAC7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213.92</c:v>
                </c:pt>
                <c:pt idx="1">
                  <c:v>239.23</c:v>
                </c:pt>
                <c:pt idx="2">
                  <c:v>260.38</c:v>
                </c:pt>
                <c:pt idx="3">
                  <c:v>300.83</c:v>
                </c:pt>
                <c:pt idx="4">
                  <c:v>353.62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F5-4400-938D-0980D1AAC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22152"/>
        <c:axId val="553646568"/>
      </c:lineChart>
      <c:catAx>
        <c:axId val="54832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568"/>
        <c:crosses val="autoZero"/>
        <c:auto val="0"/>
        <c:lblAlgn val="ctr"/>
        <c:lblOffset val="100"/>
        <c:noMultiLvlLbl val="0"/>
      </c:catAx>
      <c:valAx>
        <c:axId val="553646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3221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17884.2</c:v>
                </c:pt>
                <c:pt idx="1">
                  <c:v>22905.215376157452</c:v>
                </c:pt>
                <c:pt idx="2">
                  <c:v>28831.247718831386</c:v>
                </c:pt>
                <c:pt idx="3">
                  <c:v>28223.46851127415</c:v>
                </c:pt>
                <c:pt idx="4">
                  <c:v>43675.973425051387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91-42F1-ABE1-B3B2A414790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8123.2000000000007</c:v>
                </c:pt>
                <c:pt idx="1">
                  <c:v>10048.6</c:v>
                </c:pt>
                <c:pt idx="2">
                  <c:v>11453</c:v>
                </c:pt>
                <c:pt idx="3">
                  <c:v>11465.2</c:v>
                </c:pt>
                <c:pt idx="4">
                  <c:v>15452.7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91-42F1-ABE1-B3B2A4147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352032"/>
        <c:axId val="556350392"/>
      </c:barChart>
      <c:catAx>
        <c:axId val="5563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0392"/>
        <c:crosses val="autoZero"/>
        <c:auto val="1"/>
        <c:lblAlgn val="ctr"/>
        <c:lblOffset val="100"/>
        <c:noMultiLvlLbl val="0"/>
      </c:catAx>
      <c:valAx>
        <c:axId val="556350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20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555.1</c:v>
                </c:pt>
                <c:pt idx="1">
                  <c:v>580.1</c:v>
                </c:pt>
                <c:pt idx="2">
                  <c:v>669.1</c:v>
                </c:pt>
                <c:pt idx="3">
                  <c:v>781</c:v>
                </c:pt>
                <c:pt idx="4">
                  <c:v>881.1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9D-4DF4-8DC5-500C6A4B6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346128"/>
        <c:axId val="556351376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403</c:v>
                </c:pt>
                <c:pt idx="1">
                  <c:v>395.2</c:v>
                </c:pt>
                <c:pt idx="2">
                  <c:v>436.4</c:v>
                </c:pt>
                <c:pt idx="3">
                  <c:v>531.1</c:v>
                </c:pt>
                <c:pt idx="4">
                  <c:v>671.6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9D-4DF4-8DC5-500C6A4B6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356296"/>
        <c:axId val="556359904"/>
      </c:lineChart>
      <c:catAx>
        <c:axId val="55634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6351376"/>
        <c:crosses val="autoZero"/>
        <c:auto val="1"/>
        <c:lblAlgn val="ctr"/>
        <c:lblOffset val="100"/>
        <c:noMultiLvlLbl val="0"/>
      </c:catAx>
      <c:valAx>
        <c:axId val="556351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46128"/>
        <c:crosses val="autoZero"/>
        <c:crossBetween val="between"/>
      </c:valAx>
      <c:valAx>
        <c:axId val="5563599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6356296"/>
        <c:crosses val="max"/>
        <c:crossBetween val="between"/>
      </c:valAx>
      <c:catAx>
        <c:axId val="556356296"/>
        <c:scaling>
          <c:orientation val="minMax"/>
        </c:scaling>
        <c:delete val="1"/>
        <c:axPos val="b"/>
        <c:majorTickMark val="out"/>
        <c:minorTickMark val="none"/>
        <c:tickLblPos val="nextTo"/>
        <c:crossAx val="55635990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65-4F03-897F-C1AC45AD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69440"/>
        <c:axId val="560472720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3888</c:v>
                </c:pt>
                <c:pt idx="1">
                  <c:v>4349.7</c:v>
                </c:pt>
                <c:pt idx="2">
                  <c:v>5440.8</c:v>
                </c:pt>
                <c:pt idx="3">
                  <c:v>4974.3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65-4F03-897F-C1AC45AD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589800"/>
        <c:axId val="560473048"/>
      </c:lineChart>
      <c:catAx>
        <c:axId val="56046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472720"/>
        <c:crosses val="autoZero"/>
        <c:auto val="1"/>
        <c:lblAlgn val="ctr"/>
        <c:lblOffset val="100"/>
        <c:noMultiLvlLbl val="0"/>
      </c:catAx>
      <c:valAx>
        <c:axId val="560472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69440"/>
        <c:crosses val="autoZero"/>
        <c:crossBetween val="between"/>
      </c:valAx>
      <c:valAx>
        <c:axId val="5604730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39589800"/>
        <c:crosses val="max"/>
        <c:crossBetween val="between"/>
      </c:valAx>
      <c:catAx>
        <c:axId val="439589800"/>
        <c:scaling>
          <c:orientation val="minMax"/>
        </c:scaling>
        <c:delete val="1"/>
        <c:axPos val="b"/>
        <c:majorTickMark val="out"/>
        <c:minorTickMark val="none"/>
        <c:tickLblPos val="nextTo"/>
        <c:crossAx val="56047304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30772.9</c:v>
                </c:pt>
                <c:pt idx="1">
                  <c:v>34742.1</c:v>
                </c:pt>
                <c:pt idx="2">
                  <c:v>36867.699999999997</c:v>
                </c:pt>
                <c:pt idx="3">
                  <c:v>37855.1</c:v>
                </c:pt>
                <c:pt idx="4">
                  <c:v>44645.98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B5-4DE3-809A-F1CBA0AA86C9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32190.446030760831</c:v>
                </c:pt>
                <c:pt idx="1">
                  <c:v>35277.31537615745</c:v>
                </c:pt>
                <c:pt idx="2">
                  <c:v>38061.13234267394</c:v>
                </c:pt>
                <c:pt idx="3">
                  <c:v>38643.220792442757</c:v>
                </c:pt>
                <c:pt idx="4">
                  <c:v>45759.30491377724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B5-4DE3-809A-F1CBA0AA8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7381480"/>
        <c:axId val="557379512"/>
      </c:barChart>
      <c:catAx>
        <c:axId val="55738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7379512"/>
        <c:crosses val="autoZero"/>
        <c:auto val="1"/>
        <c:lblAlgn val="ctr"/>
        <c:lblOffset val="100"/>
        <c:noMultiLvlLbl val="0"/>
      </c:catAx>
      <c:valAx>
        <c:axId val="557379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73814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33639.115376157446</c:v>
                </c:pt>
                <c:pt idx="2">
                  <c:v>37638.94771883139</c:v>
                </c:pt>
                <c:pt idx="3">
                  <c:v>39556.96851127415</c:v>
                </c:pt>
                <c:pt idx="4">
                  <c:v>49592.323425051385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0F-4B41-80AD-E2EE11BA8995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1731.8</c:v>
                </c:pt>
                <c:pt idx="1">
                  <c:v>1405.8</c:v>
                </c:pt>
                <c:pt idx="2">
                  <c:v>2463.8000000000002</c:v>
                </c:pt>
                <c:pt idx="3">
                  <c:v>1737.9</c:v>
                </c:pt>
                <c:pt idx="4">
                  <c:v>2036.94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0F-4B41-80AD-E2EE11BA8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6710480"/>
        <c:axId val="546715072"/>
      </c:barChart>
      <c:catAx>
        <c:axId val="54671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715072"/>
        <c:crosses val="autoZero"/>
        <c:auto val="1"/>
        <c:lblAlgn val="ctr"/>
        <c:lblOffset val="100"/>
        <c:noMultiLvlLbl val="0"/>
      </c:catAx>
      <c:valAx>
        <c:axId val="546715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7104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33639.115376157446</c:v>
                </c:pt>
                <c:pt idx="2">
                  <c:v>37638.94771883139</c:v>
                </c:pt>
                <c:pt idx="3">
                  <c:v>39556.96851127415</c:v>
                </c:pt>
                <c:pt idx="4">
                  <c:v>49592.323425051385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1C-4CD3-B40B-0A059FB94E6A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8123.2000000000007</c:v>
                </c:pt>
                <c:pt idx="1">
                  <c:v>10048.6</c:v>
                </c:pt>
                <c:pt idx="2">
                  <c:v>11453</c:v>
                </c:pt>
                <c:pt idx="3">
                  <c:v>11465.2</c:v>
                </c:pt>
                <c:pt idx="4">
                  <c:v>15452.7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1C-4CD3-B40B-0A059FB94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358592"/>
        <c:axId val="556359248"/>
      </c:barChart>
      <c:catAx>
        <c:axId val="5563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9248"/>
        <c:crosses val="autoZero"/>
        <c:auto val="1"/>
        <c:lblAlgn val="ctr"/>
        <c:lblOffset val="100"/>
        <c:noMultiLvlLbl val="0"/>
      </c:catAx>
      <c:valAx>
        <c:axId val="556359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85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33639.115376157453</c:v>
                </c:pt>
                <c:pt idx="2">
                  <c:v>37638.94771883139</c:v>
                </c:pt>
                <c:pt idx="3">
                  <c:v>39556.96851127415</c:v>
                </c:pt>
                <c:pt idx="4">
                  <c:v>49592.323425051385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7C-4F46-A032-B8DB48A273C9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11320.3</c:v>
                </c:pt>
                <c:pt idx="1">
                  <c:v>10733.899999999998</c:v>
                </c:pt>
                <c:pt idx="2">
                  <c:v>8807.7000000000007</c:v>
                </c:pt>
                <c:pt idx="3">
                  <c:v>11333.5</c:v>
                </c:pt>
                <c:pt idx="4">
                  <c:v>5916.3499999999985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7C-4F46-A032-B8DB48A27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821760"/>
        <c:axId val="626826024"/>
      </c:barChart>
      <c:catAx>
        <c:axId val="6268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26024"/>
        <c:crosses val="autoZero"/>
        <c:auto val="1"/>
        <c:lblAlgn val="ctr"/>
        <c:lblOffset val="100"/>
        <c:noMultiLvlLbl val="0"/>
      </c:catAx>
      <c:valAx>
        <c:axId val="626826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217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33639.115376157453</c:v>
                </c:pt>
                <c:pt idx="2">
                  <c:v>37638.94771883139</c:v>
                </c:pt>
                <c:pt idx="3">
                  <c:v>39556.96851127415</c:v>
                </c:pt>
                <c:pt idx="4">
                  <c:v>49592.323425051385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88-43F9-BE70-388F9F7C66F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17884.2</c:v>
                </c:pt>
                <c:pt idx="1">
                  <c:v>22905.215376157452</c:v>
                </c:pt>
                <c:pt idx="2">
                  <c:v>28831.247718831386</c:v>
                </c:pt>
                <c:pt idx="3">
                  <c:v>28223.46851127415</c:v>
                </c:pt>
                <c:pt idx="4">
                  <c:v>43675.973425051387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88-43F9-BE70-388F9F7C6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2203184"/>
        <c:axId val="562203512"/>
      </c:barChart>
      <c:catAx>
        <c:axId val="56220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203512"/>
        <c:crosses val="autoZero"/>
        <c:auto val="1"/>
        <c:lblAlgn val="ctr"/>
        <c:lblOffset val="100"/>
        <c:noMultiLvlLbl val="0"/>
      </c:catAx>
      <c:valAx>
        <c:axId val="562203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2031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26063.3</c:v>
                </c:pt>
                <c:pt idx="1">
                  <c:v>28405.200000000004</c:v>
                </c:pt>
                <c:pt idx="2">
                  <c:v>31141.599999999999</c:v>
                </c:pt>
                <c:pt idx="3">
                  <c:v>31008.1</c:v>
                </c:pt>
                <c:pt idx="4">
                  <c:v>36626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7D-42A3-8115-102FFBD4A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181880"/>
        <c:axId val="56218220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32190.446030760831</c:v>
                </c:pt>
                <c:pt idx="1">
                  <c:v>35277.31537615745</c:v>
                </c:pt>
                <c:pt idx="2">
                  <c:v>38061.13234267394</c:v>
                </c:pt>
                <c:pt idx="3">
                  <c:v>38643.220792442757</c:v>
                </c:pt>
                <c:pt idx="4">
                  <c:v>45759.30491377724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7D-42A3-8115-102FFBD4A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179256"/>
        <c:axId val="562186800"/>
      </c:lineChart>
      <c:catAx>
        <c:axId val="56218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182208"/>
        <c:crosses val="autoZero"/>
        <c:auto val="1"/>
        <c:lblAlgn val="ctr"/>
        <c:lblOffset val="100"/>
        <c:noMultiLvlLbl val="0"/>
      </c:catAx>
      <c:valAx>
        <c:axId val="562182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181880"/>
        <c:crosses val="autoZero"/>
        <c:crossBetween val="between"/>
      </c:valAx>
      <c:valAx>
        <c:axId val="5621868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62179256"/>
        <c:crosses val="max"/>
        <c:crossBetween val="between"/>
      </c:valAx>
      <c:catAx>
        <c:axId val="562179256"/>
        <c:scaling>
          <c:orientation val="minMax"/>
        </c:scaling>
        <c:delete val="1"/>
        <c:axPos val="b"/>
        <c:majorTickMark val="out"/>
        <c:minorTickMark val="none"/>
        <c:tickLblPos val="nextTo"/>
        <c:crossAx val="56218680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2843.3460307608329</c:v>
                </c:pt>
                <c:pt idx="1">
                  <c:v>2864.6153761574469</c:v>
                </c:pt>
                <c:pt idx="2">
                  <c:v>1629.7323426739413</c:v>
                </c:pt>
                <c:pt idx="3">
                  <c:v>2644.3207924427579</c:v>
                </c:pt>
                <c:pt idx="4">
                  <c:v>5631.1049137772397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D-4D59-A9A3-322811786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55928"/>
        <c:axId val="44675855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3787.1460307608327</c:v>
                </c:pt>
                <c:pt idx="1">
                  <c:v>4355.3153761574467</c:v>
                </c:pt>
                <c:pt idx="2">
                  <c:v>4121.4323426739411</c:v>
                </c:pt>
                <c:pt idx="3">
                  <c:v>4403.5207924427577</c:v>
                </c:pt>
                <c:pt idx="4">
                  <c:v>5631.1049137772397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FD-4D59-A9A3-322811786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56584"/>
        <c:axId val="446748384"/>
      </c:lineChart>
      <c:catAx>
        <c:axId val="44675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8552"/>
        <c:crosses val="autoZero"/>
        <c:auto val="1"/>
        <c:lblAlgn val="ctr"/>
        <c:lblOffset val="100"/>
        <c:noMultiLvlLbl val="0"/>
      </c:catAx>
      <c:valAx>
        <c:axId val="446758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5928"/>
        <c:crosses val="autoZero"/>
        <c:crossBetween val="between"/>
      </c:valAx>
      <c:valAx>
        <c:axId val="4467483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6756584"/>
        <c:crosses val="max"/>
        <c:crossBetween val="between"/>
      </c:valAx>
      <c:catAx>
        <c:axId val="446756584"/>
        <c:scaling>
          <c:orientation val="minMax"/>
        </c:scaling>
        <c:delete val="1"/>
        <c:axPos val="b"/>
        <c:majorTickMark val="out"/>
        <c:minorTickMark val="none"/>
        <c:tickLblPos val="nextTo"/>
        <c:crossAx val="44674838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38-43F2-BA97-D0DC6CB297D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38-43F2-BA97-D0DC6CB29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0.25</c:v>
                </c:pt>
                <c:pt idx="1">
                  <c:v>0.34</c:v>
                </c:pt>
                <c:pt idx="2">
                  <c:v>0.6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38-43F2-BA97-D0DC6CB29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078848"/>
        <c:axId val="551076224"/>
      </c:lineChart>
      <c:catAx>
        <c:axId val="55107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6224"/>
        <c:crosses val="autoZero"/>
        <c:auto val="0"/>
        <c:lblAlgn val="ctr"/>
        <c:lblOffset val="100"/>
        <c:noMultiLvlLbl val="0"/>
      </c:catAx>
      <c:valAx>
        <c:axId val="55107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078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91B-4CEC-B8E0-C93657466CF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91B-4CEC-B8E0-C93657466C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-9.7200000000000006</c:v>
                </c:pt>
                <c:pt idx="1">
                  <c:v>-15.43</c:v>
                </c:pt>
                <c:pt idx="2">
                  <c:v>-26.81</c:v>
                </c:pt>
                <c:pt idx="3">
                  <c:v>-19.37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1B-4CEC-B8E0-C93657466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44568"/>
        <c:axId val="549643912"/>
      </c:lineChart>
      <c:catAx>
        <c:axId val="549644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43912"/>
        <c:crosses val="autoZero"/>
        <c:auto val="0"/>
        <c:lblAlgn val="ctr"/>
        <c:lblOffset val="100"/>
        <c:noMultiLvlLbl val="0"/>
      </c:catAx>
      <c:valAx>
        <c:axId val="549643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9644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89-4C37-99EC-6BF94030872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789-4C37-99EC-6BF94030872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89-4C37-99EC-6BF94030872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789-4C37-99EC-6BF9403087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30772.9</c:v>
                </c:pt>
                <c:pt idx="1">
                  <c:v>34742.1</c:v>
                </c:pt>
                <c:pt idx="2">
                  <c:v>36867.699999999997</c:v>
                </c:pt>
                <c:pt idx="3">
                  <c:v>37855.1</c:v>
                </c:pt>
                <c:pt idx="4">
                  <c:v>44645.98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89-4C37-99EC-6BF940308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49384"/>
        <c:axId val="546949056"/>
      </c:lineChart>
      <c:catAx>
        <c:axId val="54694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49056"/>
        <c:crosses val="autoZero"/>
        <c:auto val="0"/>
        <c:lblAlgn val="ctr"/>
        <c:lblOffset val="100"/>
        <c:noMultiLvlLbl val="0"/>
      </c:catAx>
      <c:valAx>
        <c:axId val="546949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6949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B27-478D-8EC7-9D41EDB7AC1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B27-478D-8EC7-9D41EDB7AC1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B27-478D-8EC7-9D41EDB7AC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4709.6000000000004</c:v>
                </c:pt>
                <c:pt idx="1">
                  <c:v>6336.9</c:v>
                </c:pt>
                <c:pt idx="2">
                  <c:v>5726.1</c:v>
                </c:pt>
                <c:pt idx="3">
                  <c:v>6847</c:v>
                </c:pt>
                <c:pt idx="4">
                  <c:v>8019.98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27-478D-8EC7-9D41EDB7A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384"/>
        <c:axId val="364044728"/>
      </c:lineChart>
      <c:catAx>
        <c:axId val="36404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728"/>
        <c:crosses val="autoZero"/>
        <c:auto val="0"/>
        <c:lblAlgn val="ctr"/>
        <c:lblOffset val="100"/>
        <c:noMultiLvlLbl val="0"/>
      </c:catAx>
      <c:valAx>
        <c:axId val="364044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5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36-4A25-864A-B337E573860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E36-4A25-864A-B337E573860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36-4A25-864A-B337E57386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0.13</c:v>
                </c:pt>
                <c:pt idx="1">
                  <c:v>0.13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36-4A25-864A-B337E5738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813856"/>
        <c:axId val="562812872"/>
      </c:lineChart>
      <c:catAx>
        <c:axId val="56281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812872"/>
        <c:crosses val="autoZero"/>
        <c:auto val="0"/>
        <c:lblAlgn val="ctr"/>
        <c:lblOffset val="100"/>
        <c:noMultiLvlLbl val="0"/>
      </c:catAx>
      <c:valAx>
        <c:axId val="562812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62813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BFF-433C-801F-408B0B93626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BFF-433C-801F-408B0B93626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BFF-433C-801F-408B0B9362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1.46</c:v>
                </c:pt>
                <c:pt idx="1">
                  <c:v>2.04</c:v>
                </c:pt>
                <c:pt idx="2">
                  <c:v>1.1100000000000001</c:v>
                </c:pt>
                <c:pt idx="3">
                  <c:v>1.78</c:v>
                </c:pt>
                <c:pt idx="4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FF-433C-801F-408B0B936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811232"/>
        <c:axId val="562813200"/>
      </c:lineChart>
      <c:catAx>
        <c:axId val="5628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813200"/>
        <c:crosses val="autoZero"/>
        <c:auto val="0"/>
        <c:lblAlgn val="ctr"/>
        <c:lblOffset val="100"/>
        <c:noMultiLvlLbl val="0"/>
      </c:catAx>
      <c:valAx>
        <c:axId val="562813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62811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BEA79C-8AAF-2270-0EB9-8307F43897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4ED536-133E-956A-19B1-5F9DC9434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041C63-9794-28E4-44B2-E68F39DE34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736EFD-99D0-456A-F575-0F1D901844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55197C-460B-51B1-7D11-CBC804B4F8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026F70-567E-30B8-F200-E5B81DC66C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049246-B4CD-B963-F4D8-B6A695ED2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1433B1-05F0-045B-D62D-2C38AF5AEB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AFA1AC-4B9D-E5D6-E07B-E81F76D9A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B5B5E-1D6D-4A2B-6280-2327020681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CD21C3-2834-B3E2-8D84-981C21552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37CF58-5416-BDF2-C2B3-8EF21DE9C1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37D44B-29B3-9E02-8FFA-66491ADF0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2A72DF-4943-419E-3781-FC0399EDB8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03EB9B-3295-BC6A-1887-E84D92BDF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D7B051-DEBD-F8DD-7AC3-BF2EC989C3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126A42-B9AE-4846-00F4-832FF8E3B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1A1F42-8F79-12B6-608B-A11461297D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B1EA7C-F34E-2B5E-06B4-544FBF064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20158D-5A65-F5FE-7D79-DD1C439A8F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12D10CFD-05FC-E407-323A-A6786F9DF8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1EE3C0A4-6D35-6DDC-4D2A-35DE7F1EF9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8EC37F-74D8-CFA3-6B7D-B939D87319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66329871-8250-379D-F630-2966008277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61519B53-D315-952D-590C-63C9C92DE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82AD03D4-8171-65C2-29E1-662E748548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8BC8ECE1-AD8B-E628-C8F0-4A74331367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D4E4594D-0A14-070A-37E9-618B99C43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B2F233B0-51EE-04E5-48BD-3AA8785158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5FD368CC-A1F3-3A2E-E5E4-4E01D55219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9D9024B-FF79-4C93-CD7F-0CDD57519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62F01F1-7D24-C6F8-E88F-C84F2B8B4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68A87464-5BF6-2974-1441-732DD4E34A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2226CD-9AA1-0328-8000-486F5092F7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EF96C2-1FAC-A02A-F3F0-735EEA92C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BAA31B-146D-46BA-E5CB-E7D6B0AD29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BC4E32-CBBC-CD19-1FCE-8FF6F2F03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E161A-10CD-5503-315D-8106D7FCAC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B60A87-0DAB-D333-BB50-C8CA9D92D8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C259C-7CA3-45E0-AF54-31C5EB6E3235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441.7</v>
      </c>
      <c r="D6">
        <v>443.7</v>
      </c>
      <c r="E6">
        <v>435.8</v>
      </c>
      <c r="F6">
        <v>437</v>
      </c>
      <c r="G6">
        <v>438.81</v>
      </c>
      <c r="H6" t="s">
        <v>1</v>
      </c>
    </row>
    <row r="7" spans="1:15" x14ac:dyDescent="0.25">
      <c r="B7" t="s">
        <v>6</v>
      </c>
      <c r="C7">
        <v>441.7</v>
      </c>
      <c r="D7">
        <v>443.7</v>
      </c>
      <c r="E7">
        <v>435.8</v>
      </c>
      <c r="F7">
        <v>437</v>
      </c>
      <c r="G7">
        <v>438.81</v>
      </c>
      <c r="H7" t="s">
        <v>1</v>
      </c>
    </row>
    <row r="8" spans="1:15" x14ac:dyDescent="0.25">
      <c r="A8" t="s">
        <v>90</v>
      </c>
      <c r="B8" t="s">
        <v>7</v>
      </c>
      <c r="C8" s="2">
        <v>18398.7</v>
      </c>
      <c r="D8" s="2">
        <v>19432.400000000001</v>
      </c>
      <c r="E8" s="2">
        <v>20950.8</v>
      </c>
      <c r="F8" s="2">
        <v>23957.3</v>
      </c>
      <c r="G8" s="2">
        <v>26446.9</v>
      </c>
      <c r="H8" t="s">
        <v>1</v>
      </c>
    </row>
    <row r="9" spans="1:15" x14ac:dyDescent="0.25">
      <c r="B9" t="s">
        <v>8</v>
      </c>
      <c r="C9" s="2">
        <v>18398.7</v>
      </c>
      <c r="D9" s="2">
        <v>19432.400000000001</v>
      </c>
      <c r="E9" s="2">
        <v>20950.8</v>
      </c>
      <c r="F9" s="2">
        <v>23957.3</v>
      </c>
      <c r="G9" s="2">
        <v>26446.9</v>
      </c>
      <c r="H9" t="s">
        <v>1</v>
      </c>
    </row>
    <row r="10" spans="1:15" x14ac:dyDescent="0.25">
      <c r="B10" t="s">
        <v>9</v>
      </c>
      <c r="C10" s="2">
        <v>18840.400000000001</v>
      </c>
      <c r="D10" s="2">
        <v>20282.400000000001</v>
      </c>
      <c r="E10" s="2">
        <v>21812.3</v>
      </c>
      <c r="F10" s="2">
        <v>24859.8</v>
      </c>
      <c r="G10" s="2">
        <v>26885.71</v>
      </c>
      <c r="H10" t="s">
        <v>1</v>
      </c>
    </row>
    <row r="11" spans="1:15" x14ac:dyDescent="0.25">
      <c r="A11" t="s">
        <v>10</v>
      </c>
      <c r="B11" t="s">
        <v>10</v>
      </c>
      <c r="C11">
        <v>509.1</v>
      </c>
      <c r="D11">
        <v>477.7</v>
      </c>
      <c r="E11">
        <v>393.3</v>
      </c>
      <c r="F11">
        <v>379.5</v>
      </c>
      <c r="G11">
        <v>495.4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>
        <v>771.1</v>
      </c>
      <c r="D13">
        <v>208.6</v>
      </c>
      <c r="E13">
        <v>178.7</v>
      </c>
      <c r="F13">
        <v>165.8</v>
      </c>
      <c r="G13">
        <v>142</v>
      </c>
      <c r="H13" t="s">
        <v>1</v>
      </c>
    </row>
    <row r="14" spans="1:15" x14ac:dyDescent="0.25">
      <c r="A14" t="s">
        <v>91</v>
      </c>
      <c r="B14" t="s">
        <v>13</v>
      </c>
      <c r="C14">
        <v>5.8</v>
      </c>
      <c r="D14">
        <v>1.1000000000000001</v>
      </c>
      <c r="E14">
        <v>35.6</v>
      </c>
      <c r="F14">
        <v>76.099999999999994</v>
      </c>
      <c r="G14">
        <v>455.2</v>
      </c>
      <c r="H14" t="s">
        <v>1</v>
      </c>
    </row>
    <row r="15" spans="1:15" x14ac:dyDescent="0.25">
      <c r="A15" t="s">
        <v>92</v>
      </c>
      <c r="B15" t="s">
        <v>14</v>
      </c>
      <c r="C15" s="2">
        <v>606.20000000000005</v>
      </c>
      <c r="D15" s="2">
        <v>333.4</v>
      </c>
      <c r="E15" s="2">
        <v>2107.6</v>
      </c>
      <c r="F15">
        <v>1902.7</v>
      </c>
      <c r="G15">
        <v>2276.1</v>
      </c>
      <c r="H15" t="s">
        <v>1</v>
      </c>
    </row>
    <row r="16" spans="1:15" x14ac:dyDescent="0.25">
      <c r="A16" t="s">
        <v>93</v>
      </c>
      <c r="B16" t="s">
        <v>15</v>
      </c>
      <c r="C16">
        <v>555.1</v>
      </c>
      <c r="D16">
        <v>580.1</v>
      </c>
      <c r="E16">
        <v>669.1</v>
      </c>
      <c r="F16">
        <v>781</v>
      </c>
      <c r="G16">
        <v>881.1</v>
      </c>
      <c r="H16" t="s">
        <v>1</v>
      </c>
    </row>
    <row r="17" spans="1:8" x14ac:dyDescent="0.25">
      <c r="B17" t="s">
        <v>16</v>
      </c>
      <c r="C17" s="2">
        <v>1938.2</v>
      </c>
      <c r="D17" s="2">
        <v>1123.2</v>
      </c>
      <c r="E17" s="2">
        <v>2991</v>
      </c>
      <c r="F17" s="2">
        <v>2925.6</v>
      </c>
      <c r="G17" s="2">
        <v>3754.4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954.9</v>
      </c>
      <c r="D19" s="2">
        <v>1196.0999999999999</v>
      </c>
      <c r="E19" s="2">
        <v>2249.5</v>
      </c>
      <c r="F19" s="2">
        <v>1496</v>
      </c>
      <c r="G19">
        <v>1439.74</v>
      </c>
      <c r="H19" t="s">
        <v>1</v>
      </c>
    </row>
    <row r="20" spans="1:8" x14ac:dyDescent="0.25">
      <c r="A20" t="s">
        <v>92</v>
      </c>
      <c r="B20" t="s">
        <v>19</v>
      </c>
      <c r="C20" s="2">
        <v>2036.8</v>
      </c>
      <c r="D20" s="2">
        <v>2489.3000000000002</v>
      </c>
      <c r="E20" s="2">
        <v>3256.6</v>
      </c>
      <c r="F20" s="2">
        <v>2785</v>
      </c>
      <c r="G20" s="2">
        <v>4094.7</v>
      </c>
      <c r="H20" t="s">
        <v>1</v>
      </c>
    </row>
    <row r="21" spans="1:8" x14ac:dyDescent="0.25">
      <c r="A21" t="s">
        <v>92</v>
      </c>
      <c r="B21" t="s">
        <v>20</v>
      </c>
      <c r="C21" s="2">
        <v>4522.1000000000004</v>
      </c>
      <c r="D21" s="2">
        <v>6250.6</v>
      </c>
      <c r="E21" s="2">
        <v>4983.3</v>
      </c>
      <c r="F21" s="2">
        <v>5465.4</v>
      </c>
      <c r="G21" s="2">
        <v>7529.2</v>
      </c>
      <c r="H21" t="s">
        <v>1</v>
      </c>
    </row>
    <row r="22" spans="1:8" x14ac:dyDescent="0.25">
      <c r="A22" t="s">
        <v>93</v>
      </c>
      <c r="B22" t="s">
        <v>21</v>
      </c>
      <c r="C22">
        <v>403</v>
      </c>
      <c r="D22">
        <v>395.2</v>
      </c>
      <c r="E22">
        <v>436.4</v>
      </c>
      <c r="F22">
        <v>531.1</v>
      </c>
      <c r="G22">
        <v>671.6</v>
      </c>
      <c r="H22" t="s">
        <v>1</v>
      </c>
    </row>
    <row r="23" spans="1:8" x14ac:dyDescent="0.25">
      <c r="B23" t="s">
        <v>22</v>
      </c>
      <c r="C23" s="2">
        <v>7916.8</v>
      </c>
      <c r="D23" s="2">
        <v>10331.200000000001</v>
      </c>
      <c r="E23" s="2">
        <v>10925.8</v>
      </c>
      <c r="F23" s="2">
        <v>10277.5</v>
      </c>
      <c r="G23" s="2">
        <v>13735.24</v>
      </c>
      <c r="H23" t="s">
        <v>1</v>
      </c>
    </row>
    <row r="24" spans="1:8" x14ac:dyDescent="0.25">
      <c r="B24" t="s">
        <v>23</v>
      </c>
      <c r="C24" s="2">
        <v>30437.200000000001</v>
      </c>
      <c r="D24" s="2">
        <v>33446.9</v>
      </c>
      <c r="E24" s="2">
        <v>37353.5</v>
      </c>
      <c r="F24" s="2">
        <v>39678</v>
      </c>
      <c r="G24" s="2">
        <v>44870.74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3171.6</v>
      </c>
      <c r="D27" s="2">
        <v>2793.7</v>
      </c>
      <c r="E27" s="2">
        <v>3978.3</v>
      </c>
      <c r="F27" s="2">
        <v>3559.5</v>
      </c>
      <c r="G27" s="2">
        <v>6585.7</v>
      </c>
      <c r="H27" t="s">
        <v>1</v>
      </c>
    </row>
    <row r="28" spans="1:8" x14ac:dyDescent="0.25">
      <c r="A28" t="s">
        <v>29</v>
      </c>
      <c r="B28" t="s">
        <v>27</v>
      </c>
      <c r="C28">
        <v>1678.1</v>
      </c>
      <c r="D28" s="2">
        <v>1451.2</v>
      </c>
      <c r="E28" s="2">
        <v>1506</v>
      </c>
      <c r="F28" s="2">
        <v>1450.8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239.9</v>
      </c>
      <c r="D29">
        <v>276.3</v>
      </c>
      <c r="E29">
        <v>50.1</v>
      </c>
      <c r="F29">
        <v>118.3</v>
      </c>
      <c r="G29">
        <v>0</v>
      </c>
      <c r="H29" t="s">
        <v>1</v>
      </c>
    </row>
    <row r="30" spans="1:8" x14ac:dyDescent="0.25">
      <c r="B30" t="s">
        <v>29</v>
      </c>
      <c r="C30" s="2">
        <v>5089.6000000000004</v>
      </c>
      <c r="D30" s="2">
        <v>4521.2</v>
      </c>
      <c r="E30" s="2">
        <v>5534.4</v>
      </c>
      <c r="F30" s="2">
        <v>5128.6000000000004</v>
      </c>
      <c r="G30" s="2">
        <v>6585.7</v>
      </c>
      <c r="H30" t="s">
        <v>1</v>
      </c>
    </row>
    <row r="31" spans="1:8" x14ac:dyDescent="0.25">
      <c r="A31" t="s">
        <v>94</v>
      </c>
      <c r="B31" t="s">
        <v>30</v>
      </c>
      <c r="C31">
        <v>1245.8</v>
      </c>
      <c r="D31">
        <v>752</v>
      </c>
      <c r="E31">
        <v>236</v>
      </c>
      <c r="F31">
        <v>575.70000000000005</v>
      </c>
      <c r="G31" s="2">
        <v>447.85</v>
      </c>
      <c r="H31" t="s">
        <v>1</v>
      </c>
    </row>
    <row r="32" spans="1:8" x14ac:dyDescent="0.25">
      <c r="A32" t="s">
        <v>95</v>
      </c>
      <c r="B32" t="s">
        <v>31</v>
      </c>
      <c r="C32">
        <v>576.6</v>
      </c>
      <c r="D32">
        <v>609.1</v>
      </c>
      <c r="E32">
        <v>844.3</v>
      </c>
      <c r="F32">
        <v>913.3</v>
      </c>
      <c r="G32">
        <v>819.1</v>
      </c>
      <c r="H32" t="s">
        <v>1</v>
      </c>
    </row>
    <row r="33" spans="1:8" x14ac:dyDescent="0.25">
      <c r="A33" t="s">
        <v>95</v>
      </c>
      <c r="B33" t="s">
        <v>32</v>
      </c>
      <c r="C33">
        <v>5.2</v>
      </c>
      <c r="D33">
        <v>4.3</v>
      </c>
      <c r="E33">
        <v>4.5</v>
      </c>
      <c r="F33">
        <v>4.7</v>
      </c>
      <c r="G33">
        <v>13.6</v>
      </c>
      <c r="H33" t="s">
        <v>1</v>
      </c>
    </row>
    <row r="34" spans="1:8" x14ac:dyDescent="0.25">
      <c r="A34" t="s">
        <v>95</v>
      </c>
      <c r="B34" t="s">
        <v>33</v>
      </c>
      <c r="C34" s="2">
        <v>2640.3</v>
      </c>
      <c r="D34" s="2">
        <v>3178.2</v>
      </c>
      <c r="E34" s="2">
        <v>4174.3</v>
      </c>
      <c r="F34" s="2">
        <v>3792.2</v>
      </c>
      <c r="G34" s="2">
        <v>5122.96</v>
      </c>
      <c r="H34" t="s">
        <v>1</v>
      </c>
    </row>
    <row r="35" spans="1:8" x14ac:dyDescent="0.25">
      <c r="B35" t="s">
        <v>34</v>
      </c>
      <c r="C35" s="2">
        <v>12330.2</v>
      </c>
      <c r="D35" s="2">
        <v>11881.1</v>
      </c>
      <c r="E35" s="2">
        <v>14181.2</v>
      </c>
      <c r="F35" s="2">
        <v>14422.7</v>
      </c>
      <c r="G35" s="2">
        <v>20415.04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3444.9</v>
      </c>
      <c r="D37" s="2">
        <v>6589.9</v>
      </c>
      <c r="E37" s="2">
        <v>5612.3</v>
      </c>
      <c r="F37" s="2">
        <v>9661.9</v>
      </c>
      <c r="G37" s="2">
        <v>4435.8999999999996</v>
      </c>
      <c r="H37" t="s">
        <v>1</v>
      </c>
    </row>
    <row r="38" spans="1:8" x14ac:dyDescent="0.25">
      <c r="A38" t="s">
        <v>96</v>
      </c>
      <c r="B38" t="s">
        <v>37</v>
      </c>
      <c r="C38">
        <v>65.900000000000006</v>
      </c>
      <c r="D38">
        <v>75.2</v>
      </c>
      <c r="E38">
        <v>35.799999999999997</v>
      </c>
      <c r="F38">
        <v>24.2</v>
      </c>
      <c r="G38">
        <v>40.5</v>
      </c>
      <c r="H38" t="s">
        <v>1</v>
      </c>
    </row>
    <row r="39" spans="1:8" x14ac:dyDescent="0.25">
      <c r="A39" t="s">
        <v>96</v>
      </c>
      <c r="B39" t="s">
        <v>38</v>
      </c>
      <c r="C39" s="2">
        <v>6497.9</v>
      </c>
      <c r="D39" s="2">
        <v>6958.6</v>
      </c>
      <c r="E39" s="2">
        <v>7577.2</v>
      </c>
      <c r="F39" s="2">
        <v>6472.8</v>
      </c>
      <c r="G39" s="2">
        <v>11933.4</v>
      </c>
      <c r="H39" t="s">
        <v>1</v>
      </c>
    </row>
    <row r="40" spans="1:8" x14ac:dyDescent="0.25">
      <c r="A40" t="s">
        <v>96</v>
      </c>
      <c r="B40" t="s">
        <v>39</v>
      </c>
      <c r="C40" s="2">
        <v>3044.3</v>
      </c>
      <c r="D40" s="2">
        <v>2358.6999999999998</v>
      </c>
      <c r="E40" s="2">
        <v>3148.3</v>
      </c>
      <c r="F40" s="2">
        <v>2835.2</v>
      </c>
      <c r="G40" s="2">
        <v>3974.5</v>
      </c>
      <c r="H40" t="s">
        <v>1</v>
      </c>
    </row>
    <row r="41" spans="1:8" x14ac:dyDescent="0.25">
      <c r="A41" t="s">
        <v>95</v>
      </c>
      <c r="B41" t="s">
        <v>40</v>
      </c>
      <c r="C41">
        <v>150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 s="2">
        <v>4904</v>
      </c>
      <c r="D42" s="2">
        <v>5583.4</v>
      </c>
      <c r="E42" s="2">
        <v>6798.7</v>
      </c>
      <c r="F42" s="2">
        <v>6261.2</v>
      </c>
      <c r="G42" s="2">
        <v>4071.4</v>
      </c>
      <c r="H42" t="s">
        <v>1</v>
      </c>
    </row>
    <row r="43" spans="1:8" x14ac:dyDescent="0.25">
      <c r="B43" t="s">
        <v>42</v>
      </c>
      <c r="C43" s="2">
        <v>18107</v>
      </c>
      <c r="D43" s="2">
        <v>21565.8</v>
      </c>
      <c r="E43" s="2">
        <v>23172.3</v>
      </c>
      <c r="F43" s="2">
        <v>25255.3</v>
      </c>
      <c r="G43" s="2">
        <v>24455.7</v>
      </c>
      <c r="H43" t="s">
        <v>1</v>
      </c>
    </row>
    <row r="44" spans="1:8" x14ac:dyDescent="0.25">
      <c r="B44" t="s">
        <v>43</v>
      </c>
      <c r="C44" s="2">
        <v>30437.200000000001</v>
      </c>
      <c r="D44" s="2">
        <v>33446.9</v>
      </c>
      <c r="E44" s="2">
        <v>37353.5</v>
      </c>
      <c r="F44" s="2">
        <v>39678</v>
      </c>
      <c r="G44" s="2">
        <v>44870.74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9367.2999999999993</v>
      </c>
      <c r="D47" s="2">
        <v>6221.8</v>
      </c>
      <c r="E47" s="2">
        <v>6867.9</v>
      </c>
      <c r="F47" s="2">
        <v>7013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345.51</v>
      </c>
      <c r="D49">
        <v>345.51</v>
      </c>
      <c r="E49">
        <v>345.5</v>
      </c>
      <c r="F49">
        <v>345.5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698.9</v>
      </c>
      <c r="E51">
        <v>3.3</v>
      </c>
      <c r="F51">
        <v>501.1</v>
      </c>
      <c r="G51">
        <v>0</v>
      </c>
      <c r="H51" t="s">
        <v>1</v>
      </c>
    </row>
    <row r="52" spans="2:8" x14ac:dyDescent="0.25">
      <c r="B52" t="s">
        <v>51</v>
      </c>
      <c r="C52">
        <v>110</v>
      </c>
      <c r="D52">
        <v>61.6</v>
      </c>
      <c r="E52">
        <v>232.6</v>
      </c>
      <c r="F52">
        <v>74.599999999999994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1430.5</v>
      </c>
      <c r="E54" s="2">
        <v>1009.7</v>
      </c>
      <c r="F54" s="2">
        <v>174.8</v>
      </c>
      <c r="G54">
        <v>0</v>
      </c>
      <c r="H54" t="s">
        <v>1</v>
      </c>
    </row>
    <row r="55" spans="2:8" x14ac:dyDescent="0.25">
      <c r="B55" t="s">
        <v>54</v>
      </c>
      <c r="C55">
        <v>1242.0999999999999</v>
      </c>
      <c r="D55" s="2">
        <v>5159.3999999999996</v>
      </c>
      <c r="E55" s="2">
        <v>4602.6000000000004</v>
      </c>
      <c r="F55" s="2">
        <v>9487.1</v>
      </c>
      <c r="G55" s="2">
        <v>0</v>
      </c>
      <c r="H55" t="s">
        <v>1</v>
      </c>
    </row>
  </sheetData>
  <hyperlinks>
    <hyperlink ref="F1" location="Index_Data!A1" tooltip="Hi click here To return Index page" display="Index_Data!A1" xr:uid="{8E3BDDA5-02DD-436C-B081-A7A9413F564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EFF0C-29F2-4E2D-BEB8-71E40B7D193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18840.400000000001</v>
      </c>
      <c r="D6" s="13">
        <f>Balance_Sheet!D13</f>
        <v>21707.015376157447</v>
      </c>
      <c r="E6" s="13">
        <f>Balance_Sheet!E13</f>
        <v>23328.847718831388</v>
      </c>
      <c r="F6" s="13">
        <f>Balance_Sheet!F13</f>
        <v>25974.368511274148</v>
      </c>
      <c r="G6" s="13">
        <f>Balance_Sheet!G13</f>
        <v>31607.283425051388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88.073163506065882</v>
      </c>
      <c r="D7" s="13">
        <f>Income_Statement!D61</f>
        <v>90.735737003280136</v>
      </c>
      <c r="E7" s="13">
        <f>Income_Statement!E61</f>
        <v>89.596355275520452</v>
      </c>
      <c r="F7" s="13">
        <f>Income_Statement!F61</f>
        <v>86.343544949858</v>
      </c>
      <c r="G7" s="13">
        <f>Income_Statement!G61</f>
        <v>89.382617679003801</v>
      </c>
    </row>
    <row r="8" spans="2:15" ht="18.75" x14ac:dyDescent="0.25">
      <c r="B8" s="14" t="s">
        <v>150</v>
      </c>
      <c r="C8" s="14">
        <f>ROUND(C6/C7, 2)</f>
        <v>213.92</v>
      </c>
      <c r="D8" s="14">
        <f t="shared" ref="D8:G8" si="0">ROUND(D6/D7, 2)</f>
        <v>239.23</v>
      </c>
      <c r="E8" s="14">
        <f t="shared" si="0"/>
        <v>260.38</v>
      </c>
      <c r="F8" s="14">
        <f t="shared" si="0"/>
        <v>300.83</v>
      </c>
      <c r="G8" s="14">
        <f t="shared" si="0"/>
        <v>353.62</v>
      </c>
    </row>
  </sheetData>
  <mergeCells count="1">
    <mergeCell ref="B5:G5"/>
  </mergeCells>
  <hyperlinks>
    <hyperlink ref="F1" location="Index_Data!A1" tooltip="Hi click here To return Index page" display="Index_Data!A1" xr:uid="{DEAF0479-F33C-4D92-AF50-9D80E3844DD9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C079D-BC85-4DAE-80B7-4E7E7E383300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943.8</v>
      </c>
      <c r="D6" s="13">
        <f>Income_Statement!D51</f>
        <v>1490.7</v>
      </c>
      <c r="E6" s="13">
        <f>Income_Statement!E51</f>
        <v>2491.6999999999998</v>
      </c>
      <c r="F6" s="13">
        <f>Income_Statement!F51</f>
        <v>1759.2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88.073163506065882</v>
      </c>
      <c r="D7" s="13">
        <f>Income_Statement!D61</f>
        <v>90.735737003280136</v>
      </c>
      <c r="E7" s="13">
        <f>Income_Statement!E61</f>
        <v>89.596355275520452</v>
      </c>
      <c r="F7" s="13">
        <f>Income_Statement!F61</f>
        <v>86.343544949858</v>
      </c>
      <c r="G7" s="13">
        <f>Income_Statement!G61</f>
        <v>89.382617679003801</v>
      </c>
    </row>
    <row r="8" spans="2:15" ht="18.75" x14ac:dyDescent="0.25">
      <c r="B8" s="12" t="s">
        <v>148</v>
      </c>
      <c r="C8" s="13">
        <f>ROUND(C6/C7, 2)</f>
        <v>10.72</v>
      </c>
      <c r="D8" s="13">
        <f t="shared" ref="D8:G8" si="0">ROUND(D6/D7, 2)</f>
        <v>16.43</v>
      </c>
      <c r="E8" s="13">
        <f t="shared" si="0"/>
        <v>27.81</v>
      </c>
      <c r="F8" s="13">
        <f t="shared" si="0"/>
        <v>20.37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3787.1460307608327</v>
      </c>
      <c r="D9" s="13">
        <f>Income_Statement!D49</f>
        <v>4355.3153761574467</v>
      </c>
      <c r="E9" s="13">
        <f>Income_Statement!E49</f>
        <v>4121.4323426739411</v>
      </c>
      <c r="F9" s="13">
        <f>Income_Statement!F49</f>
        <v>4403.5207924427577</v>
      </c>
      <c r="G9" s="13">
        <f>Income_Statement!G49</f>
        <v>5631.1049137772397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88.073163506065882</v>
      </c>
      <c r="D10" s="13">
        <f>Income_Statement!D61</f>
        <v>90.735737003280136</v>
      </c>
      <c r="E10" s="13">
        <f>Income_Statement!E61</f>
        <v>89.596355275520452</v>
      </c>
      <c r="F10" s="13">
        <f>Income_Statement!F61</f>
        <v>86.343544949858</v>
      </c>
      <c r="G10" s="13">
        <f>Income_Statement!G61</f>
        <v>89.382617679003801</v>
      </c>
    </row>
    <row r="11" spans="2:15" ht="18.75" x14ac:dyDescent="0.25">
      <c r="B11" s="12" t="s">
        <v>146</v>
      </c>
      <c r="C11" s="13">
        <f>C9/C10</f>
        <v>43</v>
      </c>
      <c r="D11" s="13">
        <f t="shared" ref="D11:G11" si="1">D9/D10</f>
        <v>48</v>
      </c>
      <c r="E11" s="13">
        <f t="shared" si="1"/>
        <v>46</v>
      </c>
      <c r="F11" s="13">
        <f t="shared" si="1"/>
        <v>51</v>
      </c>
      <c r="G11" s="13">
        <f t="shared" si="1"/>
        <v>63</v>
      </c>
    </row>
    <row r="12" spans="2:15" ht="18.75" x14ac:dyDescent="0.25">
      <c r="B12" s="14" t="s">
        <v>152</v>
      </c>
      <c r="C12" s="14">
        <f>ROUND(C8/C11, 2)</f>
        <v>0.25</v>
      </c>
      <c r="D12" s="14">
        <f t="shared" ref="D12:G12" si="2">ROUND(D8/D11, 2)</f>
        <v>0.34</v>
      </c>
      <c r="E12" s="14">
        <f t="shared" si="2"/>
        <v>0.6</v>
      </c>
      <c r="F12" s="14">
        <f t="shared" si="2"/>
        <v>0.4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A7193D93-28D0-427F-89CB-0CE737C44EE6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82B4E-C208-44E2-AD90-24FB37202EBA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6" width="15.14062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943.8</v>
      </c>
      <c r="D6" s="13">
        <f>Income_Statement!D51</f>
        <v>1490.7</v>
      </c>
      <c r="E6" s="13">
        <f>Income_Statement!E51</f>
        <v>2491.6999999999998</v>
      </c>
      <c r="F6" s="13">
        <f>Income_Statement!F51</f>
        <v>1759.2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88.073163506065882</v>
      </c>
      <c r="D7" s="13">
        <f>Income_Statement!D61</f>
        <v>90.735737003280136</v>
      </c>
      <c r="E7" s="13">
        <f>Income_Statement!E61</f>
        <v>89.596355275520452</v>
      </c>
      <c r="F7" s="13">
        <f>Income_Statement!F61</f>
        <v>86.343544949858</v>
      </c>
      <c r="G7" s="13">
        <f>Income_Statement!G61</f>
        <v>89.382617679003801</v>
      </c>
    </row>
    <row r="8" spans="2:15" ht="18.75" x14ac:dyDescent="0.25">
      <c r="B8" s="12" t="s">
        <v>154</v>
      </c>
      <c r="C8" s="13">
        <f>ROUND(C6/C7, 2)</f>
        <v>10.72</v>
      </c>
      <c r="D8" s="13">
        <f t="shared" ref="D8:G8" si="0">ROUND(D6/D7, 2)</f>
        <v>16.43</v>
      </c>
      <c r="E8" s="13">
        <f t="shared" si="0"/>
        <v>27.81</v>
      </c>
      <c r="F8" s="13">
        <f t="shared" si="0"/>
        <v>20.37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-9.7200000000000006</v>
      </c>
      <c r="D9" s="15">
        <f t="shared" ref="D9:G9" si="1">1-D8</f>
        <v>-15.43</v>
      </c>
      <c r="E9" s="15">
        <f t="shared" si="1"/>
        <v>-26.81</v>
      </c>
      <c r="F9" s="15">
        <f t="shared" si="1"/>
        <v>-19.37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AA380670-2BE6-462A-A4E9-20C95F3C68A5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3C2AD-FFE8-4CAA-B3FD-3A29D1C5801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0</v>
      </c>
      <c r="D7" s="13">
        <f>Income_Statement!D17</f>
        <v>0</v>
      </c>
      <c r="E7" s="13">
        <f>Income_Statement!E17</f>
        <v>0</v>
      </c>
      <c r="F7" s="13">
        <f>Income_Statement!F17</f>
        <v>0</v>
      </c>
      <c r="G7" s="13">
        <f>Income_Statement!G17</f>
        <v>0</v>
      </c>
    </row>
    <row r="8" spans="2:15" ht="18.75" x14ac:dyDescent="0.25">
      <c r="B8" s="14" t="s">
        <v>157</v>
      </c>
      <c r="C8" s="16">
        <f>ROUND(C6- C7, 2)</f>
        <v>30772.9</v>
      </c>
      <c r="D8" s="16">
        <f t="shared" ref="D8:G8" si="0">ROUND(D6- D7, 2)</f>
        <v>34742.1</v>
      </c>
      <c r="E8" s="16">
        <f t="shared" si="0"/>
        <v>36867.699999999997</v>
      </c>
      <c r="F8" s="16">
        <f t="shared" si="0"/>
        <v>37855.1</v>
      </c>
      <c r="G8" s="16">
        <f t="shared" si="0"/>
        <v>44645.98</v>
      </c>
    </row>
  </sheetData>
  <mergeCells count="1">
    <mergeCell ref="B5:G5"/>
  </mergeCells>
  <hyperlinks>
    <hyperlink ref="F1" location="Index_Data!A1" tooltip="Hi click here To return Index page" display="Index_Data!A1" xr:uid="{C7305FED-0A7A-4089-A80F-EAE472FA07AD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2EB2-2449-44C7-BEA5-1B561C267D1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Income_Statement!B25</f>
        <v>Total Expenditure</v>
      </c>
      <c r="C7" s="13">
        <f>Income_Statement!C25</f>
        <v>26063.3</v>
      </c>
      <c r="D7" s="13">
        <f>Income_Statement!D25</f>
        <v>28405.200000000004</v>
      </c>
      <c r="E7" s="13">
        <f>Income_Statement!E25</f>
        <v>31141.599999999999</v>
      </c>
      <c r="F7" s="13">
        <f>Income_Statement!F25</f>
        <v>31008.1</v>
      </c>
      <c r="G7" s="13">
        <f>Income_Statement!G25</f>
        <v>36626</v>
      </c>
    </row>
    <row r="8" spans="2:15" ht="18.75" x14ac:dyDescent="0.25">
      <c r="B8" s="14" t="s">
        <v>159</v>
      </c>
      <c r="C8" s="16">
        <f>ROUND(C6- C7, 2)</f>
        <v>4709.6000000000004</v>
      </c>
      <c r="D8" s="16">
        <f t="shared" ref="D8:G8" si="0">ROUND(D6- D7, 2)</f>
        <v>6336.9</v>
      </c>
      <c r="E8" s="16">
        <f t="shared" si="0"/>
        <v>5726.1</v>
      </c>
      <c r="F8" s="16">
        <f t="shared" si="0"/>
        <v>6847</v>
      </c>
      <c r="G8" s="16">
        <f t="shared" si="0"/>
        <v>8019.98</v>
      </c>
    </row>
  </sheetData>
  <mergeCells count="1">
    <mergeCell ref="B5:G5"/>
  </mergeCells>
  <hyperlinks>
    <hyperlink ref="F1" location="Index_Data!A1" tooltip="Hi click here To return Index page" display="Index_Data!A1" xr:uid="{23F0EDC3-5099-4744-926C-7E9426ED4E66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CBB57-590A-40C9-B256-276E28103DD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3787.1460307608327</v>
      </c>
      <c r="D6" s="13">
        <f>Income_Statement!D49</f>
        <v>4355.3153761574467</v>
      </c>
      <c r="E6" s="13">
        <f>Income_Statement!E49</f>
        <v>4121.4323426739411</v>
      </c>
      <c r="F6" s="13">
        <f>Income_Statement!F49</f>
        <v>4403.5207924427577</v>
      </c>
      <c r="G6" s="13">
        <f>Income_Statement!G49</f>
        <v>5631.1049137772397</v>
      </c>
    </row>
    <row r="7" spans="2:15" ht="18.75" x14ac:dyDescent="0.25">
      <c r="B7" s="12" t="str">
        <f>Balance_Sheet!B74</f>
        <v>Total Assets</v>
      </c>
      <c r="C7" s="13">
        <f>Balance_Sheet!C74</f>
        <v>29204.5</v>
      </c>
      <c r="D7" s="13">
        <f>Balance_Sheet!D74</f>
        <v>33639.115376157453</v>
      </c>
      <c r="E7" s="13">
        <f>Balance_Sheet!E74</f>
        <v>37638.94771883139</v>
      </c>
      <c r="F7" s="13">
        <f>Balance_Sheet!F74</f>
        <v>39556.96851127415</v>
      </c>
      <c r="G7" s="13">
        <f>Balance_Sheet!G74</f>
        <v>49592.323425051385</v>
      </c>
    </row>
    <row r="8" spans="2:15" ht="18.75" x14ac:dyDescent="0.25">
      <c r="B8" s="14" t="s">
        <v>161</v>
      </c>
      <c r="C8" s="15">
        <f>ROUND(C6/ C7, 2)</f>
        <v>0.13</v>
      </c>
      <c r="D8" s="15">
        <f t="shared" ref="D8:G8" si="0">ROUND(D6/ D7, 2)</f>
        <v>0.13</v>
      </c>
      <c r="E8" s="15">
        <f t="shared" si="0"/>
        <v>0.11</v>
      </c>
      <c r="F8" s="15">
        <f t="shared" si="0"/>
        <v>0.11</v>
      </c>
      <c r="G8" s="15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51C5E5EF-DAA5-4FC6-BB67-30B88669CD0B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1CD62-492C-42F6-AC09-8AC74DB700F0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5042.1460307608322</v>
      </c>
      <c r="D6" s="13">
        <f>Income_Statement!D33</f>
        <v>5742.9153761574462</v>
      </c>
      <c r="E6" s="13">
        <f>Income_Statement!E33</f>
        <v>5473.7323426739413</v>
      </c>
      <c r="F6" s="13">
        <f>Income_Statement!F33</f>
        <v>6177.4207924427583</v>
      </c>
      <c r="G6" s="13">
        <f>Income_Statement!G33</f>
        <v>7612.9049137772399</v>
      </c>
    </row>
    <row r="7" spans="2:15" ht="18.75" x14ac:dyDescent="0.25">
      <c r="B7" s="12" t="str">
        <f>Balance_Sheet!B21</f>
        <v>Total Debt</v>
      </c>
      <c r="C7" s="13">
        <f>Balance_Sheet!C21</f>
        <v>1731.8</v>
      </c>
      <c r="D7" s="13">
        <f>Balance_Sheet!D21</f>
        <v>1405.8</v>
      </c>
      <c r="E7" s="13">
        <f>Balance_Sheet!E21</f>
        <v>2463.8000000000002</v>
      </c>
      <c r="F7" s="13">
        <f>Balance_Sheet!F21</f>
        <v>1737.9</v>
      </c>
      <c r="G7" s="13">
        <f>Balance_Sheet!G21</f>
        <v>2036.94</v>
      </c>
    </row>
    <row r="8" spans="2:15" ht="18.75" x14ac:dyDescent="0.25">
      <c r="B8" s="12" t="str">
        <f>Balance_Sheet!B13</f>
        <v>Net Worth</v>
      </c>
      <c r="C8" s="13">
        <f>Balance_Sheet!C13</f>
        <v>18840.400000000001</v>
      </c>
      <c r="D8" s="13">
        <f>Balance_Sheet!D13</f>
        <v>21707.015376157447</v>
      </c>
      <c r="E8" s="13">
        <f>Balance_Sheet!E13</f>
        <v>23328.847718831388</v>
      </c>
      <c r="F8" s="13">
        <f>Balance_Sheet!F13</f>
        <v>25974.368511274148</v>
      </c>
      <c r="G8" s="13">
        <f>Balance_Sheet!G13</f>
        <v>31607.283425051388</v>
      </c>
    </row>
    <row r="9" spans="2:15" ht="18.75" x14ac:dyDescent="0.25">
      <c r="B9" s="14" t="s">
        <v>163</v>
      </c>
      <c r="C9" s="15">
        <f>ROUND(C6/ (C7+ C7), 2)</f>
        <v>1.46</v>
      </c>
      <c r="D9" s="15">
        <f t="shared" ref="D9:G9" si="0">ROUND(D6/ (D7+ D7), 2)</f>
        <v>2.04</v>
      </c>
      <c r="E9" s="15">
        <f t="shared" si="0"/>
        <v>1.1100000000000001</v>
      </c>
      <c r="F9" s="15">
        <f t="shared" si="0"/>
        <v>1.78</v>
      </c>
      <c r="G9" s="15">
        <f t="shared" si="0"/>
        <v>1.87</v>
      </c>
    </row>
  </sheetData>
  <mergeCells count="1">
    <mergeCell ref="B5:G5"/>
  </mergeCells>
  <hyperlinks>
    <hyperlink ref="F1" location="Index_Data!A1" tooltip="Hi click here To return Index page" display="Index_Data!A1" xr:uid="{4D0F87E3-35B8-4041-8AD6-F25FD3A0220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7DCFB-BD71-4064-A8D2-A5D4E0880C2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3787.1460307608327</v>
      </c>
      <c r="D6" s="13">
        <f>Income_Statement!D49</f>
        <v>4355.3153761574467</v>
      </c>
      <c r="E6" s="13">
        <f>Income_Statement!E49</f>
        <v>4121.4323426739411</v>
      </c>
      <c r="F6" s="13">
        <f>Income_Statement!F49</f>
        <v>4403.5207924427577</v>
      </c>
      <c r="G6" s="13">
        <f>Income_Statement!G49</f>
        <v>5631.1049137772397</v>
      </c>
    </row>
    <row r="7" spans="2:15" ht="18.75" x14ac:dyDescent="0.25">
      <c r="B7" s="12" t="str">
        <f>Balance_Sheet!B13</f>
        <v>Net Worth</v>
      </c>
      <c r="C7" s="13">
        <f>Balance_Sheet!C13</f>
        <v>18840.400000000001</v>
      </c>
      <c r="D7" s="13">
        <f>Balance_Sheet!D13</f>
        <v>21707.015376157447</v>
      </c>
      <c r="E7" s="13">
        <f>Balance_Sheet!E13</f>
        <v>23328.847718831388</v>
      </c>
      <c r="F7" s="13">
        <f>Balance_Sheet!F13</f>
        <v>25974.368511274148</v>
      </c>
      <c r="G7" s="13">
        <f>Balance_Sheet!G13</f>
        <v>31607.283425051388</v>
      </c>
    </row>
    <row r="8" spans="2:15" ht="18.75" x14ac:dyDescent="0.25">
      <c r="B8" s="14" t="s">
        <v>165</v>
      </c>
      <c r="C8" s="15">
        <f>ROUND(C6/ (C7+ C7), 2)</f>
        <v>0.1</v>
      </c>
      <c r="D8" s="15">
        <f t="shared" ref="D8:G8" si="0">ROUND(D6/ (D7+ D7), 2)</f>
        <v>0.1</v>
      </c>
      <c r="E8" s="15">
        <f t="shared" si="0"/>
        <v>0.09</v>
      </c>
      <c r="F8" s="15">
        <f t="shared" si="0"/>
        <v>0.08</v>
      </c>
      <c r="G8" s="15">
        <f t="shared" si="0"/>
        <v>0.09</v>
      </c>
    </row>
  </sheetData>
  <mergeCells count="1">
    <mergeCell ref="B5:G5"/>
  </mergeCells>
  <hyperlinks>
    <hyperlink ref="F1" location="Index_Data!A1" tooltip="Hi click here To return Index page" display="Index_Data!A1" xr:uid="{C374134C-C0BE-4526-910F-98BCE9B2F7E6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687D1-6904-467A-9F82-E2BA054CCD3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1731.8</v>
      </c>
      <c r="D6" s="13">
        <f>Balance_Sheet!D21</f>
        <v>1405.8</v>
      </c>
      <c r="E6" s="13">
        <f>Balance_Sheet!E21</f>
        <v>2463.8000000000002</v>
      </c>
      <c r="F6" s="13">
        <f>Balance_Sheet!F21</f>
        <v>1737.9</v>
      </c>
      <c r="G6" s="13">
        <f>Balance_Sheet!G21</f>
        <v>2036.94</v>
      </c>
    </row>
    <row r="7" spans="2:15" ht="18.75" x14ac:dyDescent="0.25">
      <c r="B7" s="12" t="str">
        <f>Balance_Sheet!B13</f>
        <v>Net Worth</v>
      </c>
      <c r="C7" s="13">
        <f>Balance_Sheet!C13</f>
        <v>18840.400000000001</v>
      </c>
      <c r="D7" s="13">
        <f>Balance_Sheet!D13</f>
        <v>21707.015376157447</v>
      </c>
      <c r="E7" s="13">
        <f>Balance_Sheet!E13</f>
        <v>23328.847718831388</v>
      </c>
      <c r="F7" s="13">
        <f>Balance_Sheet!F13</f>
        <v>25974.368511274148</v>
      </c>
      <c r="G7" s="13">
        <f>Balance_Sheet!G13</f>
        <v>31607.283425051388</v>
      </c>
    </row>
    <row r="8" spans="2:15" ht="18.75" x14ac:dyDescent="0.25">
      <c r="B8" s="14" t="s">
        <v>167</v>
      </c>
      <c r="C8" s="14">
        <f>ROUND(C6/ C7, 2)</f>
        <v>0.09</v>
      </c>
      <c r="D8" s="14">
        <f t="shared" ref="D8:G8" si="0">ROUND(D6/ D7, 2)</f>
        <v>0.06</v>
      </c>
      <c r="E8" s="14">
        <f t="shared" si="0"/>
        <v>0.11</v>
      </c>
      <c r="F8" s="14">
        <f t="shared" si="0"/>
        <v>7.0000000000000007E-2</v>
      </c>
      <c r="G8" s="14">
        <f t="shared" si="0"/>
        <v>0.06</v>
      </c>
    </row>
  </sheetData>
  <mergeCells count="1">
    <mergeCell ref="B5:G5"/>
  </mergeCells>
  <hyperlinks>
    <hyperlink ref="F1" location="Index_Data!A1" tooltip="Hi click here To return Index page" display="Index_Data!A1" xr:uid="{74922E7B-BA97-45B9-AD43-6213FCA6A885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1729-5809-4DE6-BA01-3A60AF918D5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17884.2</v>
      </c>
      <c r="D6" s="13">
        <f>Balance_Sheet!D72</f>
        <v>22905.215376157452</v>
      </c>
      <c r="E6" s="13">
        <f>Balance_Sheet!E72</f>
        <v>28831.247718831386</v>
      </c>
      <c r="F6" s="13">
        <f>Balance_Sheet!F72</f>
        <v>28223.46851127415</v>
      </c>
      <c r="G6" s="13">
        <f>Balance_Sheet!G72</f>
        <v>43675.973425051387</v>
      </c>
    </row>
    <row r="7" spans="2:15" ht="18.75" x14ac:dyDescent="0.25">
      <c r="B7" s="12" t="str">
        <f>Balance_Sheet!B33</f>
        <v>Total Current Liabilities</v>
      </c>
      <c r="C7" s="13">
        <f>Balance_Sheet!C33</f>
        <v>8123.2000000000007</v>
      </c>
      <c r="D7" s="13">
        <f>Balance_Sheet!D33</f>
        <v>10048.6</v>
      </c>
      <c r="E7" s="13">
        <f>Balance_Sheet!E33</f>
        <v>11453</v>
      </c>
      <c r="F7" s="13">
        <f>Balance_Sheet!F33</f>
        <v>11465.2</v>
      </c>
      <c r="G7" s="13">
        <f>Balance_Sheet!G33</f>
        <v>15452.7</v>
      </c>
    </row>
    <row r="8" spans="2:15" ht="18.75" x14ac:dyDescent="0.25">
      <c r="B8" s="14" t="s">
        <v>169</v>
      </c>
      <c r="C8" s="14">
        <f>ROUND(C6/ C7, 2)</f>
        <v>2.2000000000000002</v>
      </c>
      <c r="D8" s="14">
        <f t="shared" ref="D8:G8" si="0">ROUND(D6/ D7, 2)</f>
        <v>2.2799999999999998</v>
      </c>
      <c r="E8" s="14">
        <f t="shared" si="0"/>
        <v>2.52</v>
      </c>
      <c r="F8" s="14">
        <f t="shared" si="0"/>
        <v>2.46</v>
      </c>
      <c r="G8" s="14">
        <f t="shared" si="0"/>
        <v>2.83</v>
      </c>
    </row>
  </sheetData>
  <mergeCells count="1">
    <mergeCell ref="B5:G5"/>
  </mergeCells>
  <hyperlinks>
    <hyperlink ref="F1" location="Index_Data!A1" tooltip="Hi click here To return Index page" display="Index_Data!A1" xr:uid="{950B3882-820F-45F7-BD01-69AD5A49B782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2CB4D-ABC9-4527-90F0-7E5B5B6BDBB3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30772.9</v>
      </c>
      <c r="D5" s="2">
        <v>34742.1</v>
      </c>
      <c r="E5" s="2">
        <v>36867.699999999997</v>
      </c>
      <c r="F5" s="2">
        <v>37855.1</v>
      </c>
      <c r="G5" s="2">
        <v>44645.98</v>
      </c>
      <c r="H5" t="s">
        <v>1</v>
      </c>
    </row>
    <row r="6" spans="1:15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30772.9</v>
      </c>
      <c r="D7" s="2">
        <v>34742.1</v>
      </c>
      <c r="E7" s="2">
        <v>36867.699999999997</v>
      </c>
      <c r="F7" s="2">
        <v>37855.1</v>
      </c>
      <c r="G7" s="2">
        <v>44645.98</v>
      </c>
      <c r="H7" t="s">
        <v>1</v>
      </c>
    </row>
    <row r="8" spans="1:15" x14ac:dyDescent="0.25">
      <c r="B8" t="s">
        <v>58</v>
      </c>
      <c r="C8" s="2">
        <v>30772.9</v>
      </c>
      <c r="D8" s="2">
        <v>34742.1</v>
      </c>
      <c r="E8" s="2">
        <v>36867.699999999997</v>
      </c>
      <c r="F8" s="2">
        <v>37855.1</v>
      </c>
      <c r="G8" s="2">
        <v>44645.98</v>
      </c>
      <c r="H8" t="s">
        <v>1</v>
      </c>
    </row>
    <row r="9" spans="1:15" x14ac:dyDescent="0.25">
      <c r="A9" t="s">
        <v>59</v>
      </c>
      <c r="B9" t="s">
        <v>59</v>
      </c>
      <c r="C9" s="2">
        <v>1416.5</v>
      </c>
      <c r="D9">
        <v>534.20000000000005</v>
      </c>
      <c r="E9" s="2">
        <v>1192.4000000000001</v>
      </c>
      <c r="F9">
        <v>787.1</v>
      </c>
      <c r="G9" s="2">
        <v>1112.3</v>
      </c>
      <c r="H9" t="s">
        <v>1</v>
      </c>
    </row>
    <row r="10" spans="1:15" x14ac:dyDescent="0.25">
      <c r="B10" t="s">
        <v>60</v>
      </c>
      <c r="C10" s="2">
        <v>32189.4</v>
      </c>
      <c r="D10" s="2">
        <v>35276.300000000003</v>
      </c>
      <c r="E10" s="2">
        <v>38060.1</v>
      </c>
      <c r="F10" s="2">
        <v>38642.199999999997</v>
      </c>
      <c r="G10" s="2">
        <v>45758.28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15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15" x14ac:dyDescent="0.25">
      <c r="A14" t="s">
        <v>99</v>
      </c>
      <c r="B14" t="s">
        <v>64</v>
      </c>
      <c r="C14">
        <v>3888</v>
      </c>
      <c r="D14" s="2">
        <v>4349.7</v>
      </c>
      <c r="E14" s="2">
        <v>5440.8</v>
      </c>
      <c r="F14" s="2">
        <v>4974.3</v>
      </c>
      <c r="G14" s="2">
        <v>0</v>
      </c>
      <c r="H14" t="s">
        <v>1</v>
      </c>
    </row>
    <row r="15" spans="1:15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15" x14ac:dyDescent="0.25">
      <c r="A16" t="s">
        <v>99</v>
      </c>
      <c r="B16" t="s">
        <v>66</v>
      </c>
      <c r="C16" s="2">
        <v>16624</v>
      </c>
      <c r="D16" s="2">
        <v>17507.900000000001</v>
      </c>
      <c r="E16" s="2">
        <v>18810</v>
      </c>
      <c r="F16" s="2">
        <v>19297.3</v>
      </c>
      <c r="G16" s="2">
        <v>22285.9</v>
      </c>
      <c r="H16" t="s">
        <v>1</v>
      </c>
    </row>
    <row r="17" spans="1:8" x14ac:dyDescent="0.25">
      <c r="A17" t="s">
        <v>100</v>
      </c>
      <c r="B17" t="s">
        <v>67</v>
      </c>
      <c r="C17">
        <v>162.4</v>
      </c>
      <c r="D17">
        <v>133.19999999999999</v>
      </c>
      <c r="E17">
        <v>191.9</v>
      </c>
      <c r="F17">
        <v>174</v>
      </c>
      <c r="G17">
        <v>162.6</v>
      </c>
      <c r="H17" t="s">
        <v>1</v>
      </c>
    </row>
    <row r="18" spans="1:8" x14ac:dyDescent="0.25">
      <c r="A18" t="s">
        <v>101</v>
      </c>
      <c r="B18" t="s">
        <v>68</v>
      </c>
      <c r="C18" s="2">
        <v>1085</v>
      </c>
      <c r="D18" s="2">
        <v>1129.2</v>
      </c>
      <c r="E18" s="2">
        <v>1445.8</v>
      </c>
      <c r="F18" s="2">
        <v>1457.7</v>
      </c>
      <c r="G18" s="2">
        <v>1520.4</v>
      </c>
      <c r="H18" t="s">
        <v>1</v>
      </c>
    </row>
    <row r="19" spans="1:8" x14ac:dyDescent="0.25">
      <c r="A19" t="s">
        <v>99</v>
      </c>
      <c r="B19" t="s">
        <v>69</v>
      </c>
      <c r="C19" s="2">
        <v>5551.3</v>
      </c>
      <c r="D19" s="2">
        <v>6547.6</v>
      </c>
      <c r="E19" s="2">
        <v>6890.8</v>
      </c>
      <c r="F19" s="2">
        <v>6736.5</v>
      </c>
      <c r="G19" s="2">
        <v>14340.1</v>
      </c>
      <c r="H19" t="s">
        <v>1</v>
      </c>
    </row>
    <row r="20" spans="1:8" x14ac:dyDescent="0.25">
      <c r="B20" t="s">
        <v>70</v>
      </c>
      <c r="C20" s="2">
        <v>27310.7</v>
      </c>
      <c r="D20" s="2">
        <v>29667.599999999999</v>
      </c>
      <c r="E20" s="2">
        <v>32996.800000000003</v>
      </c>
      <c r="F20" s="2">
        <v>32690.5</v>
      </c>
      <c r="G20" s="2">
        <v>38309</v>
      </c>
      <c r="H20" t="s">
        <v>1</v>
      </c>
    </row>
    <row r="21" spans="1:8" x14ac:dyDescent="0.25">
      <c r="B21" t="s">
        <v>71</v>
      </c>
      <c r="C21" s="2">
        <v>4878.7</v>
      </c>
      <c r="D21" s="2">
        <v>5608.7</v>
      </c>
      <c r="E21" s="2">
        <v>5063.3</v>
      </c>
      <c r="F21" s="2">
        <v>5951.7</v>
      </c>
      <c r="G21" s="2">
        <v>7449.28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2.8</v>
      </c>
      <c r="H22" t="s">
        <v>1</v>
      </c>
    </row>
    <row r="23" spans="1:8" x14ac:dyDescent="0.25">
      <c r="B23" t="s">
        <v>73</v>
      </c>
      <c r="C23" s="2">
        <v>4878.7</v>
      </c>
      <c r="D23" s="2">
        <v>5608.7</v>
      </c>
      <c r="E23" s="2">
        <v>5063.3</v>
      </c>
      <c r="F23" s="2">
        <v>5951.7</v>
      </c>
      <c r="G23" s="2">
        <v>7452.08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1176.8</v>
      </c>
      <c r="D25" s="2">
        <v>1378.6</v>
      </c>
      <c r="E25" s="2">
        <v>1237.8</v>
      </c>
      <c r="F25" s="2">
        <v>1811.5</v>
      </c>
      <c r="G25" s="2">
        <v>1822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-84.2</v>
      </c>
      <c r="D27">
        <v>-124.2</v>
      </c>
      <c r="E27">
        <v>-77.400000000000006</v>
      </c>
      <c r="F27">
        <v>-211.6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1092.5999999999999</v>
      </c>
      <c r="D29" s="2">
        <v>1254.4000000000001</v>
      </c>
      <c r="E29" s="2">
        <v>1160.4000000000001</v>
      </c>
      <c r="F29" s="2">
        <v>1599.9</v>
      </c>
      <c r="G29" s="2">
        <v>1822</v>
      </c>
      <c r="H29" t="s">
        <v>1</v>
      </c>
    </row>
    <row r="30" spans="1:8" x14ac:dyDescent="0.25">
      <c r="B30" t="s">
        <v>80</v>
      </c>
      <c r="C30" s="2">
        <v>3786.1</v>
      </c>
      <c r="D30" s="2">
        <v>4354.3</v>
      </c>
      <c r="E30" s="2">
        <v>3902.9</v>
      </c>
      <c r="F30" s="2">
        <v>4351.8</v>
      </c>
      <c r="G30" s="2">
        <v>5630.08</v>
      </c>
      <c r="H30" t="s">
        <v>1</v>
      </c>
    </row>
    <row r="31" spans="1:8" x14ac:dyDescent="0.25">
      <c r="B31" t="s">
        <v>81</v>
      </c>
      <c r="C31" s="2">
        <v>3786.1</v>
      </c>
      <c r="D31" s="2">
        <v>4354.3</v>
      </c>
      <c r="E31" s="2">
        <v>3902.9</v>
      </c>
      <c r="F31" s="2">
        <v>4351.8</v>
      </c>
      <c r="G31" s="2">
        <v>5630.08</v>
      </c>
      <c r="H31" t="s">
        <v>1</v>
      </c>
    </row>
    <row r="32" spans="1:8" x14ac:dyDescent="0.25">
      <c r="B32" t="s">
        <v>82</v>
      </c>
      <c r="C32" s="2">
        <v>3786.1</v>
      </c>
      <c r="D32" s="2">
        <v>4354.3</v>
      </c>
      <c r="E32" s="2">
        <v>3902.9</v>
      </c>
      <c r="F32" s="2">
        <v>4351.8</v>
      </c>
      <c r="G32" s="2">
        <v>5630.08</v>
      </c>
      <c r="H32" t="s">
        <v>1</v>
      </c>
    </row>
    <row r="33" spans="1:8" x14ac:dyDescent="0.25">
      <c r="B33" t="s">
        <v>10</v>
      </c>
      <c r="C33">
        <v>13.6</v>
      </c>
      <c r="D33">
        <v>8.8000000000000007</v>
      </c>
      <c r="E33">
        <v>135.6</v>
      </c>
      <c r="F33">
        <v>75</v>
      </c>
      <c r="G33">
        <v>-64</v>
      </c>
      <c r="H33" t="s">
        <v>1</v>
      </c>
    </row>
    <row r="34" spans="1:8" x14ac:dyDescent="0.25">
      <c r="B34" t="s">
        <v>83</v>
      </c>
      <c r="C34" s="2">
        <v>3799.8</v>
      </c>
      <c r="D34" s="2">
        <v>4297.6000000000004</v>
      </c>
      <c r="E34" s="2">
        <v>4033</v>
      </c>
      <c r="F34" s="2">
        <v>4428</v>
      </c>
      <c r="G34" s="2">
        <v>5566.08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43</v>
      </c>
      <c r="D37">
        <v>48</v>
      </c>
      <c r="E37">
        <v>46</v>
      </c>
      <c r="F37">
        <v>51</v>
      </c>
      <c r="G37">
        <v>63</v>
      </c>
      <c r="H37" t="s">
        <v>1</v>
      </c>
    </row>
    <row r="38" spans="1:8" x14ac:dyDescent="0.25">
      <c r="B38" t="s">
        <v>86</v>
      </c>
      <c r="C38">
        <v>43</v>
      </c>
      <c r="D38">
        <v>48</v>
      </c>
      <c r="E38">
        <v>46</v>
      </c>
      <c r="F38">
        <v>50</v>
      </c>
      <c r="G38">
        <v>63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943.8</v>
      </c>
      <c r="D40" s="2">
        <v>1490.7</v>
      </c>
      <c r="E40" s="2">
        <v>2491.6999999999998</v>
      </c>
      <c r="F40" s="2">
        <v>1759.2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6C4A3E83-FE8A-4E50-AC18-B5D838143E77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B6C4A-B55B-4986-9D83-4CB019BA641E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17884.2</v>
      </c>
      <c r="D6" s="13">
        <f>Balance_Sheet!D72</f>
        <v>22905.215376157452</v>
      </c>
      <c r="E6" s="13">
        <f>Balance_Sheet!E72</f>
        <v>28831.247718831386</v>
      </c>
      <c r="F6" s="13">
        <f>Balance_Sheet!F72</f>
        <v>28223.46851127415</v>
      </c>
      <c r="G6" s="13">
        <f>Balance_Sheet!G72</f>
        <v>43675.973425051387</v>
      </c>
    </row>
    <row r="7" spans="2:15" ht="18.75" x14ac:dyDescent="0.25">
      <c r="B7" s="12" t="str">
        <f>Balance_Sheet!B66</f>
        <v>Inventories</v>
      </c>
      <c r="C7" s="13">
        <f>Balance_Sheet!C66</f>
        <v>65.900000000000006</v>
      </c>
      <c r="D7" s="13">
        <f>Balance_Sheet!D66</f>
        <v>75.2</v>
      </c>
      <c r="E7" s="13">
        <f>Balance_Sheet!E66</f>
        <v>35.799999999999997</v>
      </c>
      <c r="F7" s="13">
        <f>Balance_Sheet!F66</f>
        <v>24.2</v>
      </c>
      <c r="G7" s="13">
        <f>Balance_Sheet!G66</f>
        <v>40.5</v>
      </c>
    </row>
    <row r="8" spans="2:15" ht="18.75" x14ac:dyDescent="0.25">
      <c r="B8" s="12" t="str">
        <f>Balance_Sheet!B33</f>
        <v>Total Current Liabilities</v>
      </c>
      <c r="C8" s="13">
        <f>Balance_Sheet!C33</f>
        <v>8123.2000000000007</v>
      </c>
      <c r="D8" s="13">
        <f>Balance_Sheet!D33</f>
        <v>10048.6</v>
      </c>
      <c r="E8" s="13">
        <f>Balance_Sheet!E33</f>
        <v>11453</v>
      </c>
      <c r="F8" s="13">
        <f>Balance_Sheet!F33</f>
        <v>11465.2</v>
      </c>
      <c r="G8" s="13">
        <f>Balance_Sheet!G33</f>
        <v>15452.7</v>
      </c>
    </row>
    <row r="9" spans="2:15" ht="18.75" x14ac:dyDescent="0.25">
      <c r="B9" s="14" t="s">
        <v>171</v>
      </c>
      <c r="C9" s="14">
        <f>ROUND((C6-C7)/ C8, 2)</f>
        <v>2.19</v>
      </c>
      <c r="D9" s="14">
        <f t="shared" ref="D9:G9" si="0">ROUND((D6-D7)/ D8, 2)</f>
        <v>2.27</v>
      </c>
      <c r="E9" s="14">
        <f t="shared" si="0"/>
        <v>2.5099999999999998</v>
      </c>
      <c r="F9" s="14">
        <f t="shared" si="0"/>
        <v>2.46</v>
      </c>
      <c r="G9" s="14">
        <f t="shared" si="0"/>
        <v>2.82</v>
      </c>
    </row>
  </sheetData>
  <mergeCells count="1">
    <mergeCell ref="B5:G5"/>
  </mergeCells>
  <hyperlinks>
    <hyperlink ref="F1" location="Index_Data!A1" tooltip="Hi click here To return Index page" display="Index_Data!A1" xr:uid="{D9DF3E8D-A423-4143-8145-75DC7AED1B23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9455B-F9B9-4FD1-9197-1A087878A4A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5042.1460307608322</v>
      </c>
      <c r="D6" s="13">
        <f>Income_Statement!D33</f>
        <v>5742.9153761574462</v>
      </c>
      <c r="E6" s="13">
        <f>Income_Statement!E33</f>
        <v>5473.7323426739413</v>
      </c>
      <c r="F6" s="13">
        <f>Income_Statement!F33</f>
        <v>6177.4207924427583</v>
      </c>
      <c r="G6" s="13">
        <f>Income_Statement!G33</f>
        <v>7612.9049137772399</v>
      </c>
    </row>
    <row r="7" spans="2:15" ht="18.75" x14ac:dyDescent="0.25">
      <c r="B7" s="12" t="str">
        <f>Income_Statement!B35</f>
        <v>Finance Costs</v>
      </c>
      <c r="C7" s="13">
        <f>Income_Statement!C35</f>
        <v>162.4</v>
      </c>
      <c r="D7" s="13">
        <f>Income_Statement!D35</f>
        <v>133.19999999999999</v>
      </c>
      <c r="E7" s="13">
        <f>Income_Statement!E35</f>
        <v>191.9</v>
      </c>
      <c r="F7" s="13">
        <f>Income_Statement!F35</f>
        <v>174</v>
      </c>
      <c r="G7" s="13">
        <f>Income_Statement!G35</f>
        <v>162.6</v>
      </c>
    </row>
    <row r="8" spans="2:15" ht="18.75" x14ac:dyDescent="0.25">
      <c r="B8" s="14" t="s">
        <v>173</v>
      </c>
      <c r="C8" s="14">
        <f>ROUND(C6/C7, 2)</f>
        <v>31.05</v>
      </c>
      <c r="D8" s="14">
        <f t="shared" ref="D8:G8" si="0">ROUND(D6/D7, 2)</f>
        <v>43.11</v>
      </c>
      <c r="E8" s="14">
        <f t="shared" si="0"/>
        <v>28.52</v>
      </c>
      <c r="F8" s="14">
        <f t="shared" si="0"/>
        <v>35.5</v>
      </c>
      <c r="G8" s="14">
        <f t="shared" si="0"/>
        <v>46.82</v>
      </c>
    </row>
  </sheetData>
  <mergeCells count="1">
    <mergeCell ref="B5:G5"/>
  </mergeCells>
  <hyperlinks>
    <hyperlink ref="F1" location="Index_Data!A1" tooltip="Hi click here To return Index page" display="Index_Data!A1" xr:uid="{49554C2E-CA6F-4BD5-8F72-FB53F5E3F96C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9E16-05E8-4E9F-A9BD-DD3F9E2066B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Income_Statement!B9</f>
        <v>Net Sales</v>
      </c>
      <c r="C7" s="13">
        <f>Income_Statement!C9</f>
        <v>30772.9</v>
      </c>
      <c r="D7" s="13">
        <f>Income_Statement!D9</f>
        <v>34742.1</v>
      </c>
      <c r="E7" s="13">
        <f>Income_Statement!E9</f>
        <v>36867.699999999997</v>
      </c>
      <c r="F7" s="13">
        <f>Income_Statement!F9</f>
        <v>37855.1</v>
      </c>
      <c r="G7" s="13">
        <f>Income_Statement!G9</f>
        <v>44645.98</v>
      </c>
    </row>
    <row r="8" spans="2:15" ht="18.75" x14ac:dyDescent="0.25">
      <c r="B8" s="14" t="s">
        <v>175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900962B9-A8E0-4CD1-858F-7918639E2556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636BA-D259-4193-9A2F-4C1F73179A3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3044.3</v>
      </c>
      <c r="D6" s="13">
        <f>Balance_Sheet!D70</f>
        <v>6496.4153761574471</v>
      </c>
      <c r="E6" s="13">
        <f>Balance_Sheet!E70</f>
        <v>9396.4477188313867</v>
      </c>
      <c r="F6" s="13">
        <f>Balance_Sheet!F70</f>
        <v>10755.068511274147</v>
      </c>
      <c r="G6" s="13">
        <f>Balance_Sheet!G70</f>
        <v>21675.013425051387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0</v>
      </c>
      <c r="D7" s="13">
        <f>Income_Statement!D17</f>
        <v>0</v>
      </c>
      <c r="E7" s="13">
        <f>Income_Statement!E17</f>
        <v>0</v>
      </c>
      <c r="F7" s="13">
        <f>Income_Statement!F17</f>
        <v>0</v>
      </c>
      <c r="G7" s="13">
        <f>Income_Statement!G17</f>
        <v>0</v>
      </c>
    </row>
    <row r="8" spans="2:15" ht="18.75" x14ac:dyDescent="0.25">
      <c r="B8" s="14" t="s">
        <v>177</v>
      </c>
      <c r="C8" s="14" t="e">
        <f>ROUND(C6/C7*365, 2)</f>
        <v>#DIV/0!</v>
      </c>
      <c r="D8" s="14" t="e">
        <f t="shared" ref="D8:G8" si="0">ROUND(D6/D7*365,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hyperlinks>
    <hyperlink ref="F1" location="Index_Data!A1" tooltip="Hi click here To return Index page" display="Index_Data!A1" xr:uid="{6BDAC897-ABD6-47CD-A419-8F8CB5894329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E98E8-0FF1-47EE-9BE6-F7C7169E2C3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5" width="11.5703125" bestFit="1" customWidth="1"/>
    <col min="6" max="6" width="13.140625" bestFit="1" customWidth="1"/>
    <col min="7" max="7" width="14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3044.3</v>
      </c>
      <c r="D6" s="13">
        <f>Balance_Sheet!D70</f>
        <v>6496.4153761574471</v>
      </c>
      <c r="E6" s="13">
        <f>Balance_Sheet!E70</f>
        <v>9396.4477188313867</v>
      </c>
      <c r="F6" s="13">
        <f>Balance_Sheet!F70</f>
        <v>10755.068511274147</v>
      </c>
      <c r="G6" s="13">
        <f>Balance_Sheet!G70</f>
        <v>21675.013425051387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3044.3</v>
      </c>
      <c r="D8" s="14">
        <f t="shared" ref="D8:G8" si="0">ROUND(D6/D7*365, 2)</f>
        <v>6496.42</v>
      </c>
      <c r="E8" s="14">
        <f t="shared" si="0"/>
        <v>9396.4500000000007</v>
      </c>
      <c r="F8" s="14">
        <f t="shared" si="0"/>
        <v>10755.07</v>
      </c>
      <c r="G8" s="14">
        <f t="shared" si="0"/>
        <v>21675.01</v>
      </c>
    </row>
  </sheetData>
  <mergeCells count="1">
    <mergeCell ref="B5:G5"/>
  </mergeCells>
  <hyperlinks>
    <hyperlink ref="F1" location="Index_Data!A1" tooltip="Hi click here To return Index page" display="Index_Data!A1" xr:uid="{D8C229FB-9C8D-4301-B33A-AFEF94F80093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55E08-ACF3-443D-A480-E2A9EAB4371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Balance_Sheet!B74</f>
        <v>Total Assets</v>
      </c>
      <c r="C7" s="13">
        <f>Balance_Sheet!C74</f>
        <v>29204.5</v>
      </c>
      <c r="D7" s="13">
        <f>Balance_Sheet!D74</f>
        <v>33639.115376157453</v>
      </c>
      <c r="E7" s="13">
        <f>Balance_Sheet!E74</f>
        <v>37638.94771883139</v>
      </c>
      <c r="F7" s="13">
        <f>Balance_Sheet!F74</f>
        <v>39556.96851127415</v>
      </c>
      <c r="G7" s="13">
        <f>Balance_Sheet!G74</f>
        <v>49592.323425051385</v>
      </c>
    </row>
    <row r="8" spans="2:15" ht="18.75" x14ac:dyDescent="0.25">
      <c r="B8" s="14" t="s">
        <v>182</v>
      </c>
      <c r="C8" s="14">
        <f>ROUND(C6/C7, 2)</f>
        <v>1.05</v>
      </c>
      <c r="D8" s="14">
        <f t="shared" ref="D8:G8" si="0">ROUND(D6/D7, 2)</f>
        <v>1.03</v>
      </c>
      <c r="E8" s="14">
        <f t="shared" si="0"/>
        <v>0.98</v>
      </c>
      <c r="F8" s="14">
        <f t="shared" si="0"/>
        <v>0.96</v>
      </c>
      <c r="G8" s="14">
        <f t="shared" si="0"/>
        <v>0.9</v>
      </c>
    </row>
  </sheetData>
  <mergeCells count="1">
    <mergeCell ref="B5:G5"/>
  </mergeCells>
  <hyperlinks>
    <hyperlink ref="F1" location="Index_Data!A1" tooltip="Hi click here To return Index page" display="Index_Data!A1" xr:uid="{DFF2A27E-176B-4716-B238-B40FB36DFCCC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8F014-C506-49C1-BC16-CF145BE6F52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Balance_Sheet!B66</f>
        <v>Inventories</v>
      </c>
      <c r="C7" s="13">
        <f>Balance_Sheet!C66</f>
        <v>65.900000000000006</v>
      </c>
      <c r="D7" s="13">
        <f>Balance_Sheet!D66</f>
        <v>75.2</v>
      </c>
      <c r="E7" s="13">
        <f>Balance_Sheet!E66</f>
        <v>35.799999999999997</v>
      </c>
      <c r="F7" s="13">
        <f>Balance_Sheet!F66</f>
        <v>24.2</v>
      </c>
      <c r="G7" s="13">
        <f>Balance_Sheet!G66</f>
        <v>40.5</v>
      </c>
    </row>
    <row r="8" spans="2:15" ht="18.75" x14ac:dyDescent="0.25">
      <c r="B8" s="14" t="s">
        <v>184</v>
      </c>
      <c r="C8" s="14">
        <f>ROUND(C6/C7, 2)</f>
        <v>466.96</v>
      </c>
      <c r="D8" s="14">
        <f t="shared" ref="D8:G8" si="0">ROUND(D6/D7, 2)</f>
        <v>462</v>
      </c>
      <c r="E8" s="14">
        <f t="shared" si="0"/>
        <v>1029.82</v>
      </c>
      <c r="F8" s="14">
        <f t="shared" si="0"/>
        <v>1564.26</v>
      </c>
      <c r="G8" s="14">
        <f t="shared" si="0"/>
        <v>1102.3699999999999</v>
      </c>
    </row>
  </sheetData>
  <mergeCells count="1">
    <mergeCell ref="B5:G5"/>
  </mergeCells>
  <hyperlinks>
    <hyperlink ref="F1" location="Index_Data!A1" tooltip="Hi click here To return Index page" display="Index_Data!A1" xr:uid="{C46630F6-C84E-4E5F-AF72-FD80D3D65B26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5E45-E508-4C52-9D2A-CEEC8832201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Balance_Sheet!B68</f>
        <v>Trade Receivables</v>
      </c>
      <c r="C7" s="13">
        <f>Balance_Sheet!C68</f>
        <v>6497.9</v>
      </c>
      <c r="D7" s="13">
        <f>Balance_Sheet!D68</f>
        <v>6958.6</v>
      </c>
      <c r="E7" s="13">
        <f>Balance_Sheet!E68</f>
        <v>7577.2</v>
      </c>
      <c r="F7" s="13">
        <f>Balance_Sheet!F68</f>
        <v>6472.8</v>
      </c>
      <c r="G7" s="13">
        <f>Balance_Sheet!G68</f>
        <v>11933.4</v>
      </c>
    </row>
    <row r="8" spans="2:15" ht="18.75" x14ac:dyDescent="0.25">
      <c r="B8" s="14" t="s">
        <v>186</v>
      </c>
      <c r="C8" s="14">
        <f>ROUND(C6/C7, 2)</f>
        <v>4.74</v>
      </c>
      <c r="D8" s="14">
        <f t="shared" ref="D8:G8" si="0">ROUND(D6/D7, 2)</f>
        <v>4.99</v>
      </c>
      <c r="E8" s="14">
        <f t="shared" si="0"/>
        <v>4.87</v>
      </c>
      <c r="F8" s="14">
        <f t="shared" si="0"/>
        <v>5.85</v>
      </c>
      <c r="G8" s="14">
        <f t="shared" si="0"/>
        <v>3.74</v>
      </c>
    </row>
  </sheetData>
  <mergeCells count="1">
    <mergeCell ref="B5:G5"/>
  </mergeCells>
  <hyperlinks>
    <hyperlink ref="F1" location="Index_Data!A1" tooltip="Hi click here To return Index page" display="Index_Data!A1" xr:uid="{9AD99988-02B6-4D87-9EFF-8758376B0A69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A551A-E2CF-4066-B6D1-9D253FD5B37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Balance_Sheet!B40</f>
        <v>Tangible Assets</v>
      </c>
      <c r="C7" s="13">
        <f>Balance_Sheet!C40</f>
        <v>3171.6</v>
      </c>
      <c r="D7" s="13">
        <f>Balance_Sheet!D40</f>
        <v>2793.7</v>
      </c>
      <c r="E7" s="13">
        <f>Balance_Sheet!E40</f>
        <v>3978.3</v>
      </c>
      <c r="F7" s="13">
        <f>Balance_Sheet!F40</f>
        <v>3559.5</v>
      </c>
      <c r="G7" s="13">
        <f>Balance_Sheet!G40</f>
        <v>6585.7</v>
      </c>
    </row>
    <row r="8" spans="2:15" ht="18.75" x14ac:dyDescent="0.25">
      <c r="B8" s="14" t="s">
        <v>188</v>
      </c>
      <c r="C8" s="14">
        <f>ROUND(C6/C7, 2)</f>
        <v>9.6999999999999993</v>
      </c>
      <c r="D8" s="14">
        <f t="shared" ref="D8:G8" si="0">ROUND(D6/D7, 2)</f>
        <v>12.44</v>
      </c>
      <c r="E8" s="14">
        <f t="shared" si="0"/>
        <v>9.27</v>
      </c>
      <c r="F8" s="14">
        <f t="shared" si="0"/>
        <v>10.63</v>
      </c>
      <c r="G8" s="14">
        <f t="shared" si="0"/>
        <v>6.78</v>
      </c>
    </row>
  </sheetData>
  <mergeCells count="1">
    <mergeCell ref="B5:G5"/>
  </mergeCells>
  <hyperlinks>
    <hyperlink ref="F1" location="Index_Data!A1" tooltip="Hi click here To return Index page" display="Index_Data!A1" xr:uid="{44EAEA61-7CB8-43B5-9D7A-D7CF91C89BF7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632AA-753D-4691-BF9D-AB27534CD32B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Balance_Sheet!B33</f>
        <v>Total Current Liabilities</v>
      </c>
      <c r="C7" s="13">
        <f>Balance_Sheet!C33</f>
        <v>8123.2000000000007</v>
      </c>
      <c r="D7" s="13">
        <f>Balance_Sheet!D33</f>
        <v>10048.6</v>
      </c>
      <c r="E7" s="13">
        <f>Balance_Sheet!E33</f>
        <v>11453</v>
      </c>
      <c r="F7" s="13">
        <f>Balance_Sheet!F33</f>
        <v>11465.2</v>
      </c>
      <c r="G7" s="13">
        <f>Balance_Sheet!G33</f>
        <v>15452.7</v>
      </c>
    </row>
    <row r="8" spans="2:15" ht="18.75" x14ac:dyDescent="0.25">
      <c r="B8" s="14" t="s">
        <v>190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53DEC676-20F2-4787-8F72-D9BB86D2299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A8533-2334-4319-8210-662DBED76268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6C6F9B29-05B6-4091-8403-02F1DCD7AE34}"/>
    <hyperlink ref="A2" location="ISMInput!A1" tooltip="Hi click here to view the sheet" display="ISMInput!A1" xr:uid="{7742C4E2-82A3-40AF-896A-23E3D47F0A5A}"/>
    <hyperlink ref="A4" location="Income_Statement!A1" tooltip="Hi click here to view the sheet" display="Income_Statement!A1" xr:uid="{77AEFADB-2295-4AB0-BD91-3E88F40144BE}"/>
    <hyperlink ref="A5" location="Balance_Sheet!A1" tooltip="Hi click here to view the sheet" display="Balance_Sheet!A1" xr:uid="{FFD8BD7B-64DD-4F04-9C3D-0949038B646F}"/>
    <hyperlink ref="A6" location="CashFlow_Statement!A1" tooltip="Hi click here to view the sheet" display="CashFlow_Statement!A1" xr:uid="{6B456AD2-8AB0-4703-A702-D76C1E3ACEC0}"/>
    <hyperlink ref="A7" location="Ratios!A1" tooltip="Hi click here to view the sheet" display="Ratios!A1" xr:uid="{ED4099F4-0950-4509-BF57-EB8DAFDFC4F7}"/>
    <hyperlink ref="A8" location="Earning__Per_Share!A1" tooltip="Hi click here to view the sheet" display="Earning__Per_Share!A1" xr:uid="{21AD28D4-B845-41BB-897D-EE51E69BED11}"/>
    <hyperlink ref="A9" location="Equity_Dividend_Per_Share!A1" tooltip="Hi click here to view the sheet" display="Equity_Dividend_Per_Share!A1" xr:uid="{DED53AA3-38B5-4570-9ECF-634BC1D1A972}"/>
    <hyperlink ref="A10" location="Book_Value__Per_Share!A1" tooltip="Hi click here to view the sheet" display="Book_Value__Per_Share!A1" xr:uid="{C5352089-26A0-47A7-BC4C-D1EBE82B16D2}"/>
    <hyperlink ref="A11" location="Dividend_Pay_Out_Ratio!A1" tooltip="Hi click here to view the sheet" display="Dividend_Pay_Out_Ratio!A1" xr:uid="{8AE0C7B8-1757-4972-A479-2A314B1A3725}"/>
    <hyperlink ref="A12" location="Dividend_Retention_Ratio!A1" tooltip="Hi click here to view the sheet" display="Dividend_Retention_Ratio!A1" xr:uid="{83C7F6AE-492A-41D4-A02D-517FCF812A18}"/>
    <hyperlink ref="A13" location="Gross_Profit!A1" tooltip="Hi click here to view the sheet" display="Gross_Profit!A1" xr:uid="{B5DEDDEF-497F-4419-ABFC-1D8FD9C53EE4}"/>
    <hyperlink ref="A14" location="Net_Profit!A1" tooltip="Hi click here to view the sheet" display="Net_Profit!A1" xr:uid="{304226F1-618D-4BE7-A1AA-36586076A7D1}"/>
    <hyperlink ref="A15" location="Return_On_Assets!A1" tooltip="Hi click here to view the sheet" display="Return_On_Assets!A1" xr:uid="{776EF242-B80A-46C7-B790-2527AC8E6886}"/>
    <hyperlink ref="A16" location="Return_On_Capital_Employeed!A1" tooltip="Hi click here to view the sheet" display="Return_On_Capital_Employeed!A1" xr:uid="{730EDCE5-8AFE-4AB7-803B-20DE24650132}"/>
    <hyperlink ref="A17" location="Return_On_Equity!A1" tooltip="Hi click here to view the sheet" display="Return_On_Equity!A1" xr:uid="{66732D90-0D47-495F-B366-FAECC958CFF0}"/>
    <hyperlink ref="A18" location="Debt_Equity_Ratio!A1" tooltip="Hi click here to view the sheet" display="Debt_Equity_Ratio!A1" xr:uid="{00C7C6E9-10D5-4582-8663-64A60647F688}"/>
    <hyperlink ref="A19" location="Current_Ratio!A1" tooltip="Hi click here to view the sheet" display="Current_Ratio!A1" xr:uid="{EC045E20-850C-4907-8A8A-E5B03D76ACC7}"/>
    <hyperlink ref="A20" location="Quick_Ratio!A1" tooltip="Hi click here to view the sheet" display="Quick_Ratio!A1" xr:uid="{AE795C8A-73A6-4CD9-9B6C-E1278AAA3621}"/>
    <hyperlink ref="A21" location="Interest_Coverage_Ratio!A1" tooltip="Hi click here to view the sheet" display="Interest_Coverage_Ratio!A1" xr:uid="{E90F940F-0972-45B3-BDC7-38150D458254}"/>
    <hyperlink ref="A22" location="Material_Consumed!A1" tooltip="Hi click here to view the sheet" display="Material_Consumed!A1" xr:uid="{991A3A44-DC11-41CC-AD69-1DD3DDC9CD6D}"/>
    <hyperlink ref="A23" location="Defensive_Interval_Ratio!A1" tooltip="Hi click here to view the sheet" display="Defensive_Interval_Ratio!A1" xr:uid="{53D4E6A7-C6C4-4D6F-ADE8-391D31EFA619}"/>
    <hyperlink ref="A24" location="Purchases_Per_Day!A1" tooltip="Hi click here to view the sheet" display="Purchases_Per_Day!A1" xr:uid="{B3E4B228-DCC2-4497-AC3D-5C71E6FFC036}"/>
    <hyperlink ref="A25" location="Asset_TurnOver_Ratio!A1" tooltip="Hi click here to view the sheet" display="Asset_TurnOver_Ratio!A1" xr:uid="{8475EE6B-D2DE-47DD-960A-FDAF61388B22}"/>
    <hyperlink ref="A26" location="Inventory_TurnOver_Ratio!A1" tooltip="Hi click here to view the sheet" display="Inventory_TurnOver_Ratio!A1" xr:uid="{16A860DB-4D66-45F3-9D45-4C2510E2CD3B}"/>
    <hyperlink ref="A27" location="Debtors_TurnOver_Ratio!A1" tooltip="Hi click here to view the sheet" display="Debtors_TurnOver_Ratio!A1" xr:uid="{68129FC0-0D8B-4936-8C0A-D41E18D926B3}"/>
    <hyperlink ref="A28" location="Fixed_Assets_TurnOver_Ratio!A1" tooltip="Hi click here to view the sheet" display="Fixed_Assets_TurnOver_Ratio!A1" xr:uid="{9FB300A8-0A41-4FB5-8499-A8B2E36F9AAD}"/>
    <hyperlink ref="A29" location="Payable_TurnOver_Ratio!A1" tooltip="Hi click here to view the sheet" display="Payable_TurnOver_Ratio!A1" xr:uid="{5A1672F0-9CE1-4ACE-ABB0-63593CE3C310}"/>
    <hyperlink ref="A30" location="Inventory_Days!A1" tooltip="Hi click here to view the sheet" display="Inventory_Days!A1" xr:uid="{B8334535-B3C4-44AC-8A9C-A64A097EA05B}"/>
    <hyperlink ref="A31" location="Payable_Days!A1" tooltip="Hi click here to view the sheet" display="Payable_Days!A1" xr:uid="{E0F5A95C-5996-4913-824F-EDE5256C43C7}"/>
    <hyperlink ref="A32" location="Receivable_Days!A1" tooltip="Hi click here to view the sheet" display="Receivable_Days!A1" xr:uid="{9CC5B1A0-5CD5-44FE-B4FD-AC0482F73EE6}"/>
    <hyperlink ref="A33" location="Operating_Cycle!A1" tooltip="Hi click here to view the sheet" display="Operating_Cycle!A1" xr:uid="{CC1A149F-B287-4DC8-A01B-EC4803CE3D89}"/>
    <hyperlink ref="A34" location="Cash_Conversion_Cycle_Days!A1" tooltip="Hi click here to view the sheet" display="Cash_Conversion_Cycle_Days!A1" xr:uid="{F76E2D15-1C39-48AC-BBD6-D4D5A12604E1}"/>
    <hyperlink ref="A35" location="NetWorthVsTotalLiabilties!A1" tooltip="Hi click here to view the sheet" display="NetWorthVsTotalLiabilties!A1" xr:uid="{19E250AF-352F-48B4-865D-AF23285A9DC8}"/>
    <hyperlink ref="A36" location="PBDITvsPBIT!A1" tooltip="Hi click here to view the sheet" display="PBDITvsPBIT!A1" xr:uid="{EF4E502D-8AD7-4F7A-8917-C811796B01CC}"/>
    <hyperlink ref="A37" location="CAvsCL!A1" tooltip="Hi click here to view the sheet" display="CAvsCL!A1" xr:uid="{B7F1EFFE-1B54-493D-AFAE-A40C0B96CCDC}"/>
    <hyperlink ref="A38" location="Long_And_Short_Term_Provisions!A1" tooltip="Hi click here to view the sheet" display="Long_And_Short_Term_Provisions!A1" xr:uid="{FD581D48-A0DC-499B-BE6A-B6B7BDFAA7AB}"/>
    <hyperlink ref="A39" location="MaterialConsumed_DirectExpenses!A1" tooltip="Hi click here to view the sheet" display="MaterialConsumed_DirectExpenses!A1" xr:uid="{ED70226C-8189-4309-B04C-F4DBD708A196}"/>
    <hyperlink ref="A40" location="Gross_Sales_In_Total_Income!A1" tooltip="Hi click here to view the sheet" display="Gross_Sales_In_Total_Income!A1" xr:uid="{E6F3C2A4-321B-4AD3-928C-24632BC43BC2}"/>
    <hyperlink ref="A41" location="Total_Debt_In_Liabilities!A1" tooltip="Hi click here to view the sheet" display="Total_Debt_In_Liabilities!A1" xr:uid="{5924680C-F66A-4EAA-9098-85088511F4F5}"/>
    <hyperlink ref="A42" location="Total_CL_In_Liabilities!A1" tooltip="Hi click here to view the sheet" display="Total_CL_In_Liabilities!A1" xr:uid="{65C192CC-8E49-40FE-B400-28789569902B}"/>
    <hyperlink ref="A43" location="Total_NCA_In_Assets!A1" tooltip="Hi click here to view the sheet" display="Total_NCA_In_Assets!A1" xr:uid="{7A18D188-8371-4525-BA3E-85A4E94C3BA4}"/>
    <hyperlink ref="A44" location="Total_CA_In_Assets!A1" tooltip="Hi click here to view the sheet" display="Total_CA_In_Assets!A1" xr:uid="{25BE4077-49F8-43B0-9653-E38C98CE52E0}"/>
    <hyperlink ref="A45" location="TotalExpenditureVsTotalIncome!A1" tooltip="Hi click here to view the sheet" display="TotalExpenditureVsTotalIncome!A1" xr:uid="{0BC94557-B07E-4934-B5EB-E477F16383B9}"/>
    <hyperlink ref="A46" location="Net_Profit_CF_To_Balance_Sheet!A1" tooltip="Hi click here to view the sheet" display="Net_Profit_CF_To_Balance_Sheet!A1" xr:uid="{68ACB2BA-F63B-4E62-9F23-F721636F4B98}"/>
    <hyperlink ref="A47" location="BS_Backup!A1" tooltip="Hi click here to view the sheet" display="BS_Backup!A1" xr:uid="{86387155-DC94-4CB5-AAA3-E5EE8509C49B}"/>
    <hyperlink ref="A48" location="ISM_Backup!A1" tooltip="Hi click here to view the sheet" display="ISM_Backup!A1" xr:uid="{0839B95F-27D4-40AF-B58D-D430F806FD31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0C57-F840-4C39-A1DB-762DE06FA92B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Balance_Sheet!B66</f>
        <v>Inventories</v>
      </c>
      <c r="C7" s="13">
        <f>Balance_Sheet!C66</f>
        <v>65.900000000000006</v>
      </c>
      <c r="D7" s="13">
        <f>Balance_Sheet!D66</f>
        <v>75.2</v>
      </c>
      <c r="E7" s="13">
        <f>Balance_Sheet!E66</f>
        <v>35.799999999999997</v>
      </c>
      <c r="F7" s="13">
        <f>Balance_Sheet!F66</f>
        <v>24.2</v>
      </c>
      <c r="G7" s="13">
        <f>Balance_Sheet!G66</f>
        <v>40.5</v>
      </c>
    </row>
    <row r="8" spans="2:15" ht="18.75" x14ac:dyDescent="0.25">
      <c r="B8" s="14" t="s">
        <v>192</v>
      </c>
      <c r="C8" s="14">
        <f>ROUND(365/C6*C7, 2)</f>
        <v>0.78</v>
      </c>
      <c r="D8" s="14">
        <f t="shared" ref="D8:G8" si="0">ROUND(365/D6*D7, 2)</f>
        <v>0.79</v>
      </c>
      <c r="E8" s="14">
        <f t="shared" si="0"/>
        <v>0.35</v>
      </c>
      <c r="F8" s="14">
        <f t="shared" si="0"/>
        <v>0.23</v>
      </c>
      <c r="G8" s="14">
        <f t="shared" si="0"/>
        <v>0.33</v>
      </c>
    </row>
  </sheetData>
  <mergeCells count="1">
    <mergeCell ref="B5:G5"/>
  </mergeCells>
  <hyperlinks>
    <hyperlink ref="F1" location="Index_Data!A1" tooltip="Hi click here To return Index page" display="Index_Data!A1" xr:uid="{5D995F1F-3AB9-4D8D-99B6-8084B63F4767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1041F-147B-4B09-B059-72E22499487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Balance_Sheet!B33</f>
        <v>Total Current Liabilities</v>
      </c>
      <c r="C7" s="13">
        <f>Balance_Sheet!C33</f>
        <v>8123.2000000000007</v>
      </c>
      <c r="D7" s="13">
        <f>Balance_Sheet!D33</f>
        <v>10048.6</v>
      </c>
      <c r="E7" s="13">
        <f>Balance_Sheet!E33</f>
        <v>11453</v>
      </c>
      <c r="F7" s="13">
        <f>Balance_Sheet!F33</f>
        <v>11465.2</v>
      </c>
      <c r="G7" s="13">
        <f>Balance_Sheet!G33</f>
        <v>15452.7</v>
      </c>
    </row>
    <row r="8" spans="2:15" ht="18.75" x14ac:dyDescent="0.25">
      <c r="B8" s="14" t="s">
        <v>194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hyperlinks>
    <hyperlink ref="F1" location="Index_Data!A1" tooltip="Hi click here To return Index page" display="Index_Data!A1" xr:uid="{F326527A-E4CD-4028-9229-E025D87E33AD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AB71A-418E-4783-8CC0-11931B9BD1BE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Balance_Sheet!B68</f>
        <v>Trade Receivables</v>
      </c>
      <c r="C7" s="13">
        <f>Balance_Sheet!C68</f>
        <v>6497.9</v>
      </c>
      <c r="D7" s="13">
        <f>Balance_Sheet!D68</f>
        <v>6958.6</v>
      </c>
      <c r="E7" s="13">
        <f>Balance_Sheet!E68</f>
        <v>7577.2</v>
      </c>
      <c r="F7" s="13">
        <f>Balance_Sheet!F68</f>
        <v>6472.8</v>
      </c>
      <c r="G7" s="13">
        <f>Balance_Sheet!G68</f>
        <v>11933.4</v>
      </c>
    </row>
    <row r="8" spans="2:15" ht="18.75" x14ac:dyDescent="0.25">
      <c r="B8" s="14" t="s">
        <v>196</v>
      </c>
      <c r="C8" s="14">
        <f>ROUND(365/C6*C7, 2)</f>
        <v>77.069999999999993</v>
      </c>
      <c r="D8" s="14">
        <f t="shared" ref="D8:G8" si="0">ROUND(365/D6*D7, 2)</f>
        <v>73.11</v>
      </c>
      <c r="E8" s="14">
        <f t="shared" si="0"/>
        <v>75.02</v>
      </c>
      <c r="F8" s="14">
        <f t="shared" si="0"/>
        <v>62.41</v>
      </c>
      <c r="G8" s="14">
        <f t="shared" si="0"/>
        <v>97.56</v>
      </c>
    </row>
  </sheetData>
  <mergeCells count="1">
    <mergeCell ref="B5:G5"/>
  </mergeCells>
  <hyperlinks>
    <hyperlink ref="F1" location="Index_Data!A1" tooltip="Hi click here To return Index page" display="Index_Data!A1" xr:uid="{0A7DE346-0814-4F27-A5D6-109E90272FCF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2A2E-660F-4112-83D9-1AFD129BC3CC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Balance_Sheet!B66</f>
        <v>Inventories</v>
      </c>
      <c r="C7" s="13">
        <f>Balance_Sheet!C66</f>
        <v>65.900000000000006</v>
      </c>
      <c r="D7" s="13">
        <f>Balance_Sheet!D66</f>
        <v>75.2</v>
      </c>
      <c r="E7" s="13">
        <f>Balance_Sheet!E66</f>
        <v>35.799999999999997</v>
      </c>
      <c r="F7" s="13">
        <f>Balance_Sheet!F66</f>
        <v>24.2</v>
      </c>
      <c r="G7" s="13">
        <f>Balance_Sheet!G66</f>
        <v>40.5</v>
      </c>
    </row>
    <row r="8" spans="2:15" ht="18.75" x14ac:dyDescent="0.25">
      <c r="B8" s="12" t="s">
        <v>192</v>
      </c>
      <c r="C8" s="13">
        <f>ROUND(365/C6*C7, 2)</f>
        <v>0.78</v>
      </c>
      <c r="D8" s="13">
        <f t="shared" ref="D8:G8" si="0">ROUND(365/D6*D7, 2)</f>
        <v>0.79</v>
      </c>
      <c r="E8" s="13">
        <f t="shared" si="0"/>
        <v>0.35</v>
      </c>
      <c r="F8" s="13">
        <f t="shared" si="0"/>
        <v>0.23</v>
      </c>
      <c r="G8" s="13">
        <f t="shared" si="0"/>
        <v>0.33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0</v>
      </c>
      <c r="D9" s="13">
        <f>Income_Statement!D17</f>
        <v>0</v>
      </c>
      <c r="E9" s="13">
        <f>Income_Statement!E17</f>
        <v>0</v>
      </c>
      <c r="F9" s="13">
        <f>Income_Statement!F17</f>
        <v>0</v>
      </c>
      <c r="G9" s="13">
        <f>Income_Statement!G17</f>
        <v>0</v>
      </c>
    </row>
    <row r="10" spans="2:15" ht="18.75" x14ac:dyDescent="0.25">
      <c r="B10" s="12" t="str">
        <f>Balance_Sheet!B33</f>
        <v>Total Current Liabilities</v>
      </c>
      <c r="C10" s="13">
        <f>Balance_Sheet!C33</f>
        <v>8123.2000000000007</v>
      </c>
      <c r="D10" s="13">
        <f>Balance_Sheet!D33</f>
        <v>10048.6</v>
      </c>
      <c r="E10" s="13">
        <f>Balance_Sheet!E33</f>
        <v>11453</v>
      </c>
      <c r="F10" s="13">
        <f>Balance_Sheet!F33</f>
        <v>11465.2</v>
      </c>
      <c r="G10" s="13">
        <f>Balance_Sheet!G33</f>
        <v>15452.7</v>
      </c>
    </row>
    <row r="11" spans="2:15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15" ht="18.75" x14ac:dyDescent="0.25">
      <c r="B12" s="14" t="s">
        <v>198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</sheetData>
  <mergeCells count="1">
    <mergeCell ref="B5:G5"/>
  </mergeCells>
  <hyperlinks>
    <hyperlink ref="F1" location="Index_Data!A1" tooltip="Hi click here To return Index page" display="Index_Data!A1" xr:uid="{76B75E4E-19F3-4BD8-A1E0-6C694B066B3B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3B949-109F-4A73-8464-ED1AD7E60FCE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30772.9</v>
      </c>
      <c r="D6" s="13">
        <f>Income_Statement!D5</f>
        <v>34742.1</v>
      </c>
      <c r="E6" s="13">
        <f>Income_Statement!E5</f>
        <v>36867.699999999997</v>
      </c>
      <c r="F6" s="13">
        <f>Income_Statement!F5</f>
        <v>37855.1</v>
      </c>
      <c r="G6" s="13">
        <f>Income_Statement!G5</f>
        <v>44645.98</v>
      </c>
    </row>
    <row r="7" spans="2:15" ht="18.75" x14ac:dyDescent="0.25">
      <c r="B7" s="12" t="str">
        <f>Balance_Sheet!B66</f>
        <v>Inventories</v>
      </c>
      <c r="C7" s="13">
        <f>Balance_Sheet!C66</f>
        <v>65.900000000000006</v>
      </c>
      <c r="D7" s="13">
        <f>Balance_Sheet!D66</f>
        <v>75.2</v>
      </c>
      <c r="E7" s="13">
        <f>Balance_Sheet!E66</f>
        <v>35.799999999999997</v>
      </c>
      <c r="F7" s="13">
        <f>Balance_Sheet!F66</f>
        <v>24.2</v>
      </c>
      <c r="G7" s="13">
        <f>Balance_Sheet!G66</f>
        <v>40.5</v>
      </c>
    </row>
    <row r="8" spans="2:15" ht="18.75" x14ac:dyDescent="0.25">
      <c r="B8" s="12" t="s">
        <v>192</v>
      </c>
      <c r="C8" s="13">
        <f>ROUND(365/C6*C7, 2)</f>
        <v>0.78</v>
      </c>
      <c r="D8" s="13">
        <f t="shared" ref="D8:G8" si="0">ROUND(365/D6*D7, 2)</f>
        <v>0.79</v>
      </c>
      <c r="E8" s="13">
        <f t="shared" si="0"/>
        <v>0.35</v>
      </c>
      <c r="F8" s="13">
        <f t="shared" si="0"/>
        <v>0.23</v>
      </c>
      <c r="G8" s="13">
        <f t="shared" si="0"/>
        <v>0.33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0</v>
      </c>
      <c r="D9" s="13">
        <f>Income_Statement!D17</f>
        <v>0</v>
      </c>
      <c r="E9" s="13">
        <f>Income_Statement!E17</f>
        <v>0</v>
      </c>
      <c r="F9" s="13">
        <f>Income_Statement!F17</f>
        <v>0</v>
      </c>
      <c r="G9" s="13">
        <f>Income_Statement!G17</f>
        <v>0</v>
      </c>
    </row>
    <row r="10" spans="2:15" ht="18.75" x14ac:dyDescent="0.25">
      <c r="B10" s="12" t="str">
        <f>Balance_Sheet!B33</f>
        <v>Total Current Liabilities</v>
      </c>
      <c r="C10" s="13">
        <f>Balance_Sheet!C33</f>
        <v>8123.2000000000007</v>
      </c>
      <c r="D10" s="13">
        <f>Balance_Sheet!D33</f>
        <v>10048.6</v>
      </c>
      <c r="E10" s="13">
        <f>Balance_Sheet!E33</f>
        <v>11453</v>
      </c>
      <c r="F10" s="13">
        <f>Balance_Sheet!F33</f>
        <v>11465.2</v>
      </c>
      <c r="G10" s="13">
        <f>Balance_Sheet!G33</f>
        <v>15452.7</v>
      </c>
    </row>
    <row r="11" spans="2:15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15" ht="18.75" x14ac:dyDescent="0.25">
      <c r="B12" s="12" t="s">
        <v>200</v>
      </c>
      <c r="C12" s="13" t="e">
        <f>ROUND(C11+C8, 2)</f>
        <v>#DIV/0!</v>
      </c>
      <c r="D12" s="13" t="e">
        <f t="shared" ref="D12:G12" si="2">ROUND(D11+D8, 2)</f>
        <v>#DIV/0!</v>
      </c>
      <c r="E12" s="13" t="e">
        <f t="shared" si="2"/>
        <v>#DIV/0!</v>
      </c>
      <c r="F12" s="13" t="e">
        <f t="shared" si="2"/>
        <v>#DIV/0!</v>
      </c>
      <c r="G12" s="13" t="e">
        <f t="shared" si="2"/>
        <v>#DIV/0!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0</v>
      </c>
      <c r="D13" s="13">
        <f>Income_Statement!D17</f>
        <v>0</v>
      </c>
      <c r="E13" s="13">
        <f>Income_Statement!E17</f>
        <v>0</v>
      </c>
      <c r="F13" s="13">
        <f>Income_Statement!F17</f>
        <v>0</v>
      </c>
      <c r="G13" s="13">
        <f>Income_Statement!G17</f>
        <v>0</v>
      </c>
    </row>
    <row r="14" spans="2:15" ht="18.75" x14ac:dyDescent="0.25">
      <c r="B14" s="12" t="str">
        <f>Balance_Sheet!B33</f>
        <v>Total Current Liabilities</v>
      </c>
      <c r="C14" s="13">
        <f>Balance_Sheet!C33</f>
        <v>8123.2000000000007</v>
      </c>
      <c r="D14" s="13">
        <f>Balance_Sheet!D33</f>
        <v>10048.6</v>
      </c>
      <c r="E14" s="13">
        <f>Balance_Sheet!E33</f>
        <v>11453</v>
      </c>
      <c r="F14" s="13">
        <f>Balance_Sheet!F33</f>
        <v>11465.2</v>
      </c>
      <c r="G14" s="13">
        <f>Balance_Sheet!G33</f>
        <v>15452.7</v>
      </c>
    </row>
    <row r="15" spans="2:15" ht="18.75" x14ac:dyDescent="0.25">
      <c r="B15" s="12" t="s">
        <v>194</v>
      </c>
      <c r="C15" s="13" t="e">
        <f>ROUND(365/C13*C14, 2)</f>
        <v>#DIV/0!</v>
      </c>
      <c r="D15" s="13" t="e">
        <f t="shared" ref="D15:G15" si="3">ROUND(365/D13*D14, 2)</f>
        <v>#DIV/0!</v>
      </c>
      <c r="E15" s="13" t="e">
        <f t="shared" si="3"/>
        <v>#DIV/0!</v>
      </c>
      <c r="F15" s="13" t="e">
        <f t="shared" si="3"/>
        <v>#DIV/0!</v>
      </c>
      <c r="G15" s="13" t="e">
        <f t="shared" si="3"/>
        <v>#DIV/0!</v>
      </c>
    </row>
    <row r="16" spans="2:15" ht="18.75" x14ac:dyDescent="0.25">
      <c r="B16" s="14" t="s">
        <v>201</v>
      </c>
      <c r="C16" s="16" t="e">
        <f>ROUND(C15-C12, 2)</f>
        <v>#DIV/0!</v>
      </c>
      <c r="D16" s="16" t="e">
        <f t="shared" ref="D16:G16" si="4">ROUND(D15-D12, 2)</f>
        <v>#DIV/0!</v>
      </c>
      <c r="E16" s="16" t="e">
        <f t="shared" si="4"/>
        <v>#DIV/0!</v>
      </c>
      <c r="F16" s="16" t="e">
        <f t="shared" si="4"/>
        <v>#DIV/0!</v>
      </c>
      <c r="G16" s="16" t="e">
        <f t="shared" si="4"/>
        <v>#DIV/0!</v>
      </c>
    </row>
  </sheetData>
  <mergeCells count="1">
    <mergeCell ref="B5:G5"/>
  </mergeCells>
  <hyperlinks>
    <hyperlink ref="F1" location="Index_Data!A1" tooltip="Hi click here To return Index page" display="Index_Data!A1" xr:uid="{50924790-E668-4241-9E93-C49644B284D1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46B00-7B68-4A7D-9469-3AAFAE6405B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18840.400000000001</v>
      </c>
      <c r="D5" s="13">
        <f>Balance_Sheet!D13</f>
        <v>21707.015376157447</v>
      </c>
      <c r="E5" s="13">
        <f>Balance_Sheet!E13</f>
        <v>23328.847718831388</v>
      </c>
      <c r="F5" s="13">
        <f>Balance_Sheet!F13</f>
        <v>25974.368511274148</v>
      </c>
      <c r="G5" s="13">
        <f>Balance_Sheet!G13</f>
        <v>31607.283425051388</v>
      </c>
    </row>
    <row r="6" spans="2:15" ht="18.75" x14ac:dyDescent="0.25">
      <c r="B6" s="12" t="str">
        <f>Balance_Sheet!B37</f>
        <v>Total Liabilities</v>
      </c>
      <c r="C6" s="13">
        <f>Balance_Sheet!C37</f>
        <v>29204.5</v>
      </c>
      <c r="D6" s="13">
        <f>Balance_Sheet!D37</f>
        <v>33639.115376157446</v>
      </c>
      <c r="E6" s="13">
        <f>Balance_Sheet!E37</f>
        <v>37638.94771883139</v>
      </c>
      <c r="F6" s="13">
        <f>Balance_Sheet!F37</f>
        <v>39556.96851127415</v>
      </c>
      <c r="G6" s="13">
        <f>Balance_Sheet!G37</f>
        <v>49592.323425051385</v>
      </c>
    </row>
  </sheetData>
  <hyperlinks>
    <hyperlink ref="F1" location="Index_Data!A1" tooltip="Hi click here To return Index page" display="Index_Data!A1" xr:uid="{32DC4D77-6CC6-4646-B6DE-5D5267FDC601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43814-24A9-40D6-9B1A-AA9E7C5F5FA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6127.1460307608322</v>
      </c>
      <c r="D5" s="13">
        <f>Income_Statement!D29</f>
        <v>6872.115376157446</v>
      </c>
      <c r="E5" s="13">
        <f>Income_Statement!E29</f>
        <v>6919.5323426739415</v>
      </c>
      <c r="F5" s="13">
        <f>Income_Statement!F29</f>
        <v>7635.1207924427581</v>
      </c>
      <c r="G5" s="13">
        <f>Income_Statement!G29</f>
        <v>9133.3049137772396</v>
      </c>
    </row>
    <row r="6" spans="2:15" ht="18.75" x14ac:dyDescent="0.25">
      <c r="B6" s="12" t="str">
        <f>Income_Statement!B33</f>
        <v>PBIT</v>
      </c>
      <c r="C6" s="13">
        <f>Income_Statement!C33</f>
        <v>5042.1460307608322</v>
      </c>
      <c r="D6" s="13">
        <f>Income_Statement!D33</f>
        <v>5742.9153761574462</v>
      </c>
      <c r="E6" s="13">
        <f>Income_Statement!E33</f>
        <v>5473.7323426739413</v>
      </c>
      <c r="F6" s="13">
        <f>Income_Statement!F33</f>
        <v>6177.4207924427583</v>
      </c>
      <c r="G6" s="13">
        <f>Income_Statement!G33</f>
        <v>7612.9049137772399</v>
      </c>
    </row>
  </sheetData>
  <hyperlinks>
    <hyperlink ref="F1" location="Index_Data!A1" tooltip="Hi click here To return Index page" display="Index_Data!A1" xr:uid="{945D8AC0-2C2E-4D4E-96AE-E782F0F448A0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202EF-CA63-48E4-A6F2-20F3490D3BC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17884.2</v>
      </c>
      <c r="D5" s="13">
        <f>Balance_Sheet!D72</f>
        <v>22905.215376157452</v>
      </c>
      <c r="E5" s="13">
        <f>Balance_Sheet!E72</f>
        <v>28831.247718831386</v>
      </c>
      <c r="F5" s="13">
        <f>Balance_Sheet!F72</f>
        <v>28223.46851127415</v>
      </c>
      <c r="G5" s="13">
        <f>Balance_Sheet!G72</f>
        <v>43675.973425051387</v>
      </c>
    </row>
    <row r="6" spans="2:15" ht="18.75" x14ac:dyDescent="0.25">
      <c r="B6" s="12" t="str">
        <f>Balance_Sheet!B33</f>
        <v>Total Current Liabilities</v>
      </c>
      <c r="C6" s="13">
        <f>Balance_Sheet!C33</f>
        <v>8123.2000000000007</v>
      </c>
      <c r="D6" s="13">
        <f>Balance_Sheet!D33</f>
        <v>10048.6</v>
      </c>
      <c r="E6" s="13">
        <f>Balance_Sheet!E33</f>
        <v>11453</v>
      </c>
      <c r="F6" s="13">
        <f>Balance_Sheet!F33</f>
        <v>11465.2</v>
      </c>
      <c r="G6" s="13">
        <f>Balance_Sheet!G33</f>
        <v>15452.7</v>
      </c>
    </row>
  </sheetData>
  <hyperlinks>
    <hyperlink ref="F1" location="Index_Data!A1" tooltip="Hi click here To return Index page" display="Index_Data!A1" xr:uid="{5839667D-43A8-4D8F-9BBD-ECDBC46ABBC2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5349-F982-4CB0-B7CB-FF9016A32B7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555.1</v>
      </c>
      <c r="D5" s="13">
        <f>Balance_Sheet!D23</f>
        <v>580.1</v>
      </c>
      <c r="E5" s="13">
        <f>Balance_Sheet!E23</f>
        <v>669.1</v>
      </c>
      <c r="F5" s="13">
        <f>Balance_Sheet!F23</f>
        <v>781</v>
      </c>
      <c r="G5" s="13">
        <f>Balance_Sheet!G23</f>
        <v>881.1</v>
      </c>
    </row>
    <row r="6" spans="2:15" ht="18.75" x14ac:dyDescent="0.25">
      <c r="B6" s="12" t="str">
        <f>Balance_Sheet!B25</f>
        <v>Short Term Provisions</v>
      </c>
      <c r="C6" s="13">
        <f>Balance_Sheet!C25</f>
        <v>403</v>
      </c>
      <c r="D6" s="13">
        <f>Balance_Sheet!D25</f>
        <v>395.2</v>
      </c>
      <c r="E6" s="13">
        <f>Balance_Sheet!E25</f>
        <v>436.4</v>
      </c>
      <c r="F6" s="13">
        <f>Balance_Sheet!F25</f>
        <v>531.1</v>
      </c>
      <c r="G6" s="13">
        <f>Balance_Sheet!G25</f>
        <v>671.6</v>
      </c>
    </row>
  </sheetData>
  <hyperlinks>
    <hyperlink ref="F1" location="Index_Data!A1" tooltip="Hi click here To return Index page" display="Index_Data!A1" xr:uid="{945DF4C6-5672-4D0A-A01A-68A926AB8515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D79A4-B009-474D-B318-02CE64B5294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1.85546875" bestFit="1" customWidth="1"/>
    <col min="7" max="7" width="8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0</v>
      </c>
      <c r="D5" s="13">
        <f>Income_Statement!D17</f>
        <v>0</v>
      </c>
      <c r="E5" s="13">
        <f>Income_Statement!E17</f>
        <v>0</v>
      </c>
      <c r="F5" s="13">
        <f>Income_Statement!F17</f>
        <v>0</v>
      </c>
      <c r="G5" s="13">
        <f>Income_Statement!G17</f>
        <v>0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3888</v>
      </c>
      <c r="D6" s="13">
        <f>Income_Statement!D19</f>
        <v>4349.7</v>
      </c>
      <c r="E6" s="13">
        <f>Income_Statement!E19</f>
        <v>5440.8</v>
      </c>
      <c r="F6" s="13">
        <f>Income_Statement!F19</f>
        <v>4974.3</v>
      </c>
      <c r="G6" s="13">
        <f>Income_Statement!G19</f>
        <v>0</v>
      </c>
    </row>
  </sheetData>
  <hyperlinks>
    <hyperlink ref="F1" location="Index_Data!A1" tooltip="Hi click here To return Index page" display="Index_Data!A1" xr:uid="{F259B2C3-8C03-45B4-89EF-CC8819075332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D39EC-C2D3-46EF-A918-B60D52C685CC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3" width="18.85546875" bestFit="1" customWidth="1"/>
    <col min="4" max="4" width="15.5703125" bestFit="1" customWidth="1"/>
    <col min="5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30772.9</v>
      </c>
      <c r="D5" s="5">
        <v>34742.1</v>
      </c>
      <c r="E5" s="5">
        <v>36867.699999999997</v>
      </c>
      <c r="F5" s="5">
        <v>37855.1</v>
      </c>
      <c r="G5" s="5">
        <v>44645.98</v>
      </c>
      <c r="H5" s="28">
        <f>GROWTH(C5:G5,C4:G4,H4)</f>
        <v>47083.020840421887</v>
      </c>
      <c r="I5" s="28">
        <f t="shared" ref="I5:L5" si="0">GROWTH(D5:H5,D4:H4,I4)</f>
        <v>50792.604680118617</v>
      </c>
      <c r="J5" s="28">
        <f t="shared" si="0"/>
        <v>55790.231238362911</v>
      </c>
      <c r="K5" s="28">
        <f t="shared" si="0"/>
        <v>61445.720361200321</v>
      </c>
      <c r="L5" s="28">
        <f t="shared" si="0"/>
        <v>65770.798357155232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0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30772.9</v>
      </c>
      <c r="D9" s="7">
        <f t="shared" ref="D9:L9" si="3">D5 - D7</f>
        <v>34742.1</v>
      </c>
      <c r="E9" s="7">
        <f t="shared" si="3"/>
        <v>36867.699999999997</v>
      </c>
      <c r="F9" s="7">
        <f t="shared" si="3"/>
        <v>37855.1</v>
      </c>
      <c r="G9" s="7">
        <f t="shared" si="3"/>
        <v>44645.98</v>
      </c>
      <c r="H9" s="29">
        <f t="shared" si="3"/>
        <v>47083.020840421887</v>
      </c>
      <c r="I9" s="29">
        <f t="shared" si="3"/>
        <v>50792.604680118617</v>
      </c>
      <c r="J9" s="29">
        <f t="shared" si="3"/>
        <v>55790.231238362911</v>
      </c>
      <c r="K9" s="29">
        <f t="shared" si="3"/>
        <v>61445.720361200321</v>
      </c>
      <c r="L9" s="29">
        <f t="shared" si="3"/>
        <v>65770.798357155232</v>
      </c>
    </row>
    <row r="10" spans="2:15" x14ac:dyDescent="0.25">
      <c r="B10" s="19" t="s">
        <v>240</v>
      </c>
      <c r="C10" s="21">
        <f>C9/Income_Statement!C5</f>
        <v>1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5">
        <v>1416.5</v>
      </c>
      <c r="D11" s="4">
        <v>534.20000000000005</v>
      </c>
      <c r="E11" s="5">
        <v>1192.4000000000001</v>
      </c>
      <c r="F11" s="4">
        <v>787.1</v>
      </c>
      <c r="G11" s="5">
        <v>1112.3</v>
      </c>
      <c r="H11" s="28">
        <f>H5*H12</f>
        <v>1173.0158926022289</v>
      </c>
      <c r="I11" s="28">
        <f t="shared" ref="I11:L11" si="4">I5*I12</f>
        <v>1265.4356380058391</v>
      </c>
      <c r="J11" s="28">
        <f t="shared" si="4"/>
        <v>1389.9453927639411</v>
      </c>
      <c r="K11" s="28">
        <f t="shared" si="4"/>
        <v>1530.8449889052299</v>
      </c>
      <c r="L11" s="28">
        <f t="shared" si="4"/>
        <v>1638.5990186051188</v>
      </c>
    </row>
    <row r="12" spans="2:15" x14ac:dyDescent="0.25">
      <c r="B12" s="17" t="s">
        <v>241</v>
      </c>
      <c r="C12" s="18">
        <f>C11/Income_Statement!C5</f>
        <v>4.6030760831770809E-2</v>
      </c>
      <c r="D12" s="18">
        <f>D11/Income_Statement!D5</f>
        <v>1.5376157457378801E-2</v>
      </c>
      <c r="E12" s="18">
        <f>E11/Income_Statement!E5</f>
        <v>3.2342673939518882E-2</v>
      </c>
      <c r="F12" s="18">
        <f>F11/Income_Statement!F5</f>
        <v>2.0792442762005651E-2</v>
      </c>
      <c r="G12" s="18">
        <f>G11/Income_Statement!G5</f>
        <v>2.4913777231455103E-2</v>
      </c>
      <c r="H12" s="25">
        <f>MEDIAN(C12:G12)</f>
        <v>2.4913777231455103E-2</v>
      </c>
      <c r="I12" s="25">
        <f t="shared" ref="I12:L12" si="5">H12</f>
        <v>2.4913777231455103E-2</v>
      </c>
      <c r="J12" s="25">
        <f t="shared" si="5"/>
        <v>2.4913777231455103E-2</v>
      </c>
      <c r="K12" s="25">
        <f t="shared" si="5"/>
        <v>2.4913777231455103E-2</v>
      </c>
      <c r="L12" s="25">
        <f t="shared" si="5"/>
        <v>2.4913777231455103E-2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32190.446030760831</v>
      </c>
      <c r="D15" s="7">
        <f t="shared" ref="D15:L15" si="8">SUM(D9:D13)</f>
        <v>35277.31537615745</v>
      </c>
      <c r="E15" s="7">
        <f t="shared" si="8"/>
        <v>38061.13234267394</v>
      </c>
      <c r="F15" s="7">
        <f t="shared" si="8"/>
        <v>38643.220792442757</v>
      </c>
      <c r="G15" s="7">
        <f t="shared" si="8"/>
        <v>45759.30491377724</v>
      </c>
      <c r="H15" s="29">
        <f t="shared" si="8"/>
        <v>48257.061646801347</v>
      </c>
      <c r="I15" s="29">
        <f t="shared" si="8"/>
        <v>52059.065231901688</v>
      </c>
      <c r="J15" s="29">
        <f t="shared" si="8"/>
        <v>57181.201544904085</v>
      </c>
      <c r="K15" s="29">
        <f t="shared" si="8"/>
        <v>62977.590263882783</v>
      </c>
      <c r="L15" s="29">
        <f t="shared" si="8"/>
        <v>67410.422289537586</v>
      </c>
    </row>
    <row r="16" spans="2:15" x14ac:dyDescent="0.25">
      <c r="B16" s="19" t="s">
        <v>243</v>
      </c>
      <c r="C16" s="21">
        <f>C15/Income_Statement!C5</f>
        <v>1.0460647527779583</v>
      </c>
      <c r="D16" s="21">
        <f>D15/Income_Statement!D5</f>
        <v>1.0154053835593546</v>
      </c>
      <c r="E16" s="21">
        <f>E15/Income_Statement!E5</f>
        <v>1.0323706752163531</v>
      </c>
      <c r="F16" s="21">
        <f>F15/Income_Statement!F5</f>
        <v>1.0208194085458171</v>
      </c>
      <c r="G16" s="21">
        <f>G15/Income_Statement!G5</f>
        <v>1.0249367336942148</v>
      </c>
      <c r="H16" s="30">
        <f>H15/Income_Statement!H5</f>
        <v>1.0249355454561555</v>
      </c>
      <c r="I16" s="30">
        <f>I15/Income_Statement!I5</f>
        <v>1.0249339556370258</v>
      </c>
      <c r="J16" s="30">
        <f>J15/Income_Statement!J5</f>
        <v>1.024932148078008</v>
      </c>
      <c r="K16" s="30">
        <f>K15/Income_Statement!K5</f>
        <v>1.0249304572178106</v>
      </c>
      <c r="L16" s="30">
        <f>L15/Income_Statement!L5</f>
        <v>1.024929360344369</v>
      </c>
    </row>
    <row r="17" spans="2:12" ht="18.75" x14ac:dyDescent="0.25">
      <c r="B17" s="8" t="s">
        <v>62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24">
        <f>H5*H18</f>
        <v>0</v>
      </c>
      <c r="I17" s="24">
        <f t="shared" ref="I17:L17" si="9">I5*I18</f>
        <v>0</v>
      </c>
      <c r="J17" s="24">
        <f t="shared" si="9"/>
        <v>0</v>
      </c>
      <c r="K17" s="24">
        <f t="shared" si="9"/>
        <v>0</v>
      </c>
      <c r="L17" s="24">
        <f t="shared" si="9"/>
        <v>0</v>
      </c>
    </row>
    <row r="18" spans="2:12" x14ac:dyDescent="0.25">
      <c r="B18" s="17" t="s">
        <v>244</v>
      </c>
      <c r="C18" s="18">
        <f>C17/Income_Statement!C5</f>
        <v>0</v>
      </c>
      <c r="D18" s="18">
        <f>D17/Income_Statement!D5</f>
        <v>0</v>
      </c>
      <c r="E18" s="18">
        <f>E17/Income_Statement!E5</f>
        <v>0</v>
      </c>
      <c r="F18" s="18">
        <f>F17/Income_Statement!F5</f>
        <v>0</v>
      </c>
      <c r="G18" s="18">
        <f>G17/Income_Statement!G5</f>
        <v>0</v>
      </c>
      <c r="H18" s="25">
        <f>G18</f>
        <v>0</v>
      </c>
      <c r="I18" s="25">
        <f t="shared" ref="I18:L18" si="10">H18</f>
        <v>0</v>
      </c>
      <c r="J18" s="25">
        <f t="shared" si="10"/>
        <v>0</v>
      </c>
      <c r="K18" s="25">
        <f t="shared" si="10"/>
        <v>0</v>
      </c>
      <c r="L18" s="25">
        <f t="shared" si="10"/>
        <v>0</v>
      </c>
    </row>
    <row r="19" spans="2:12" ht="18.75" x14ac:dyDescent="0.25">
      <c r="B19" s="8" t="s">
        <v>64</v>
      </c>
      <c r="C19" s="4">
        <v>3888</v>
      </c>
      <c r="D19" s="5">
        <v>4349.7</v>
      </c>
      <c r="E19" s="5">
        <v>5440.8</v>
      </c>
      <c r="F19" s="5">
        <v>4974.3</v>
      </c>
      <c r="G19" s="5">
        <v>0</v>
      </c>
      <c r="H19" s="28">
        <f>H5*H20</f>
        <v>0</v>
      </c>
      <c r="I19" s="28">
        <f t="shared" ref="I19:L19" si="11">I5*I20</f>
        <v>0</v>
      </c>
      <c r="J19" s="28">
        <f t="shared" si="11"/>
        <v>0</v>
      </c>
      <c r="K19" s="28">
        <f t="shared" si="11"/>
        <v>0</v>
      </c>
      <c r="L19" s="28">
        <f t="shared" si="11"/>
        <v>0</v>
      </c>
    </row>
    <row r="20" spans="2:12" x14ac:dyDescent="0.25">
      <c r="B20" s="17" t="s">
        <v>245</v>
      </c>
      <c r="C20" s="18">
        <f>C19/Income_Statement!C5</f>
        <v>0.12634493336669603</v>
      </c>
      <c r="D20" s="18">
        <f>D19/Income_Statement!D5</f>
        <v>0.12519968568393966</v>
      </c>
      <c r="E20" s="18">
        <f>E19/Income_Statement!E5</f>
        <v>0.14757633375556384</v>
      </c>
      <c r="F20" s="18">
        <f>F19/Income_Statement!F5</f>
        <v>0.13140369461446411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16624</v>
      </c>
      <c r="D21" s="5">
        <v>17507.900000000001</v>
      </c>
      <c r="E21" s="5">
        <v>18810</v>
      </c>
      <c r="F21" s="5">
        <v>19297.3</v>
      </c>
      <c r="G21" s="5">
        <v>22285.9</v>
      </c>
      <c r="H21" s="28">
        <f>H5*H22</f>
        <v>23502.395829312249</v>
      </c>
      <c r="I21" s="28">
        <f t="shared" ref="I21:L21" si="13">I5*I22</f>
        <v>25354.105983128949</v>
      </c>
      <c r="J21" s="28">
        <f t="shared" si="13"/>
        <v>27848.767444572433</v>
      </c>
      <c r="K21" s="28">
        <f t="shared" si="13"/>
        <v>30671.813663798494</v>
      </c>
      <c r="L21" s="28">
        <f t="shared" si="13"/>
        <v>32830.759569119677</v>
      </c>
    </row>
    <row r="22" spans="2:12" x14ac:dyDescent="0.25">
      <c r="B22" s="17" t="s">
        <v>246</v>
      </c>
      <c r="C22" s="18">
        <f>C21/Income_Statement!C5</f>
        <v>0.54021557929216935</v>
      </c>
      <c r="D22" s="18">
        <f>D21/Income_Statement!D5</f>
        <v>0.50393902498697551</v>
      </c>
      <c r="E22" s="18">
        <f>E21/Income_Statement!E5</f>
        <v>0.51020269775440297</v>
      </c>
      <c r="F22" s="18">
        <f>F21/Income_Statement!F5</f>
        <v>0.50976750820893357</v>
      </c>
      <c r="G22" s="18">
        <f>G21/Income_Statement!G5</f>
        <v>0.4991692421131757</v>
      </c>
      <c r="H22" s="25">
        <f>G22</f>
        <v>0.4991692421131757</v>
      </c>
      <c r="I22" s="25">
        <f t="shared" ref="I22:L22" si="14">H22</f>
        <v>0.4991692421131757</v>
      </c>
      <c r="J22" s="25">
        <f t="shared" si="14"/>
        <v>0.4991692421131757</v>
      </c>
      <c r="K22" s="25">
        <f t="shared" si="14"/>
        <v>0.4991692421131757</v>
      </c>
      <c r="L22" s="25">
        <f t="shared" si="14"/>
        <v>0.4991692421131757</v>
      </c>
    </row>
    <row r="23" spans="2:12" ht="18.75" x14ac:dyDescent="0.25">
      <c r="B23" s="8" t="s">
        <v>69</v>
      </c>
      <c r="C23" s="5">
        <v>5551.3</v>
      </c>
      <c r="D23" s="5">
        <v>6547.6</v>
      </c>
      <c r="E23" s="5">
        <v>6890.8</v>
      </c>
      <c r="F23" s="5">
        <v>6736.5</v>
      </c>
      <c r="G23" s="5">
        <v>14340.1</v>
      </c>
      <c r="H23" s="28">
        <f>H5*H24</f>
        <v>9933.7220494926187</v>
      </c>
      <c r="I23" s="28">
        <f t="shared" ref="I23:L23" si="15">I5*I24</f>
        <v>10716.381575688531</v>
      </c>
      <c r="J23" s="28">
        <f t="shared" si="15"/>
        <v>11770.796357293619</v>
      </c>
      <c r="K23" s="28">
        <f t="shared" si="15"/>
        <v>12964.009027113729</v>
      </c>
      <c r="L23" s="28">
        <f t="shared" si="15"/>
        <v>13876.527423072446</v>
      </c>
    </row>
    <row r="24" spans="2:12" x14ac:dyDescent="0.25">
      <c r="B24" s="17" t="s">
        <v>247</v>
      </c>
      <c r="C24" s="18">
        <f>C23/Income_Statement!C5</f>
        <v>0.18039573780826637</v>
      </c>
      <c r="D24" s="18">
        <f>D23/Income_Statement!D5</f>
        <v>0.18846298870822434</v>
      </c>
      <c r="E24" s="18">
        <f>E23/Income_Statement!E5</f>
        <v>0.18690615362498883</v>
      </c>
      <c r="F24" s="18">
        <f>F23/Income_Statement!F5</f>
        <v>0.17795488586742605</v>
      </c>
      <c r="G24" s="18">
        <f>G23/Income_Statement!G5</f>
        <v>0.3211957717133771</v>
      </c>
      <c r="H24" s="25">
        <f>AVERAGE(C24:G24)</f>
        <v>0.21098310754445651</v>
      </c>
      <c r="I24" s="25">
        <f t="shared" ref="I24:L24" si="16">H24</f>
        <v>0.21098310754445651</v>
      </c>
      <c r="J24" s="25">
        <f t="shared" si="16"/>
        <v>0.21098310754445651</v>
      </c>
      <c r="K24" s="25">
        <f t="shared" si="16"/>
        <v>0.21098310754445651</v>
      </c>
      <c r="L24" s="25">
        <f t="shared" si="16"/>
        <v>0.21098310754445651</v>
      </c>
    </row>
    <row r="25" spans="2:12" ht="18.75" x14ac:dyDescent="0.25">
      <c r="B25" s="9" t="s">
        <v>108</v>
      </c>
      <c r="C25" s="7">
        <f>C17+C19+C21+C23</f>
        <v>26063.3</v>
      </c>
      <c r="D25" s="7">
        <f t="shared" ref="D25:L25" si="17">D17+D19+D21+D23</f>
        <v>28405.200000000004</v>
      </c>
      <c r="E25" s="7">
        <f t="shared" si="17"/>
        <v>31141.599999999999</v>
      </c>
      <c r="F25" s="7">
        <f t="shared" si="17"/>
        <v>31008.1</v>
      </c>
      <c r="G25" s="7">
        <f t="shared" si="17"/>
        <v>36626</v>
      </c>
      <c r="H25" s="29">
        <f t="shared" si="17"/>
        <v>33436.117878804871</v>
      </c>
      <c r="I25" s="29">
        <f t="shared" si="17"/>
        <v>36070.487558817476</v>
      </c>
      <c r="J25" s="29">
        <f t="shared" si="17"/>
        <v>39619.563801866054</v>
      </c>
      <c r="K25" s="29">
        <f t="shared" si="17"/>
        <v>43635.822690912224</v>
      </c>
      <c r="L25" s="29">
        <f t="shared" si="17"/>
        <v>46707.286992192123</v>
      </c>
    </row>
    <row r="26" spans="2:12" x14ac:dyDescent="0.25">
      <c r="B26" s="19" t="s">
        <v>248</v>
      </c>
      <c r="C26" s="21">
        <f>C25/Income_Statement!C5</f>
        <v>0.84695625046713174</v>
      </c>
      <c r="D26" s="21">
        <f>D25/Income_Statement!D5</f>
        <v>0.81760169937913962</v>
      </c>
      <c r="E26" s="21">
        <f>E25/Income_Statement!E5</f>
        <v>0.84468518513495561</v>
      </c>
      <c r="F26" s="21">
        <f>F25/Income_Statement!F5</f>
        <v>0.81912608869082371</v>
      </c>
      <c r="G26" s="21">
        <f>G25/Income_Statement!G5</f>
        <v>0.82036501382655269</v>
      </c>
      <c r="H26" s="30">
        <f>H25/Income_Statement!H5</f>
        <v>0.7101523496576323</v>
      </c>
      <c r="I26" s="30">
        <f>I25/Income_Statement!I5</f>
        <v>0.71015234965763208</v>
      </c>
      <c r="J26" s="30">
        <f>J25/Income_Statement!J5</f>
        <v>0.71015234965763219</v>
      </c>
      <c r="K26" s="30">
        <f>K25/Income_Statement!K5</f>
        <v>0.7101523496576323</v>
      </c>
      <c r="L26" s="30">
        <f>L25/Income_Statement!L5</f>
        <v>0.71015234965763219</v>
      </c>
    </row>
    <row r="27" spans="2:12" ht="18.75" x14ac:dyDescent="0.25">
      <c r="B27" s="9" t="s">
        <v>109</v>
      </c>
      <c r="C27" s="7">
        <f xml:space="preserve"> C15-C25-C11</f>
        <v>4710.6460307608322</v>
      </c>
      <c r="D27" s="7">
        <f t="shared" ref="D27:L27" si="18" xml:space="preserve"> D15-D25-D11</f>
        <v>6337.9153761574462</v>
      </c>
      <c r="E27" s="7">
        <f t="shared" si="18"/>
        <v>5727.1323426739418</v>
      </c>
      <c r="F27" s="7">
        <f t="shared" si="18"/>
        <v>6848.0207924427577</v>
      </c>
      <c r="G27" s="7">
        <f t="shared" si="18"/>
        <v>8021.0049137772394</v>
      </c>
      <c r="H27" s="29">
        <f t="shared" si="18"/>
        <v>13647.927875394247</v>
      </c>
      <c r="I27" s="29">
        <f t="shared" si="18"/>
        <v>14723.142035078372</v>
      </c>
      <c r="J27" s="29">
        <f t="shared" si="18"/>
        <v>16171.69235027409</v>
      </c>
      <c r="K27" s="29">
        <f t="shared" si="18"/>
        <v>17810.922584065331</v>
      </c>
      <c r="L27" s="29">
        <f t="shared" si="18"/>
        <v>19064.536278740343</v>
      </c>
    </row>
    <row r="28" spans="2:12" x14ac:dyDescent="0.25">
      <c r="B28" s="19" t="s">
        <v>249</v>
      </c>
      <c r="C28" s="21">
        <f>C27/Income_Statement!C5</f>
        <v>0.15307774147905567</v>
      </c>
      <c r="D28" s="21">
        <f>D27/Income_Statement!D5</f>
        <v>0.18242752672283616</v>
      </c>
      <c r="E28" s="21">
        <f>E27/Income_Statement!E5</f>
        <v>0.15534281614187873</v>
      </c>
      <c r="F28" s="21">
        <f>F27/Income_Statement!F5</f>
        <v>0.18090087709298769</v>
      </c>
      <c r="G28" s="21">
        <f>G27/Income_Statement!G5</f>
        <v>0.17965794263620685</v>
      </c>
      <c r="H28" s="30">
        <f>H27/Income_Statement!H5</f>
        <v>0.28986941856706822</v>
      </c>
      <c r="I28" s="30">
        <f>I27/Income_Statement!I5</f>
        <v>0.28986782874793871</v>
      </c>
      <c r="J28" s="30">
        <f>J27/Income_Statement!J5</f>
        <v>0.28986602118892074</v>
      </c>
      <c r="K28" s="30">
        <f>K27/Income_Statement!K5</f>
        <v>0.28986433032872333</v>
      </c>
      <c r="L28" s="30">
        <f>L27/Income_Statement!L5</f>
        <v>0.28986323345528164</v>
      </c>
    </row>
    <row r="29" spans="2:12" ht="18.75" x14ac:dyDescent="0.25">
      <c r="B29" s="9" t="s">
        <v>110</v>
      </c>
      <c r="C29" s="7">
        <f xml:space="preserve"> C27+C11</f>
        <v>6127.1460307608322</v>
      </c>
      <c r="D29" s="7">
        <f t="shared" ref="D29:L29" si="19" xml:space="preserve"> D27+D11</f>
        <v>6872.115376157446</v>
      </c>
      <c r="E29" s="7">
        <f t="shared" si="19"/>
        <v>6919.5323426739415</v>
      </c>
      <c r="F29" s="7">
        <f t="shared" si="19"/>
        <v>7635.1207924427581</v>
      </c>
      <c r="G29" s="7">
        <f t="shared" si="19"/>
        <v>9133.3049137772396</v>
      </c>
      <c r="H29" s="29">
        <f t="shared" si="19"/>
        <v>14820.943767996476</v>
      </c>
      <c r="I29" s="29">
        <f t="shared" si="19"/>
        <v>15988.577673084212</v>
      </c>
      <c r="J29" s="29">
        <f t="shared" si="19"/>
        <v>17561.637743038031</v>
      </c>
      <c r="K29" s="29">
        <f t="shared" si="19"/>
        <v>19341.767572970559</v>
      </c>
      <c r="L29" s="29">
        <f t="shared" si="19"/>
        <v>20703.135297345463</v>
      </c>
    </row>
    <row r="30" spans="2:12" x14ac:dyDescent="0.25">
      <c r="B30" s="19" t="s">
        <v>250</v>
      </c>
      <c r="C30" s="21">
        <f>C29/Income_Statement!C5</f>
        <v>0.19910850231082647</v>
      </c>
      <c r="D30" s="21">
        <f>D29/Income_Statement!D5</f>
        <v>0.19780368418021496</v>
      </c>
      <c r="E30" s="21">
        <f>E29/Income_Statement!E5</f>
        <v>0.18768549008139759</v>
      </c>
      <c r="F30" s="21">
        <f>F29/Income_Statement!F5</f>
        <v>0.20169331985499334</v>
      </c>
      <c r="G30" s="21">
        <f>G29/Income_Statement!G5</f>
        <v>0.20457171986766196</v>
      </c>
      <c r="H30" s="30">
        <f>H29/Income_Statement!H5</f>
        <v>0.31478319579852332</v>
      </c>
      <c r="I30" s="30">
        <f>I29/Income_Statement!I5</f>
        <v>0.31478160597939381</v>
      </c>
      <c r="J30" s="30">
        <f>J29/Income_Statement!J5</f>
        <v>0.31477979842037579</v>
      </c>
      <c r="K30" s="30">
        <f>K29/Income_Statement!K5</f>
        <v>0.31477810756017838</v>
      </c>
      <c r="L30" s="30">
        <f>L29/Income_Statement!L5</f>
        <v>0.3147770106867368</v>
      </c>
    </row>
    <row r="31" spans="2:12" ht="18.75" x14ac:dyDescent="0.25">
      <c r="B31" s="8" t="s">
        <v>68</v>
      </c>
      <c r="C31" s="5">
        <v>1085</v>
      </c>
      <c r="D31" s="5">
        <v>1129.2</v>
      </c>
      <c r="E31" s="5">
        <v>1445.8</v>
      </c>
      <c r="F31" s="5">
        <v>1457.7</v>
      </c>
      <c r="G31" s="5">
        <v>1520.4</v>
      </c>
      <c r="H31" s="28">
        <f>Balance_Sheet!H40*H62</f>
        <v>2598.9874951612496</v>
      </c>
      <c r="I31" s="28">
        <f>Balance_Sheet!I40*I62</f>
        <v>2933.6842168765552</v>
      </c>
      <c r="J31" s="28">
        <f>Balance_Sheet!J40*J62</f>
        <v>3352.4258090139006</v>
      </c>
      <c r="K31" s="28">
        <f>Balance_Sheet!K40*K62</f>
        <v>3861.22326420833</v>
      </c>
      <c r="L31" s="28">
        <f>Balance_Sheet!L40*L62</f>
        <v>4289.9952914561491</v>
      </c>
    </row>
    <row r="32" spans="2:12" x14ac:dyDescent="0.25">
      <c r="B32" s="17" t="s">
        <v>251</v>
      </c>
      <c r="C32" s="18">
        <f>C31/Income_Statement!C5</f>
        <v>3.5258295448267793E-2</v>
      </c>
      <c r="D32" s="18">
        <f>D31/Income_Statement!D5</f>
        <v>3.2502353052924267E-2</v>
      </c>
      <c r="E32" s="18">
        <f>E31/Income_Statement!E5</f>
        <v>3.9215899011872182E-2</v>
      </c>
      <c r="F32" s="18">
        <f>F31/Income_Statement!F5</f>
        <v>3.8507360963251983E-2</v>
      </c>
      <c r="G32" s="18">
        <f>G31/Income_Statement!G5</f>
        <v>3.4054577814172746E-2</v>
      </c>
      <c r="H32" s="25">
        <f>H31/Income_Statement!H5</f>
        <v>5.5200100774544132E-2</v>
      </c>
      <c r="I32" s="25">
        <f>I31/Income_Statement!I5</f>
        <v>5.7758097568579032E-2</v>
      </c>
      <c r="J32" s="25">
        <f>J31/Income_Statement!J5</f>
        <v>6.0089835345738439E-2</v>
      </c>
      <c r="K32" s="25">
        <f>K31/Income_Statement!K5</f>
        <v>6.2839580063683093E-2</v>
      </c>
      <c r="L32" s="25">
        <f>L31/Income_Statement!L5</f>
        <v>6.5226443932764555E-2</v>
      </c>
    </row>
    <row r="33" spans="2:12" ht="18.75" x14ac:dyDescent="0.25">
      <c r="B33" s="9" t="s">
        <v>111</v>
      </c>
      <c r="C33" s="7">
        <f xml:space="preserve"> C29-C31</f>
        <v>5042.1460307608322</v>
      </c>
      <c r="D33" s="7">
        <f t="shared" ref="D33:L33" si="20" xml:space="preserve"> D29-D31</f>
        <v>5742.9153761574462</v>
      </c>
      <c r="E33" s="7">
        <f t="shared" si="20"/>
        <v>5473.7323426739413</v>
      </c>
      <c r="F33" s="7">
        <f t="shared" si="20"/>
        <v>6177.4207924427583</v>
      </c>
      <c r="G33" s="7">
        <f t="shared" si="20"/>
        <v>7612.9049137772399</v>
      </c>
      <c r="H33" s="29">
        <f t="shared" si="20"/>
        <v>12221.956272835227</v>
      </c>
      <c r="I33" s="29">
        <f t="shared" si="20"/>
        <v>13054.893456207657</v>
      </c>
      <c r="J33" s="29">
        <f t="shared" si="20"/>
        <v>14209.21193402413</v>
      </c>
      <c r="K33" s="29">
        <f t="shared" si="20"/>
        <v>15480.54430876223</v>
      </c>
      <c r="L33" s="29">
        <f t="shared" si="20"/>
        <v>16413.140005889312</v>
      </c>
    </row>
    <row r="34" spans="2:12" x14ac:dyDescent="0.25">
      <c r="B34" s="19" t="s">
        <v>252</v>
      </c>
      <c r="C34" s="21">
        <f>C33/Income_Statement!C5</f>
        <v>0.16385020686255869</v>
      </c>
      <c r="D34" s="21">
        <f>D33/Income_Statement!D5</f>
        <v>0.1653013311272907</v>
      </c>
      <c r="E34" s="21">
        <f>E33/Income_Statement!E5</f>
        <v>0.1484695910695254</v>
      </c>
      <c r="F34" s="21">
        <f>F33/Income_Statement!F5</f>
        <v>0.16318595889174137</v>
      </c>
      <c r="G34" s="21">
        <f>G33/Income_Statement!G5</f>
        <v>0.17051714205348922</v>
      </c>
      <c r="H34" s="30">
        <f>H33/Income_Statement!H5</f>
        <v>0.25958309502397919</v>
      </c>
      <c r="I34" s="30">
        <f>I33/Income_Statement!I5</f>
        <v>0.25702350841081478</v>
      </c>
      <c r="J34" s="30">
        <f>J33/Income_Statement!J5</f>
        <v>0.25468996307463737</v>
      </c>
      <c r="K34" s="30">
        <f>K33/Income_Statement!K5</f>
        <v>0.25193852749649531</v>
      </c>
      <c r="L34" s="30">
        <f>L33/Income_Statement!L5</f>
        <v>0.24955056675397222</v>
      </c>
    </row>
    <row r="35" spans="2:12" ht="18.75" x14ac:dyDescent="0.25">
      <c r="B35" s="8" t="s">
        <v>67</v>
      </c>
      <c r="C35" s="4">
        <v>162.4</v>
      </c>
      <c r="D35" s="4">
        <v>133.19999999999999</v>
      </c>
      <c r="E35" s="4">
        <v>191.9</v>
      </c>
      <c r="F35" s="4">
        <v>174</v>
      </c>
      <c r="G35" s="4">
        <v>162.6</v>
      </c>
      <c r="H35" s="24">
        <f>Balance_Sheet!H21*H63</f>
        <v>176.56788712480486</v>
      </c>
      <c r="I35" s="24">
        <f>Balance_Sheet!I21*I63</f>
        <v>199.3062152051607</v>
      </c>
      <c r="J35" s="24">
        <f>Balance_Sheet!J21*J63</f>
        <v>227.75446994020444</v>
      </c>
      <c r="K35" s="24">
        <f>Balance_Sheet!K21*K63</f>
        <v>262.32056025214291</v>
      </c>
      <c r="L35" s="24">
        <f>Balance_Sheet!L21*L63</f>
        <v>291.45052578868302</v>
      </c>
    </row>
    <row r="36" spans="2:12" x14ac:dyDescent="0.25">
      <c r="B36" s="17" t="s">
        <v>253</v>
      </c>
      <c r="C36" s="18">
        <f>C35/Income_Statement!C5</f>
        <v>5.2773706735471798E-3</v>
      </c>
      <c r="D36" s="18">
        <f>D35/Income_Statement!D5</f>
        <v>3.8339651316414377E-3</v>
      </c>
      <c r="E36" s="18">
        <f>E35/Income_Statement!E5</f>
        <v>5.205098229615626E-3</v>
      </c>
      <c r="F36" s="18">
        <f>F35/Income_Statement!F5</f>
        <v>4.5964744512628419E-3</v>
      </c>
      <c r="G36" s="18">
        <f>G35/Income_Statement!G5</f>
        <v>3.6419852358487814E-3</v>
      </c>
      <c r="H36" s="25">
        <f>H35/Income_Statement!H5</f>
        <v>3.7501393065505506E-3</v>
      </c>
      <c r="I36" s="25">
        <f>I35/Income_Statement!I5</f>
        <v>3.9239219264369345E-3</v>
      </c>
      <c r="J36" s="25">
        <f>J35/Income_Statement!J5</f>
        <v>4.0823360090967709E-3</v>
      </c>
      <c r="K36" s="25">
        <f>K35/Income_Statement!K5</f>
        <v>4.2691428908331963E-3</v>
      </c>
      <c r="L36" s="25">
        <f>L35/Income_Statement!L5</f>
        <v>4.4313058845054445E-3</v>
      </c>
    </row>
    <row r="37" spans="2:12" ht="18.75" x14ac:dyDescent="0.25">
      <c r="B37" s="9" t="s">
        <v>112</v>
      </c>
      <c r="C37" s="7">
        <f xml:space="preserve"> C33-C35</f>
        <v>4879.7460307608326</v>
      </c>
      <c r="D37" s="7">
        <f t="shared" ref="D37:L37" si="21" xml:space="preserve"> D33-D35</f>
        <v>5609.7153761574464</v>
      </c>
      <c r="E37" s="7">
        <f t="shared" si="21"/>
        <v>5281.8323426739416</v>
      </c>
      <c r="F37" s="7">
        <f t="shared" si="21"/>
        <v>6003.4207924427583</v>
      </c>
      <c r="G37" s="7">
        <f t="shared" si="21"/>
        <v>7450.3049137772396</v>
      </c>
      <c r="H37" s="29">
        <f t="shared" si="21"/>
        <v>12045.388385710421</v>
      </c>
      <c r="I37" s="29">
        <f t="shared" si="21"/>
        <v>12855.587241002497</v>
      </c>
      <c r="J37" s="29">
        <f t="shared" si="21"/>
        <v>13981.457464083926</v>
      </c>
      <c r="K37" s="29">
        <f t="shared" si="21"/>
        <v>15218.223748510087</v>
      </c>
      <c r="L37" s="29">
        <f t="shared" si="21"/>
        <v>16121.689480100629</v>
      </c>
    </row>
    <row r="38" spans="2:12" x14ac:dyDescent="0.25">
      <c r="B38" s="19" t="s">
        <v>254</v>
      </c>
      <c r="C38" s="21">
        <f>C37/Income_Statement!C5</f>
        <v>0.15857283618901152</v>
      </c>
      <c r="D38" s="21">
        <f>D37/Income_Statement!D5</f>
        <v>0.16146736599564929</v>
      </c>
      <c r="E38" s="21">
        <f>E37/Income_Statement!E5</f>
        <v>0.14326449283990977</v>
      </c>
      <c r="F38" s="21">
        <f>F37/Income_Statement!F5</f>
        <v>0.15858948444047852</v>
      </c>
      <c r="G38" s="21">
        <f>G37/Income_Statement!G5</f>
        <v>0.16687515681764045</v>
      </c>
      <c r="H38" s="30">
        <f>H37/Income_Statement!H5</f>
        <v>0.25583295571742859</v>
      </c>
      <c r="I38" s="30">
        <f>I37/Income_Statement!I5</f>
        <v>0.25309958648437786</v>
      </c>
      <c r="J38" s="30">
        <f>J37/Income_Statement!J5</f>
        <v>0.25060762706554057</v>
      </c>
      <c r="K38" s="30">
        <f>K37/Income_Statement!K5</f>
        <v>0.24766938460566212</v>
      </c>
      <c r="L38" s="30">
        <f>L37/Income_Statement!L5</f>
        <v>0.24511926086946675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4879.7460307608326</v>
      </c>
      <c r="D41" s="7">
        <f t="shared" ref="D41:L41" si="24" xml:space="preserve"> D37+D39</f>
        <v>5609.7153761574464</v>
      </c>
      <c r="E41" s="7">
        <f t="shared" si="24"/>
        <v>5281.8323426739416</v>
      </c>
      <c r="F41" s="7">
        <f t="shared" si="24"/>
        <v>6003.4207924427583</v>
      </c>
      <c r="G41" s="7">
        <f t="shared" si="24"/>
        <v>7450.3049137772396</v>
      </c>
      <c r="H41" s="29">
        <f t="shared" si="24"/>
        <v>12045.388385710421</v>
      </c>
      <c r="I41" s="29">
        <f t="shared" si="24"/>
        <v>12855.587241002497</v>
      </c>
      <c r="J41" s="29">
        <f t="shared" si="24"/>
        <v>13981.457464083926</v>
      </c>
      <c r="K41" s="29">
        <f t="shared" si="24"/>
        <v>15218.223748510087</v>
      </c>
      <c r="L41" s="29">
        <f t="shared" si="24"/>
        <v>16121.689480100629</v>
      </c>
    </row>
    <row r="42" spans="2:12" x14ac:dyDescent="0.25">
      <c r="B42" s="19" t="s">
        <v>256</v>
      </c>
      <c r="C42" s="21">
        <f>C41/Income_Statement!C5</f>
        <v>0.15857283618901152</v>
      </c>
      <c r="D42" s="21">
        <f>D41/Income_Statement!D5</f>
        <v>0.16146736599564929</v>
      </c>
      <c r="E42" s="21">
        <f>E41/Income_Statement!E5</f>
        <v>0.14326449283990977</v>
      </c>
      <c r="F42" s="21">
        <f>F41/Income_Statement!F5</f>
        <v>0.15858948444047852</v>
      </c>
      <c r="G42" s="21">
        <f>G41/Income_Statement!G5</f>
        <v>0.16687515681764045</v>
      </c>
      <c r="H42" s="30">
        <f>H41/Income_Statement!H5</f>
        <v>0.25583295571742859</v>
      </c>
      <c r="I42" s="30">
        <f>I41/Income_Statement!I5</f>
        <v>0.25309958648437786</v>
      </c>
      <c r="J42" s="30">
        <f>J41/Income_Statement!J5</f>
        <v>0.25060762706554057</v>
      </c>
      <c r="K42" s="30">
        <f>K41/Income_Statement!K5</f>
        <v>0.24766938460566212</v>
      </c>
      <c r="L42" s="30">
        <f>L41/Income_Statement!L5</f>
        <v>0.24511926086946675</v>
      </c>
    </row>
    <row r="43" spans="2:12" ht="18.75" x14ac:dyDescent="0.25">
      <c r="B43" s="8" t="s">
        <v>72</v>
      </c>
      <c r="C43" s="4">
        <v>0</v>
      </c>
      <c r="D43" s="4">
        <v>0</v>
      </c>
      <c r="E43" s="4">
        <v>0</v>
      </c>
      <c r="F43" s="4">
        <v>0</v>
      </c>
      <c r="G43" s="4">
        <v>2.8</v>
      </c>
      <c r="H43" s="24">
        <f>H5*H44</f>
        <v>2.952840510011904</v>
      </c>
      <c r="I43" s="24">
        <f t="shared" ref="I43:L43" si="25">I5*I44</f>
        <v>3.185489334187134</v>
      </c>
      <c r="J43" s="24">
        <f t="shared" si="25"/>
        <v>3.4989185469199269</v>
      </c>
      <c r="K43" s="24">
        <f t="shared" si="25"/>
        <v>3.8536060136066199</v>
      </c>
      <c r="L43" s="24">
        <f t="shared" si="25"/>
        <v>4.1248559310386872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0</v>
      </c>
      <c r="F44" s="18">
        <f>F43/Income_Statement!F5</f>
        <v>0</v>
      </c>
      <c r="G44" s="18">
        <f>G43/Income_Statement!G5</f>
        <v>6.2715612917445189E-5</v>
      </c>
      <c r="H44" s="25">
        <f>G44</f>
        <v>6.2715612917445189E-5</v>
      </c>
      <c r="I44" s="25">
        <f t="shared" ref="I44:L44" si="26">H44</f>
        <v>6.2715612917445189E-5</v>
      </c>
      <c r="J44" s="25">
        <f t="shared" si="26"/>
        <v>6.2715612917445189E-5</v>
      </c>
      <c r="K44" s="25">
        <f t="shared" si="26"/>
        <v>6.2715612917445189E-5</v>
      </c>
      <c r="L44" s="25">
        <f t="shared" si="26"/>
        <v>6.2715612917445189E-5</v>
      </c>
    </row>
    <row r="45" spans="2:12" ht="18.75" x14ac:dyDescent="0.25">
      <c r="B45" s="9" t="s">
        <v>115</v>
      </c>
      <c r="C45" s="7">
        <f xml:space="preserve"> C41+C43</f>
        <v>4879.7460307608326</v>
      </c>
      <c r="D45" s="7">
        <f t="shared" ref="D45:L45" si="27" xml:space="preserve"> D41+D43</f>
        <v>5609.7153761574464</v>
      </c>
      <c r="E45" s="7">
        <f t="shared" si="27"/>
        <v>5281.8323426739416</v>
      </c>
      <c r="F45" s="7">
        <f t="shared" si="27"/>
        <v>6003.4207924427583</v>
      </c>
      <c r="G45" s="7">
        <f t="shared" si="27"/>
        <v>7453.1049137772397</v>
      </c>
      <c r="H45" s="29">
        <f t="shared" si="27"/>
        <v>12048.341226220433</v>
      </c>
      <c r="I45" s="29">
        <f t="shared" si="27"/>
        <v>12858.772730336685</v>
      </c>
      <c r="J45" s="29">
        <f t="shared" si="27"/>
        <v>13984.956382630846</v>
      </c>
      <c r="K45" s="29">
        <f t="shared" si="27"/>
        <v>15222.077354523693</v>
      </c>
      <c r="L45" s="29">
        <f t="shared" si="27"/>
        <v>16125.814336031668</v>
      </c>
    </row>
    <row r="46" spans="2:12" x14ac:dyDescent="0.25">
      <c r="B46" s="19" t="s">
        <v>258</v>
      </c>
      <c r="C46" s="21">
        <f>C45/Income_Statement!C5</f>
        <v>0.15857283618901152</v>
      </c>
      <c r="D46" s="21">
        <f>D45/Income_Statement!D5</f>
        <v>0.16146736599564929</v>
      </c>
      <c r="E46" s="21">
        <f>E45/Income_Statement!E5</f>
        <v>0.14326449283990977</v>
      </c>
      <c r="F46" s="21">
        <f>F45/Income_Statement!F5</f>
        <v>0.15858948444047852</v>
      </c>
      <c r="G46" s="21">
        <f>G45/Income_Statement!G5</f>
        <v>0.16693787243055788</v>
      </c>
      <c r="H46" s="30">
        <f>H45/Income_Statement!H5</f>
        <v>0.25589567133034608</v>
      </c>
      <c r="I46" s="30">
        <f>I45/Income_Statement!I5</f>
        <v>0.25316230209729529</v>
      </c>
      <c r="J46" s="30">
        <f>J45/Income_Statement!J5</f>
        <v>0.25067034267845806</v>
      </c>
      <c r="K46" s="30">
        <f>K45/Income_Statement!K5</f>
        <v>0.24773210021857958</v>
      </c>
      <c r="L46" s="30">
        <f>L45/Income_Statement!L5</f>
        <v>0.24518197648238421</v>
      </c>
    </row>
    <row r="47" spans="2:12" ht="18.75" x14ac:dyDescent="0.25">
      <c r="B47" s="8" t="s">
        <v>79</v>
      </c>
      <c r="C47" s="5">
        <v>1092.5999999999999</v>
      </c>
      <c r="D47" s="5">
        <v>1254.4000000000001</v>
      </c>
      <c r="E47" s="5">
        <v>1160.4000000000001</v>
      </c>
      <c r="F47" s="5">
        <v>1599.9</v>
      </c>
      <c r="G47" s="5">
        <v>1822</v>
      </c>
      <c r="H47" s="28">
        <f>H45*H64</f>
        <v>2945.3600839020387</v>
      </c>
      <c r="I47" s="28">
        <f t="shared" ref="I47:L47" si="28">I45*I64</f>
        <v>3143.4796887623261</v>
      </c>
      <c r="J47" s="28">
        <f t="shared" si="28"/>
        <v>3418.7886557254724</v>
      </c>
      <c r="K47" s="28">
        <f t="shared" si="28"/>
        <v>3721.217567818489</v>
      </c>
      <c r="L47" s="28">
        <f t="shared" si="28"/>
        <v>3942.1468046072714</v>
      </c>
    </row>
    <row r="48" spans="2:12" x14ac:dyDescent="0.25">
      <c r="B48" s="17" t="s">
        <v>259</v>
      </c>
      <c r="C48" s="18">
        <f>C47/Income_Statement!C5</f>
        <v>3.5505265997029849E-2</v>
      </c>
      <c r="D48" s="18">
        <f>D47/Income_Statement!D5</f>
        <v>3.6106050008491146E-2</v>
      </c>
      <c r="E48" s="18">
        <f>E47/Income_Statement!E5</f>
        <v>3.1474705501021223E-2</v>
      </c>
      <c r="F48" s="18">
        <f>F47/Income_Statement!F5</f>
        <v>4.2263790083766788E-2</v>
      </c>
      <c r="G48" s="18">
        <f>G47/Income_Statement!G5</f>
        <v>4.080994526270898E-2</v>
      </c>
      <c r="H48" s="25">
        <f>H47/Income_Statement!H5</f>
        <v>6.2556735556215146E-2</v>
      </c>
      <c r="I48" s="25">
        <f>I47/Income_Statement!I5</f>
        <v>6.1888530989094082E-2</v>
      </c>
      <c r="J48" s="25">
        <f>J47/Income_Statement!J5</f>
        <v>6.127934191774094E-2</v>
      </c>
      <c r="K48" s="25">
        <f>K47/Income_Statement!K5</f>
        <v>6.0561053657501564E-2</v>
      </c>
      <c r="L48" s="25">
        <f>L47/Income_Statement!L5</f>
        <v>5.9937645628082965E-2</v>
      </c>
    </row>
    <row r="49" spans="2:12" ht="18.75" x14ac:dyDescent="0.25">
      <c r="B49" s="9" t="s">
        <v>116</v>
      </c>
      <c r="C49" s="7">
        <f xml:space="preserve"> C45-C47</f>
        <v>3787.1460307608327</v>
      </c>
      <c r="D49" s="7">
        <f t="shared" ref="D49:L49" si="29" xml:space="preserve"> D45-D47</f>
        <v>4355.3153761574467</v>
      </c>
      <c r="E49" s="7">
        <f t="shared" si="29"/>
        <v>4121.4323426739411</v>
      </c>
      <c r="F49" s="7">
        <f t="shared" si="29"/>
        <v>4403.5207924427577</v>
      </c>
      <c r="G49" s="7">
        <f t="shared" si="29"/>
        <v>5631.1049137772397</v>
      </c>
      <c r="H49" s="29">
        <f t="shared" si="29"/>
        <v>9102.9811423183946</v>
      </c>
      <c r="I49" s="29">
        <f t="shared" si="29"/>
        <v>9715.2930415743576</v>
      </c>
      <c r="J49" s="29">
        <f t="shared" si="29"/>
        <v>10566.167726905373</v>
      </c>
      <c r="K49" s="29">
        <f t="shared" si="29"/>
        <v>11500.859786705205</v>
      </c>
      <c r="L49" s="29">
        <f t="shared" si="29"/>
        <v>12183.667531424397</v>
      </c>
    </row>
    <row r="50" spans="2:12" x14ac:dyDescent="0.25">
      <c r="B50" s="19" t="s">
        <v>260</v>
      </c>
      <c r="C50" s="21">
        <f>C49/Income_Statement!C5</f>
        <v>0.12306757019198167</v>
      </c>
      <c r="D50" s="21">
        <f>D49/Income_Statement!D5</f>
        <v>0.12536131598715813</v>
      </c>
      <c r="E50" s="21">
        <f>E49/Income_Statement!E5</f>
        <v>0.11178978733888854</v>
      </c>
      <c r="F50" s="21">
        <f>F49/Income_Statement!F5</f>
        <v>0.11632569435671172</v>
      </c>
      <c r="G50" s="21">
        <f>G49/Income_Statement!G5</f>
        <v>0.1261279271678489</v>
      </c>
      <c r="H50" s="30">
        <f>H49/Income_Statement!H5</f>
        <v>0.19333893577413092</v>
      </c>
      <c r="I50" s="30">
        <f>I49/Income_Statement!I5</f>
        <v>0.19127377110820121</v>
      </c>
      <c r="J50" s="30">
        <f>J49/Income_Statement!J5</f>
        <v>0.1893910007607171</v>
      </c>
      <c r="K50" s="30">
        <f>K49/Income_Statement!K5</f>
        <v>0.18717104656107802</v>
      </c>
      <c r="L50" s="30">
        <f>L49/Income_Statement!L5</f>
        <v>0.18524433085430125</v>
      </c>
    </row>
    <row r="51" spans="2:12" ht="18.75" x14ac:dyDescent="0.25">
      <c r="B51" s="8" t="s">
        <v>88</v>
      </c>
      <c r="C51" s="4">
        <v>943.8</v>
      </c>
      <c r="D51" s="5">
        <v>1490.7</v>
      </c>
      <c r="E51" s="5">
        <v>2491.6999999999998</v>
      </c>
      <c r="F51" s="5">
        <v>1759.2</v>
      </c>
      <c r="G51" s="4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3.0669842621267412E-2</v>
      </c>
      <c r="D52" s="18">
        <f>D51/Income_Statement!D5</f>
        <v>4.2907596259293482E-2</v>
      </c>
      <c r="E52" s="18">
        <f>E51/Income_Statement!E5</f>
        <v>6.7584904943893978E-2</v>
      </c>
      <c r="F52" s="18">
        <f>F51/Income_Statement!F5</f>
        <v>4.6471941693457426E-2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0</v>
      </c>
      <c r="E54" s="18">
        <f>E53/Income_Statement!E5</f>
        <v>0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2843.3460307608329</v>
      </c>
      <c r="D55" s="7">
        <f t="shared" ref="D55:L55" si="34" xml:space="preserve"> D49-D51-D53</f>
        <v>2864.6153761574469</v>
      </c>
      <c r="E55" s="7">
        <f t="shared" si="34"/>
        <v>1629.7323426739413</v>
      </c>
      <c r="F55" s="7">
        <f t="shared" si="34"/>
        <v>2644.3207924427579</v>
      </c>
      <c r="G55" s="7">
        <f t="shared" si="34"/>
        <v>5631.1049137772397</v>
      </c>
      <c r="H55" s="29">
        <f t="shared" si="34"/>
        <v>9102.9811423183946</v>
      </c>
      <c r="I55" s="29">
        <f t="shared" si="34"/>
        <v>9715.2930415743576</v>
      </c>
      <c r="J55" s="29">
        <f t="shared" si="34"/>
        <v>10566.167726905373</v>
      </c>
      <c r="K55" s="29">
        <f t="shared" si="34"/>
        <v>11500.859786705205</v>
      </c>
      <c r="L55" s="29">
        <f t="shared" si="34"/>
        <v>12183.667531424397</v>
      </c>
    </row>
    <row r="56" spans="2:12" x14ac:dyDescent="0.25">
      <c r="B56" s="19" t="s">
        <v>263</v>
      </c>
      <c r="C56" s="21">
        <f>C55/Income_Statement!C5</f>
        <v>9.2397727570714253E-2</v>
      </c>
      <c r="D56" s="21">
        <f>D55/Income_Statement!D5</f>
        <v>8.2453719727864666E-2</v>
      </c>
      <c r="E56" s="21">
        <f>E55/Income_Statement!E5</f>
        <v>4.4204882394994573E-2</v>
      </c>
      <c r="F56" s="21">
        <f>F55/Income_Statement!F5</f>
        <v>6.9853752663254304E-2</v>
      </c>
      <c r="G56" s="21">
        <f>G55/Income_Statement!G5</f>
        <v>0.1261279271678489</v>
      </c>
      <c r="H56" s="30">
        <f>H55/Income_Statement!H5</f>
        <v>0.19333893577413092</v>
      </c>
      <c r="I56" s="30">
        <f>I55/Income_Statement!I5</f>
        <v>0.19127377110820121</v>
      </c>
      <c r="J56" s="30">
        <f>J55/Income_Statement!J5</f>
        <v>0.1893910007607171</v>
      </c>
      <c r="K56" s="30">
        <f>K55/Income_Statement!K5</f>
        <v>0.18717104656107802</v>
      </c>
      <c r="L56" s="30">
        <f>L55/Income_Statement!L5</f>
        <v>0.18524433085430125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43</v>
      </c>
      <c r="D60" s="4">
        <v>48</v>
      </c>
      <c r="E60" s="4">
        <v>46</v>
      </c>
      <c r="F60" s="4">
        <v>51</v>
      </c>
      <c r="G60" s="4">
        <v>63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88.073163506065882</v>
      </c>
      <c r="D61" s="4">
        <f t="shared" ref="D61:G61" si="35">D49/D60</f>
        <v>90.735737003280136</v>
      </c>
      <c r="E61" s="4">
        <f t="shared" si="35"/>
        <v>89.596355275520452</v>
      </c>
      <c r="F61" s="4">
        <f t="shared" si="35"/>
        <v>86.343544949858</v>
      </c>
      <c r="G61" s="4">
        <f t="shared" si="35"/>
        <v>89.382617679003801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0.34209862529953339</v>
      </c>
      <c r="D62" s="23">
        <f>D31/Balance_Sheet!D40</f>
        <v>0.40419515338082118</v>
      </c>
      <c r="E62" s="23">
        <f>E31/Balance_Sheet!E40</f>
        <v>0.36342156197370734</v>
      </c>
      <c r="F62" s="23">
        <f>F31/Balance_Sheet!F40</f>
        <v>0.40952380952380951</v>
      </c>
      <c r="G62" s="23">
        <f>G31/Balance_Sheet!G40</f>
        <v>0.23086384135323507</v>
      </c>
      <c r="H62" s="23">
        <f>MEDIAN(C62:G62)</f>
        <v>0.36342156197370734</v>
      </c>
      <c r="I62" s="23">
        <f t="shared" ref="I62:L62" si="36">H62</f>
        <v>0.36342156197370734</v>
      </c>
      <c r="J62" s="23">
        <f t="shared" si="36"/>
        <v>0.36342156197370734</v>
      </c>
      <c r="K62" s="23">
        <f t="shared" si="36"/>
        <v>0.36342156197370734</v>
      </c>
      <c r="L62" s="23">
        <f t="shared" si="36"/>
        <v>0.36342156197370734</v>
      </c>
    </row>
    <row r="63" spans="2:12" x14ac:dyDescent="0.25">
      <c r="B63" t="s">
        <v>267</v>
      </c>
      <c r="C63" s="23">
        <f>C35/Balance_Sheet!C21</f>
        <v>9.3775262732417139E-2</v>
      </c>
      <c r="D63" s="23">
        <f>D35/Balance_Sheet!D21</f>
        <v>9.475032010243277E-2</v>
      </c>
      <c r="E63" s="23">
        <f>E35/Balance_Sheet!E21</f>
        <v>7.7887815569445573E-2</v>
      </c>
      <c r="F63" s="23">
        <f>F35/Balance_Sheet!F21</f>
        <v>0.10012083549110995</v>
      </c>
      <c r="G63" s="23">
        <f>G35/Balance_Sheet!G21</f>
        <v>7.9825620784117354E-2</v>
      </c>
      <c r="H63" s="23">
        <f>G63</f>
        <v>7.9825620784117354E-2</v>
      </c>
      <c r="I63" s="23">
        <f t="shared" ref="I63:L63" si="37">H63</f>
        <v>7.9825620784117354E-2</v>
      </c>
      <c r="J63" s="23">
        <f t="shared" si="37"/>
        <v>7.9825620784117354E-2</v>
      </c>
      <c r="K63" s="23">
        <f t="shared" si="37"/>
        <v>7.9825620784117354E-2</v>
      </c>
      <c r="L63" s="23">
        <f t="shared" si="37"/>
        <v>7.9825620784117354E-2</v>
      </c>
    </row>
    <row r="64" spans="2:12" x14ac:dyDescent="0.25">
      <c r="B64" t="s">
        <v>268</v>
      </c>
      <c r="C64" s="23">
        <f>C47/Income_Statement!C45</f>
        <v>0.22390509528825736</v>
      </c>
      <c r="D64" s="23">
        <f>D47/Income_Statement!D45</f>
        <v>0.22361205798987283</v>
      </c>
      <c r="E64" s="23">
        <f>E47/Income_Statement!E45</f>
        <v>0.21969648499152181</v>
      </c>
      <c r="F64" s="23">
        <f>F47/Income_Statement!F45</f>
        <v>0.26649806090787276</v>
      </c>
      <c r="G64" s="23">
        <f>G47/Income_Statement!G45</f>
        <v>0.24446187475933556</v>
      </c>
      <c r="H64" s="23">
        <f>G64</f>
        <v>0.24446187475933556</v>
      </c>
      <c r="I64" s="23">
        <f t="shared" ref="I64:L64" si="38">H64</f>
        <v>0.24446187475933556</v>
      </c>
      <c r="J64" s="23">
        <f t="shared" si="38"/>
        <v>0.24446187475933556</v>
      </c>
      <c r="K64" s="23">
        <f t="shared" si="38"/>
        <v>0.24446187475933556</v>
      </c>
      <c r="L64" s="23">
        <f t="shared" si="38"/>
        <v>0.24446187475933556</v>
      </c>
    </row>
    <row r="65" spans="2:12" x14ac:dyDescent="0.25">
      <c r="B65" t="s">
        <v>269</v>
      </c>
      <c r="C65" s="23">
        <f>C53/Income_Statement!C51</f>
        <v>0</v>
      </c>
      <c r="D65" s="23">
        <f>D53/Income_Statement!D51</f>
        <v>0</v>
      </c>
      <c r="E65" s="23">
        <f>E53/Income_Statement!E51</f>
        <v>0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11E67263-6055-47E3-A627-D709937C3958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5944B-C819-4BBF-9404-3854451206F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30772.9</v>
      </c>
      <c r="D5" s="13">
        <f>Income_Statement!D5</f>
        <v>34742.1</v>
      </c>
      <c r="E5" s="13">
        <f>Income_Statement!E5</f>
        <v>36867.699999999997</v>
      </c>
      <c r="F5" s="13">
        <f>Income_Statement!F5</f>
        <v>37855.1</v>
      </c>
      <c r="G5" s="13">
        <f>Income_Statement!G5</f>
        <v>44645.98</v>
      </c>
    </row>
    <row r="6" spans="2:15" ht="18.75" x14ac:dyDescent="0.25">
      <c r="B6" s="12" t="str">
        <f>Income_Statement!B15</f>
        <v>Total Income</v>
      </c>
      <c r="C6" s="13">
        <f>Income_Statement!C15</f>
        <v>32190.446030760831</v>
      </c>
      <c r="D6" s="13">
        <f>Income_Statement!D15</f>
        <v>35277.31537615745</v>
      </c>
      <c r="E6" s="13">
        <f>Income_Statement!E15</f>
        <v>38061.13234267394</v>
      </c>
      <c r="F6" s="13">
        <f>Income_Statement!F15</f>
        <v>38643.220792442757</v>
      </c>
      <c r="G6" s="13">
        <f>Income_Statement!G15</f>
        <v>45759.30491377724</v>
      </c>
    </row>
  </sheetData>
  <hyperlinks>
    <hyperlink ref="F1" location="Index_Data!A1" tooltip="Hi click here To return Index page" display="Index_Data!A1" xr:uid="{B3213248-63D8-4D48-A126-67855602B0A6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08374-D959-4484-894F-79155816782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29204.5</v>
      </c>
      <c r="D5" s="13">
        <f>Balance_Sheet!D37</f>
        <v>33639.115376157446</v>
      </c>
      <c r="E5" s="13">
        <f>Balance_Sheet!E37</f>
        <v>37638.94771883139</v>
      </c>
      <c r="F5" s="13">
        <f>Balance_Sheet!F37</f>
        <v>39556.96851127415</v>
      </c>
      <c r="G5" s="13">
        <f>Balance_Sheet!G37</f>
        <v>49592.323425051385</v>
      </c>
    </row>
    <row r="6" spans="2:15" ht="18.75" x14ac:dyDescent="0.25">
      <c r="B6" s="12" t="str">
        <f>Balance_Sheet!B21</f>
        <v>Total Debt</v>
      </c>
      <c r="C6" s="13">
        <f>Balance_Sheet!C21</f>
        <v>1731.8</v>
      </c>
      <c r="D6" s="13">
        <f>Balance_Sheet!D21</f>
        <v>1405.8</v>
      </c>
      <c r="E6" s="13">
        <f>Balance_Sheet!E21</f>
        <v>2463.8000000000002</v>
      </c>
      <c r="F6" s="13">
        <f>Balance_Sheet!F21</f>
        <v>1737.9</v>
      </c>
      <c r="G6" s="13">
        <f>Balance_Sheet!G21</f>
        <v>2036.94</v>
      </c>
    </row>
  </sheetData>
  <hyperlinks>
    <hyperlink ref="F1" location="Index_Data!A1" tooltip="Hi click here To return Index page" display="Index_Data!A1" xr:uid="{54380A88-019D-4A2E-8461-D9477A1D68C3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2B17-A197-4BC1-9CD2-B018AF66DF4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29204.5</v>
      </c>
      <c r="D5" s="13">
        <f>Balance_Sheet!D37</f>
        <v>33639.115376157446</v>
      </c>
      <c r="E5" s="13">
        <f>Balance_Sheet!E37</f>
        <v>37638.94771883139</v>
      </c>
      <c r="F5" s="13">
        <f>Balance_Sheet!F37</f>
        <v>39556.96851127415</v>
      </c>
      <c r="G5" s="13">
        <f>Balance_Sheet!G37</f>
        <v>49592.323425051385</v>
      </c>
    </row>
    <row r="6" spans="2:15" ht="18.75" x14ac:dyDescent="0.25">
      <c r="B6" s="12" t="str">
        <f>Balance_Sheet!B33</f>
        <v>Total Current Liabilities</v>
      </c>
      <c r="C6" s="13">
        <f>Balance_Sheet!C33</f>
        <v>8123.2000000000007</v>
      </c>
      <c r="D6" s="13">
        <f>Balance_Sheet!D33</f>
        <v>10048.6</v>
      </c>
      <c r="E6" s="13">
        <f>Balance_Sheet!E33</f>
        <v>11453</v>
      </c>
      <c r="F6" s="13">
        <f>Balance_Sheet!F33</f>
        <v>11465.2</v>
      </c>
      <c r="G6" s="13">
        <f>Balance_Sheet!G33</f>
        <v>15452.7</v>
      </c>
    </row>
  </sheetData>
  <hyperlinks>
    <hyperlink ref="F1" location="Index_Data!A1" tooltip="Hi click here To return Index page" display="Index_Data!A1" xr:uid="{FE089A52-6818-44FD-9B9B-5C22AD0A0316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2F39-C34B-4B18-8776-83403EC6D4F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29204.5</v>
      </c>
      <c r="D5" s="13">
        <f>Balance_Sheet!D74</f>
        <v>33639.115376157453</v>
      </c>
      <c r="E5" s="13">
        <f>Balance_Sheet!E74</f>
        <v>37638.94771883139</v>
      </c>
      <c r="F5" s="13">
        <f>Balance_Sheet!F74</f>
        <v>39556.96851127415</v>
      </c>
      <c r="G5" s="13">
        <f>Balance_Sheet!G74</f>
        <v>49592.323425051385</v>
      </c>
    </row>
    <row r="6" spans="2:15" ht="18.75" x14ac:dyDescent="0.25">
      <c r="B6" s="12" t="str">
        <f>Balance_Sheet!B54</f>
        <v>Total Non Current Assets</v>
      </c>
      <c r="C6" s="13">
        <f>Balance_Sheet!C54</f>
        <v>11320.3</v>
      </c>
      <c r="D6" s="13">
        <f>Balance_Sheet!D54</f>
        <v>10733.899999999998</v>
      </c>
      <c r="E6" s="13">
        <f>Balance_Sheet!E54</f>
        <v>8807.7000000000007</v>
      </c>
      <c r="F6" s="13">
        <f>Balance_Sheet!F54</f>
        <v>11333.5</v>
      </c>
      <c r="G6" s="13">
        <f>Balance_Sheet!G54</f>
        <v>5916.3499999999985</v>
      </c>
    </row>
  </sheetData>
  <hyperlinks>
    <hyperlink ref="F1" location="Index_Data!A1" tooltip="Hi click here To return Index page" display="Index_Data!A1" xr:uid="{144DE271-5B10-400D-9321-549EE426464A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94CB-089B-4E44-B0E6-6F541FD3854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29204.5</v>
      </c>
      <c r="D5" s="13">
        <f>Balance_Sheet!D74</f>
        <v>33639.115376157453</v>
      </c>
      <c r="E5" s="13">
        <f>Balance_Sheet!E74</f>
        <v>37638.94771883139</v>
      </c>
      <c r="F5" s="13">
        <f>Balance_Sheet!F74</f>
        <v>39556.96851127415</v>
      </c>
      <c r="G5" s="13">
        <f>Balance_Sheet!G74</f>
        <v>49592.323425051385</v>
      </c>
    </row>
    <row r="6" spans="2:15" ht="18.75" x14ac:dyDescent="0.25">
      <c r="B6" s="12" t="str">
        <f>Balance_Sheet!B72</f>
        <v>Total Current Assets</v>
      </c>
      <c r="C6" s="13">
        <f>Balance_Sheet!C72</f>
        <v>17884.2</v>
      </c>
      <c r="D6" s="13">
        <f>Balance_Sheet!D72</f>
        <v>22905.215376157452</v>
      </c>
      <c r="E6" s="13">
        <f>Balance_Sheet!E72</f>
        <v>28831.247718831386</v>
      </c>
      <c r="F6" s="13">
        <f>Balance_Sheet!F72</f>
        <v>28223.46851127415</v>
      </c>
      <c r="G6" s="13">
        <f>Balance_Sheet!G72</f>
        <v>43675.973425051387</v>
      </c>
    </row>
  </sheetData>
  <hyperlinks>
    <hyperlink ref="F1" location="Index_Data!A1" tooltip="Hi click here To return Index page" display="Index_Data!A1" xr:uid="{ED38BCF5-B605-43A8-AB1D-857450612F49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2AE16-5B64-45F7-BA9F-7B0C65BE8B9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26063.3</v>
      </c>
      <c r="D5" s="13">
        <f>Income_Statement!D25</f>
        <v>28405.200000000004</v>
      </c>
      <c r="E5" s="13">
        <f>Income_Statement!E25</f>
        <v>31141.599999999999</v>
      </c>
      <c r="F5" s="13">
        <f>Income_Statement!F25</f>
        <v>31008.1</v>
      </c>
      <c r="G5" s="13">
        <f>Income_Statement!G25</f>
        <v>36626</v>
      </c>
    </row>
    <row r="6" spans="2:15" ht="18.75" x14ac:dyDescent="0.25">
      <c r="B6" s="12" t="str">
        <f>Income_Statement!B15</f>
        <v>Total Income</v>
      </c>
      <c r="C6" s="13">
        <f>Income_Statement!C15</f>
        <v>32190.446030760831</v>
      </c>
      <c r="D6" s="13">
        <f>Income_Statement!D15</f>
        <v>35277.31537615745</v>
      </c>
      <c r="E6" s="13">
        <f>Income_Statement!E15</f>
        <v>38061.13234267394</v>
      </c>
      <c r="F6" s="13">
        <f>Income_Statement!F15</f>
        <v>38643.220792442757</v>
      </c>
      <c r="G6" s="13">
        <f>Income_Statement!G15</f>
        <v>45759.30491377724</v>
      </c>
    </row>
  </sheetData>
  <hyperlinks>
    <hyperlink ref="F1" location="Index_Data!A1" tooltip="Hi click here To return Index page" display="Index_Data!A1" xr:uid="{1BBF064D-1E3C-413E-99FC-97C20D0DFBDE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86D3-EBBB-48DF-B8CD-74720F109B6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2843.3460307608329</v>
      </c>
      <c r="D5" s="13">
        <f>Income_Statement!D55</f>
        <v>2864.6153761574469</v>
      </c>
      <c r="E5" s="13">
        <f>Income_Statement!E55</f>
        <v>1629.7323426739413</v>
      </c>
      <c r="F5" s="13">
        <f>Income_Statement!F55</f>
        <v>2644.3207924427579</v>
      </c>
      <c r="G5" s="13">
        <f>Income_Statement!G55</f>
        <v>5631.1049137772397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3787.1460307608327</v>
      </c>
      <c r="D6" s="13">
        <f>Income_Statement!D49</f>
        <v>4355.3153761574467</v>
      </c>
      <c r="E6" s="13">
        <f>Income_Statement!E49</f>
        <v>4121.4323426739411</v>
      </c>
      <c r="F6" s="13">
        <f>Income_Statement!F49</f>
        <v>4403.5207924427577</v>
      </c>
      <c r="G6" s="13">
        <f>Income_Statement!G49</f>
        <v>5631.1049137772397</v>
      </c>
    </row>
  </sheetData>
  <hyperlinks>
    <hyperlink ref="F1" location="Index_Data!A1" tooltip="Hi click here To return Index page" display="Index_Data!A1" xr:uid="{BA44E8ED-68D9-41E2-BCAF-BA01F76D3345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DE119-D170-4B15-9B42-50ADD037B14B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5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441.7</v>
      </c>
      <c r="D5" s="4">
        <v>443.7</v>
      </c>
      <c r="E5" s="4">
        <v>435.8</v>
      </c>
      <c r="F5" s="4">
        <v>437</v>
      </c>
      <c r="G5" s="4">
        <v>438.81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441.7</v>
      </c>
      <c r="D7" s="6">
        <f t="shared" ref="D7:G7" si="0">D5+D6</f>
        <v>443.7</v>
      </c>
      <c r="E7" s="6">
        <f t="shared" si="0"/>
        <v>435.8</v>
      </c>
      <c r="F7" s="6">
        <f t="shared" si="0"/>
        <v>437</v>
      </c>
      <c r="G7" s="6">
        <f t="shared" si="0"/>
        <v>438.81</v>
      </c>
    </row>
    <row r="8" spans="2:15" ht="18.75" x14ac:dyDescent="0.25">
      <c r="B8" s="8" t="s">
        <v>7</v>
      </c>
      <c r="C8" s="5">
        <v>18398.7</v>
      </c>
      <c r="D8" s="5">
        <f>Income_Statement!D55+C8</f>
        <v>21263.315376157447</v>
      </c>
      <c r="E8" s="5">
        <f>Income_Statement!E55+D8</f>
        <v>22893.047718831389</v>
      </c>
      <c r="F8" s="5">
        <f>Income_Statement!F55+E8</f>
        <v>25537.368511274148</v>
      </c>
      <c r="G8" s="5">
        <f>Income_Statement!G55+F8</f>
        <v>31168.473425051387</v>
      </c>
    </row>
    <row r="9" spans="2:15" ht="18.75" x14ac:dyDescent="0.25">
      <c r="B9" s="9" t="s">
        <v>122</v>
      </c>
      <c r="C9" s="7">
        <f>C7+C8</f>
        <v>18840.400000000001</v>
      </c>
      <c r="D9" s="7">
        <f t="shared" ref="D9:G9" si="1">D7+D8</f>
        <v>21707.015376157447</v>
      </c>
      <c r="E9" s="7">
        <f t="shared" si="1"/>
        <v>23328.847718831388</v>
      </c>
      <c r="F9" s="7">
        <f t="shared" si="1"/>
        <v>25974.368511274148</v>
      </c>
      <c r="G9" s="7">
        <f t="shared" si="1"/>
        <v>31607.283425051388</v>
      </c>
    </row>
    <row r="10" spans="2:15" ht="18.75" x14ac:dyDescent="0.25">
      <c r="B10" s="8" t="s">
        <v>12</v>
      </c>
      <c r="C10" s="4">
        <v>771.1</v>
      </c>
      <c r="D10" s="4">
        <v>208.6</v>
      </c>
      <c r="E10" s="4">
        <v>178.7</v>
      </c>
      <c r="F10" s="4">
        <v>165.8</v>
      </c>
      <c r="G10" s="4">
        <v>142</v>
      </c>
    </row>
    <row r="11" spans="2:15" ht="18.75" x14ac:dyDescent="0.25">
      <c r="B11" s="8" t="s">
        <v>13</v>
      </c>
      <c r="C11" s="4">
        <v>5.8</v>
      </c>
      <c r="D11" s="4">
        <v>1.1000000000000001</v>
      </c>
      <c r="E11" s="4">
        <v>35.6</v>
      </c>
      <c r="F11" s="4">
        <v>76.099999999999994</v>
      </c>
      <c r="G11" s="4">
        <v>455.2</v>
      </c>
    </row>
    <row r="12" spans="2:15" ht="18.75" x14ac:dyDescent="0.25">
      <c r="B12" s="8" t="s">
        <v>18</v>
      </c>
      <c r="C12" s="5">
        <v>954.9</v>
      </c>
      <c r="D12" s="5">
        <v>1196.0999999999999</v>
      </c>
      <c r="E12" s="5">
        <v>2249.5</v>
      </c>
      <c r="F12" s="5">
        <v>1496</v>
      </c>
      <c r="G12" s="4">
        <v>1439.74</v>
      </c>
    </row>
    <row r="13" spans="2:15" ht="18.75" x14ac:dyDescent="0.25">
      <c r="B13" s="9" t="s">
        <v>123</v>
      </c>
      <c r="C13" s="7">
        <f>C10+C11+C12</f>
        <v>1731.8</v>
      </c>
      <c r="D13" s="7">
        <f t="shared" ref="D13:G13" si="2">D10+D11+D12</f>
        <v>1405.8</v>
      </c>
      <c r="E13" s="7">
        <f t="shared" si="2"/>
        <v>2463.8000000000002</v>
      </c>
      <c r="F13" s="7">
        <f t="shared" si="2"/>
        <v>1737.9</v>
      </c>
      <c r="G13" s="7">
        <f t="shared" si="2"/>
        <v>2036.94</v>
      </c>
    </row>
    <row r="14" spans="2:15" ht="18.75" x14ac:dyDescent="0.25">
      <c r="B14" s="8" t="s">
        <v>15</v>
      </c>
      <c r="C14" s="4">
        <v>555.1</v>
      </c>
      <c r="D14" s="4">
        <v>580.1</v>
      </c>
      <c r="E14" s="4">
        <v>669.1</v>
      </c>
      <c r="F14" s="4">
        <v>781</v>
      </c>
      <c r="G14" s="4">
        <v>881.1</v>
      </c>
    </row>
    <row r="15" spans="2:15" ht="18.75" x14ac:dyDescent="0.25">
      <c r="B15" s="8" t="s">
        <v>21</v>
      </c>
      <c r="C15" s="4">
        <v>403</v>
      </c>
      <c r="D15" s="4">
        <v>395.2</v>
      </c>
      <c r="E15" s="4">
        <v>436.4</v>
      </c>
      <c r="F15" s="4">
        <v>531.1</v>
      </c>
      <c r="G15" s="4">
        <v>671.6</v>
      </c>
    </row>
    <row r="16" spans="2:15" ht="18.75" x14ac:dyDescent="0.25">
      <c r="B16" s="8" t="s">
        <v>14</v>
      </c>
      <c r="C16" s="5">
        <v>606.20000000000005</v>
      </c>
      <c r="D16" s="5">
        <v>333.4</v>
      </c>
      <c r="E16" s="5">
        <v>2107.6</v>
      </c>
      <c r="F16" s="4">
        <v>1902.7</v>
      </c>
      <c r="G16" s="4">
        <v>2276.1</v>
      </c>
    </row>
    <row r="17" spans="2:7" ht="18.75" x14ac:dyDescent="0.25">
      <c r="B17" s="8" t="s">
        <v>19</v>
      </c>
      <c r="C17" s="5">
        <v>2036.8</v>
      </c>
      <c r="D17" s="5">
        <v>2489.3000000000002</v>
      </c>
      <c r="E17" s="5">
        <v>3256.6</v>
      </c>
      <c r="F17" s="5">
        <v>2785</v>
      </c>
      <c r="G17" s="5">
        <v>4094.7</v>
      </c>
    </row>
    <row r="18" spans="2:7" ht="18.75" x14ac:dyDescent="0.25">
      <c r="B18" s="8" t="s">
        <v>20</v>
      </c>
      <c r="C18" s="5">
        <v>4522.1000000000004</v>
      </c>
      <c r="D18" s="5">
        <v>6250.6</v>
      </c>
      <c r="E18" s="5">
        <v>4983.3</v>
      </c>
      <c r="F18" s="5">
        <v>5465.4</v>
      </c>
      <c r="G18" s="5">
        <v>7529.2</v>
      </c>
    </row>
    <row r="19" spans="2:7" ht="18.75" x14ac:dyDescent="0.25">
      <c r="B19" s="9" t="s">
        <v>22</v>
      </c>
      <c r="C19" s="7">
        <f>C14+C15+C16+C17+C18</f>
        <v>8123.2000000000007</v>
      </c>
      <c r="D19" s="7">
        <f t="shared" ref="D19:G19" si="3">D14+D15+D16+D17+D18</f>
        <v>10048.6</v>
      </c>
      <c r="E19" s="7">
        <f t="shared" si="3"/>
        <v>11453</v>
      </c>
      <c r="F19" s="7">
        <f t="shared" si="3"/>
        <v>11465.2</v>
      </c>
      <c r="G19" s="7">
        <f t="shared" si="3"/>
        <v>15452.7</v>
      </c>
    </row>
    <row r="20" spans="2:7" ht="18.75" x14ac:dyDescent="0.25">
      <c r="B20" s="8" t="s">
        <v>10</v>
      </c>
      <c r="C20" s="4">
        <v>509.1</v>
      </c>
      <c r="D20" s="4">
        <v>477.7</v>
      </c>
      <c r="E20" s="4">
        <v>393.3</v>
      </c>
      <c r="F20" s="4">
        <v>379.5</v>
      </c>
      <c r="G20" s="4">
        <v>495.4</v>
      </c>
    </row>
    <row r="21" spans="2:7" ht="18.75" x14ac:dyDescent="0.25">
      <c r="B21" s="9" t="s">
        <v>124</v>
      </c>
      <c r="C21" s="7">
        <f>C9+C13+C19+C20</f>
        <v>29204.5</v>
      </c>
      <c r="D21" s="7">
        <f t="shared" ref="D21:G21" si="4">D9+D13+D19+D20</f>
        <v>33639.115376157446</v>
      </c>
      <c r="E21" s="7">
        <f t="shared" si="4"/>
        <v>37638.94771883139</v>
      </c>
      <c r="F21" s="7">
        <f t="shared" si="4"/>
        <v>39556.96851127415</v>
      </c>
      <c r="G21" s="7">
        <f t="shared" si="4"/>
        <v>49592.323425051385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3171.6</v>
      </c>
      <c r="D23" s="5">
        <v>2793.7</v>
      </c>
      <c r="E23" s="5">
        <v>3978.3</v>
      </c>
      <c r="F23" s="5">
        <v>3559.5</v>
      </c>
      <c r="G23" s="5">
        <v>6585.7</v>
      </c>
    </row>
    <row r="24" spans="2:7" ht="18.75" x14ac:dyDescent="0.25">
      <c r="B24" s="8" t="s">
        <v>27</v>
      </c>
      <c r="C24" s="4">
        <v>1678.1</v>
      </c>
      <c r="D24" s="5">
        <v>1451.2</v>
      </c>
      <c r="E24" s="5">
        <v>1506</v>
      </c>
      <c r="F24" s="5">
        <v>1450.8</v>
      </c>
      <c r="G24" s="5">
        <v>0</v>
      </c>
    </row>
    <row r="25" spans="2:7" ht="18.75" x14ac:dyDescent="0.25">
      <c r="B25" s="8" t="s">
        <v>125</v>
      </c>
      <c r="C25" s="4"/>
      <c r="D25" s="5">
        <f>Income_Statement!D31</f>
        <v>1129.2</v>
      </c>
      <c r="E25" s="5">
        <f>Income_Statement!E31+D25</f>
        <v>2575</v>
      </c>
      <c r="F25" s="5">
        <f>Income_Statement!F31+E25</f>
        <v>4032.7</v>
      </c>
      <c r="G25" s="5">
        <f>Income_Statement!G31+F25</f>
        <v>5553.1</v>
      </c>
    </row>
    <row r="26" spans="2:7" ht="18.75" x14ac:dyDescent="0.25">
      <c r="B26" s="9" t="s">
        <v>126</v>
      </c>
      <c r="C26" s="7">
        <f>C23+C24-C25</f>
        <v>4849.7</v>
      </c>
      <c r="D26" s="7">
        <f t="shared" ref="D26:G26" si="5">D23+D24-D25</f>
        <v>3115.7</v>
      </c>
      <c r="E26" s="7">
        <f t="shared" si="5"/>
        <v>2909.3</v>
      </c>
      <c r="F26" s="7">
        <f t="shared" si="5"/>
        <v>977.60000000000036</v>
      </c>
      <c r="G26" s="7">
        <f t="shared" si="5"/>
        <v>1032.5999999999995</v>
      </c>
    </row>
    <row r="27" spans="2:7" ht="18.75" x14ac:dyDescent="0.25">
      <c r="B27" s="8" t="s">
        <v>30</v>
      </c>
      <c r="C27" s="4">
        <v>1245.8</v>
      </c>
      <c r="D27" s="4">
        <v>752</v>
      </c>
      <c r="E27" s="4">
        <v>236</v>
      </c>
      <c r="F27" s="4">
        <v>575.70000000000005</v>
      </c>
      <c r="G27" s="5">
        <v>447.85</v>
      </c>
    </row>
    <row r="28" spans="2:7" ht="18.75" x14ac:dyDescent="0.25">
      <c r="B28" s="8" t="s">
        <v>36</v>
      </c>
      <c r="C28" s="5">
        <v>3444.9</v>
      </c>
      <c r="D28" s="5">
        <v>6589.9</v>
      </c>
      <c r="E28" s="5">
        <v>5612.3</v>
      </c>
      <c r="F28" s="5">
        <v>9661.9</v>
      </c>
      <c r="G28" s="5">
        <v>4435.8999999999996</v>
      </c>
    </row>
    <row r="29" spans="2:7" ht="18.75" x14ac:dyDescent="0.25">
      <c r="B29" s="8" t="s">
        <v>28</v>
      </c>
      <c r="C29" s="4">
        <v>1779.9</v>
      </c>
      <c r="D29" s="4">
        <v>276.3</v>
      </c>
      <c r="E29" s="4">
        <v>50.1</v>
      </c>
      <c r="F29" s="4">
        <v>118.3</v>
      </c>
      <c r="G29" s="4">
        <v>0</v>
      </c>
    </row>
    <row r="30" spans="2:7" ht="18.75" x14ac:dyDescent="0.25">
      <c r="B30" s="9" t="s">
        <v>127</v>
      </c>
      <c r="C30" s="7">
        <f>C26+C27+C28+C29</f>
        <v>11320.3</v>
      </c>
      <c r="D30" s="7">
        <f t="shared" ref="D30:G30" si="6">D26+D27+D28+D29</f>
        <v>10733.899999999998</v>
      </c>
      <c r="E30" s="7">
        <f t="shared" si="6"/>
        <v>8807.7000000000007</v>
      </c>
      <c r="F30" s="7">
        <f t="shared" si="6"/>
        <v>11333.5</v>
      </c>
      <c r="G30" s="7">
        <f t="shared" si="6"/>
        <v>5916.3499999999985</v>
      </c>
    </row>
    <row r="31" spans="2:7" ht="18.75" x14ac:dyDescent="0.25">
      <c r="B31" s="8" t="s">
        <v>31</v>
      </c>
      <c r="C31" s="4">
        <v>576.6</v>
      </c>
      <c r="D31" s="4">
        <v>609.1</v>
      </c>
      <c r="E31" s="4">
        <v>844.3</v>
      </c>
      <c r="F31" s="4">
        <v>913.3</v>
      </c>
      <c r="G31" s="4">
        <v>819.1</v>
      </c>
    </row>
    <row r="32" spans="2:7" ht="18.75" x14ac:dyDescent="0.25">
      <c r="B32" s="8" t="s">
        <v>32</v>
      </c>
      <c r="C32" s="4">
        <v>5.2</v>
      </c>
      <c r="D32" s="4">
        <v>4.3</v>
      </c>
      <c r="E32" s="4">
        <v>4.5</v>
      </c>
      <c r="F32" s="4">
        <v>4.7</v>
      </c>
      <c r="G32" s="4">
        <v>13.6</v>
      </c>
    </row>
    <row r="33" spans="2:7" ht="18.75" x14ac:dyDescent="0.25">
      <c r="B33" s="8" t="s">
        <v>33</v>
      </c>
      <c r="C33" s="5">
        <v>2640.3</v>
      </c>
      <c r="D33" s="5">
        <v>3178.2</v>
      </c>
      <c r="E33" s="5">
        <v>4174.3</v>
      </c>
      <c r="F33" s="5">
        <v>3792.2</v>
      </c>
      <c r="G33" s="5">
        <v>5122.96</v>
      </c>
    </row>
    <row r="34" spans="2:7" ht="18.75" x14ac:dyDescent="0.25">
      <c r="B34" s="8" t="s">
        <v>40</v>
      </c>
      <c r="C34" s="4">
        <v>150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5">
        <v>4904</v>
      </c>
      <c r="D35" s="5">
        <v>5583.4</v>
      </c>
      <c r="E35" s="5">
        <v>6798.7</v>
      </c>
      <c r="F35" s="5">
        <v>6261.2</v>
      </c>
      <c r="G35" s="5">
        <v>4071.4</v>
      </c>
    </row>
    <row r="36" spans="2:7" ht="18.75" x14ac:dyDescent="0.25">
      <c r="B36" s="8" t="s">
        <v>37</v>
      </c>
      <c r="C36" s="4">
        <v>65.900000000000006</v>
      </c>
      <c r="D36" s="4">
        <v>75.2</v>
      </c>
      <c r="E36" s="4">
        <v>35.799999999999997</v>
      </c>
      <c r="F36" s="4">
        <v>24.2</v>
      </c>
      <c r="G36" s="4">
        <v>40.5</v>
      </c>
    </row>
    <row r="37" spans="2:7" ht="18.75" x14ac:dyDescent="0.25">
      <c r="B37" s="8" t="s">
        <v>38</v>
      </c>
      <c r="C37" s="5">
        <v>6497.9</v>
      </c>
      <c r="D37" s="5">
        <v>6958.6</v>
      </c>
      <c r="E37" s="5">
        <v>7577.2</v>
      </c>
      <c r="F37" s="5">
        <v>6472.8</v>
      </c>
      <c r="G37" s="5">
        <v>11933.4</v>
      </c>
    </row>
    <row r="38" spans="2:7" ht="18.75" x14ac:dyDescent="0.25">
      <c r="B38" s="8" t="s">
        <v>39</v>
      </c>
      <c r="C38" s="5">
        <v>3044.3</v>
      </c>
      <c r="D38" s="5">
        <f>CashFlow_Statement!D48+C38</f>
        <v>6496.4153761574471</v>
      </c>
      <c r="E38" s="5">
        <f>CashFlow_Statement!E48+D38</f>
        <v>9396.4477188313867</v>
      </c>
      <c r="F38" s="5">
        <f>CashFlow_Statement!F48+E38</f>
        <v>10755.068511274147</v>
      </c>
      <c r="G38" s="5">
        <f>CashFlow_Statement!G48+F38</f>
        <v>21675.013425051387</v>
      </c>
    </row>
    <row r="39" spans="2:7" ht="18.75" x14ac:dyDescent="0.25">
      <c r="B39" s="9" t="s">
        <v>42</v>
      </c>
      <c r="C39" s="7">
        <f>C31+C32+C33+C34+C35+C36+C37+C38</f>
        <v>17884.2</v>
      </c>
      <c r="D39" s="7">
        <f t="shared" ref="D39:G39" si="7">D31+D32+D33+D34+D35+D36+D37+D38</f>
        <v>22905.215376157452</v>
      </c>
      <c r="E39" s="7">
        <f t="shared" si="7"/>
        <v>28831.247718831386</v>
      </c>
      <c r="F39" s="7">
        <f t="shared" si="7"/>
        <v>28223.46851127415</v>
      </c>
      <c r="G39" s="7">
        <f t="shared" si="7"/>
        <v>43675.973425051387</v>
      </c>
    </row>
    <row r="40" spans="2:7" ht="18.75" x14ac:dyDescent="0.25">
      <c r="B40" s="9" t="s">
        <v>43</v>
      </c>
      <c r="C40" s="7">
        <f>C30+C39</f>
        <v>29204.5</v>
      </c>
      <c r="D40" s="7">
        <f t="shared" ref="D40:G40" si="8">D30+D39</f>
        <v>33639.115376157453</v>
      </c>
      <c r="E40" s="7">
        <f t="shared" si="8"/>
        <v>37638.94771883139</v>
      </c>
      <c r="F40" s="7">
        <f t="shared" si="8"/>
        <v>39556.96851127415</v>
      </c>
      <c r="G40" s="7">
        <f t="shared" si="8"/>
        <v>49592.323425051385</v>
      </c>
    </row>
  </sheetData>
  <mergeCells count="1">
    <mergeCell ref="B3:G3"/>
  </mergeCells>
  <hyperlinks>
    <hyperlink ref="F1" location="Index_Data!A1" tooltip="Hi click here To return Index page" display="Index_Data!A1" xr:uid="{17E2CF43-79EC-415D-816F-B863E6CBCD02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19FCE-DD77-4BC0-BC61-25D84FB20732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7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30772.9</v>
      </c>
      <c r="D5" s="5">
        <v>34742.1</v>
      </c>
      <c r="E5" s="5">
        <v>36867.699999999997</v>
      </c>
      <c r="F5" s="5">
        <v>37855.1</v>
      </c>
      <c r="G5" s="5">
        <v>44645.98</v>
      </c>
    </row>
    <row r="6" spans="2:15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30772.9</v>
      </c>
      <c r="D7" s="7">
        <f t="shared" ref="D7:G7" si="0">D5 - D6</f>
        <v>34742.1</v>
      </c>
      <c r="E7" s="7">
        <f t="shared" si="0"/>
        <v>36867.699999999997</v>
      </c>
      <c r="F7" s="7">
        <f t="shared" si="0"/>
        <v>37855.1</v>
      </c>
      <c r="G7" s="7">
        <f t="shared" si="0"/>
        <v>44645.98</v>
      </c>
    </row>
    <row r="8" spans="2:15" ht="18.75" x14ac:dyDescent="0.25">
      <c r="B8" s="8" t="s">
        <v>59</v>
      </c>
      <c r="C8" s="5">
        <v>1416.5</v>
      </c>
      <c r="D8" s="4">
        <v>534.20000000000005</v>
      </c>
      <c r="E8" s="5">
        <v>1192.4000000000001</v>
      </c>
      <c r="F8" s="4">
        <v>787.1</v>
      </c>
      <c r="G8" s="5">
        <v>1112.3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32189.4</v>
      </c>
      <c r="D10" s="7">
        <f t="shared" ref="D10:G10" si="1">SUM(D7:D9)</f>
        <v>35276.299999999996</v>
      </c>
      <c r="E10" s="7">
        <f t="shared" si="1"/>
        <v>38060.1</v>
      </c>
      <c r="F10" s="7">
        <f t="shared" si="1"/>
        <v>38642.199999999997</v>
      </c>
      <c r="G10" s="7">
        <f t="shared" si="1"/>
        <v>45758.280000000006</v>
      </c>
    </row>
    <row r="11" spans="2:15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15" ht="18.75" x14ac:dyDescent="0.25">
      <c r="B12" s="8" t="s">
        <v>64</v>
      </c>
      <c r="C12" s="4">
        <v>3888</v>
      </c>
      <c r="D12" s="5">
        <v>4349.7</v>
      </c>
      <c r="E12" s="5">
        <v>5440.8</v>
      </c>
      <c r="F12" s="5">
        <v>4974.3</v>
      </c>
      <c r="G12" s="5">
        <v>0</v>
      </c>
    </row>
    <row r="13" spans="2:15" ht="18.75" x14ac:dyDescent="0.25">
      <c r="B13" s="8" t="s">
        <v>66</v>
      </c>
      <c r="C13" s="5">
        <v>16624</v>
      </c>
      <c r="D13" s="5">
        <v>17507.900000000001</v>
      </c>
      <c r="E13" s="5">
        <v>18810</v>
      </c>
      <c r="F13" s="5">
        <v>19297.3</v>
      </c>
      <c r="G13" s="5">
        <v>22285.9</v>
      </c>
    </row>
    <row r="14" spans="2:15" ht="18.75" x14ac:dyDescent="0.25">
      <c r="B14" s="8" t="s">
        <v>69</v>
      </c>
      <c r="C14" s="5">
        <v>5551.3</v>
      </c>
      <c r="D14" s="5">
        <v>6547.6</v>
      </c>
      <c r="E14" s="5">
        <v>6890.8</v>
      </c>
      <c r="F14" s="5">
        <v>6736.5</v>
      </c>
      <c r="G14" s="5">
        <v>14340.1</v>
      </c>
    </row>
    <row r="15" spans="2:15" ht="18.75" x14ac:dyDescent="0.25">
      <c r="B15" s="9" t="s">
        <v>108</v>
      </c>
      <c r="C15" s="7">
        <f>C11+C12+C13+C14</f>
        <v>26063.3</v>
      </c>
      <c r="D15" s="7">
        <f t="shared" ref="D15:G15" si="2">D11+D12+D13+D14</f>
        <v>28405.200000000004</v>
      </c>
      <c r="E15" s="7">
        <f t="shared" si="2"/>
        <v>31141.599999999999</v>
      </c>
      <c r="F15" s="7">
        <f t="shared" si="2"/>
        <v>31008.1</v>
      </c>
      <c r="G15" s="7">
        <f t="shared" si="2"/>
        <v>36626</v>
      </c>
    </row>
    <row r="16" spans="2:15" ht="18.75" x14ac:dyDescent="0.25">
      <c r="B16" s="9" t="s">
        <v>109</v>
      </c>
      <c r="C16" s="7">
        <f xml:space="preserve"> C10-C15-C8</f>
        <v>4709.6000000000022</v>
      </c>
      <c r="D16" s="7">
        <f t="shared" ref="D16:G16" si="3" xml:space="preserve"> D10-D15-D8</f>
        <v>6336.8999999999915</v>
      </c>
      <c r="E16" s="7">
        <f t="shared" si="3"/>
        <v>5726.1</v>
      </c>
      <c r="F16" s="7">
        <f t="shared" si="3"/>
        <v>6846.9999999999982</v>
      </c>
      <c r="G16" s="7">
        <f t="shared" si="3"/>
        <v>8019.9800000000059</v>
      </c>
    </row>
    <row r="17" spans="2:7" ht="18.75" x14ac:dyDescent="0.25">
      <c r="B17" s="9" t="s">
        <v>110</v>
      </c>
      <c r="C17" s="7">
        <f xml:space="preserve"> C16+C8</f>
        <v>6126.1000000000022</v>
      </c>
      <c r="D17" s="7">
        <f t="shared" ref="D17:G17" si="4" xml:space="preserve"> D16+D8</f>
        <v>6871.0999999999913</v>
      </c>
      <c r="E17" s="7">
        <f t="shared" si="4"/>
        <v>6918.5</v>
      </c>
      <c r="F17" s="7">
        <f t="shared" si="4"/>
        <v>7634.0999999999985</v>
      </c>
      <c r="G17" s="7">
        <f t="shared" si="4"/>
        <v>9132.2800000000061</v>
      </c>
    </row>
    <row r="18" spans="2:7" ht="18.75" x14ac:dyDescent="0.25">
      <c r="B18" s="8" t="s">
        <v>68</v>
      </c>
      <c r="C18" s="5">
        <v>1085</v>
      </c>
      <c r="D18" s="5">
        <v>1129.2</v>
      </c>
      <c r="E18" s="5">
        <v>1445.8</v>
      </c>
      <c r="F18" s="5">
        <v>1457.7</v>
      </c>
      <c r="G18" s="5">
        <v>1520.4</v>
      </c>
    </row>
    <row r="19" spans="2:7" ht="18.75" x14ac:dyDescent="0.25">
      <c r="B19" s="9" t="s">
        <v>111</v>
      </c>
      <c r="C19" s="7">
        <f xml:space="preserve"> C17-C18</f>
        <v>5041.1000000000022</v>
      </c>
      <c r="D19" s="7">
        <f t="shared" ref="D19:G19" si="5" xml:space="preserve"> D17-D18</f>
        <v>5741.8999999999915</v>
      </c>
      <c r="E19" s="7">
        <f t="shared" si="5"/>
        <v>5472.7</v>
      </c>
      <c r="F19" s="7">
        <f t="shared" si="5"/>
        <v>6176.3999999999987</v>
      </c>
      <c r="G19" s="7">
        <f t="shared" si="5"/>
        <v>7611.8800000000065</v>
      </c>
    </row>
    <row r="20" spans="2:7" ht="18.75" x14ac:dyDescent="0.25">
      <c r="B20" s="8" t="s">
        <v>67</v>
      </c>
      <c r="C20" s="4">
        <v>162.4</v>
      </c>
      <c r="D20" s="4">
        <v>133.19999999999999</v>
      </c>
      <c r="E20" s="4">
        <v>191.9</v>
      </c>
      <c r="F20" s="4">
        <v>174</v>
      </c>
      <c r="G20" s="4">
        <v>162.6</v>
      </c>
    </row>
    <row r="21" spans="2:7" ht="18.75" x14ac:dyDescent="0.25">
      <c r="B21" s="9" t="s">
        <v>112</v>
      </c>
      <c r="C21" s="7">
        <f xml:space="preserve"> C19-C20</f>
        <v>4878.7000000000025</v>
      </c>
      <c r="D21" s="7">
        <f t="shared" ref="D21:G21" si="6" xml:space="preserve"> D19-D20</f>
        <v>5608.6999999999916</v>
      </c>
      <c r="E21" s="7">
        <f t="shared" si="6"/>
        <v>5280.8</v>
      </c>
      <c r="F21" s="7">
        <f t="shared" si="6"/>
        <v>6002.3999999999987</v>
      </c>
      <c r="G21" s="7">
        <f t="shared" si="6"/>
        <v>7449.2800000000061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4878.7000000000025</v>
      </c>
      <c r="D23" s="7">
        <f t="shared" ref="D23:G23" si="7" xml:space="preserve"> D21+D22</f>
        <v>5608.6999999999916</v>
      </c>
      <c r="E23" s="7">
        <f t="shared" si="7"/>
        <v>5280.8</v>
      </c>
      <c r="F23" s="7">
        <f t="shared" si="7"/>
        <v>6002.3999999999987</v>
      </c>
      <c r="G23" s="7">
        <f t="shared" si="7"/>
        <v>7449.2800000000061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2.8</v>
      </c>
    </row>
    <row r="25" spans="2:7" ht="18.75" x14ac:dyDescent="0.25">
      <c r="B25" s="9" t="s">
        <v>115</v>
      </c>
      <c r="C25" s="7">
        <f xml:space="preserve"> C23+C24</f>
        <v>4878.7000000000025</v>
      </c>
      <c r="D25" s="7">
        <f t="shared" ref="D25:G25" si="8" xml:space="preserve"> D23+D24</f>
        <v>5608.6999999999916</v>
      </c>
      <c r="E25" s="7">
        <f t="shared" si="8"/>
        <v>5280.8</v>
      </c>
      <c r="F25" s="7">
        <f t="shared" si="8"/>
        <v>6002.3999999999987</v>
      </c>
      <c r="G25" s="7">
        <f t="shared" si="8"/>
        <v>7452.0800000000063</v>
      </c>
    </row>
    <row r="26" spans="2:7" ht="18.75" x14ac:dyDescent="0.25">
      <c r="B26" s="8" t="s">
        <v>79</v>
      </c>
      <c r="C26" s="5">
        <v>1092.5999999999999</v>
      </c>
      <c r="D26" s="5">
        <v>1254.4000000000001</v>
      </c>
      <c r="E26" s="5">
        <v>1160.4000000000001</v>
      </c>
      <c r="F26" s="5">
        <v>1599.9</v>
      </c>
      <c r="G26" s="5">
        <v>1822</v>
      </c>
    </row>
    <row r="27" spans="2:7" ht="18.75" x14ac:dyDescent="0.25">
      <c r="B27" s="9" t="s">
        <v>116</v>
      </c>
      <c r="C27" s="7">
        <f xml:space="preserve"> C25-C26</f>
        <v>3786.1000000000026</v>
      </c>
      <c r="D27" s="7">
        <f t="shared" ref="D27:G27" si="9" xml:space="preserve"> D25-D26</f>
        <v>4354.299999999992</v>
      </c>
      <c r="E27" s="7">
        <f t="shared" si="9"/>
        <v>4120.3999999999996</v>
      </c>
      <c r="F27" s="7">
        <f t="shared" si="9"/>
        <v>4402.4999999999982</v>
      </c>
      <c r="G27" s="7">
        <f t="shared" si="9"/>
        <v>5630.0800000000063</v>
      </c>
    </row>
    <row r="28" spans="2:7" ht="18.75" x14ac:dyDescent="0.25">
      <c r="B28" s="8" t="s">
        <v>88</v>
      </c>
      <c r="C28" s="4">
        <v>943.8</v>
      </c>
      <c r="D28" s="5">
        <v>1490.7</v>
      </c>
      <c r="E28" s="5">
        <v>2491.6999999999998</v>
      </c>
      <c r="F28" s="5">
        <v>1759.2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2842.3000000000029</v>
      </c>
      <c r="D30" s="7">
        <f t="shared" ref="D30:G30" si="10" xml:space="preserve"> D27-D28-D29</f>
        <v>2863.5999999999922</v>
      </c>
      <c r="E30" s="7">
        <f t="shared" si="10"/>
        <v>1628.6999999999998</v>
      </c>
      <c r="F30" s="7">
        <f t="shared" si="10"/>
        <v>2643.2999999999984</v>
      </c>
      <c r="G30" s="7">
        <f t="shared" si="10"/>
        <v>5630.0800000000063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43</v>
      </c>
      <c r="D34" s="4">
        <v>48</v>
      </c>
      <c r="E34" s="4">
        <v>46</v>
      </c>
      <c r="F34" s="4">
        <v>51</v>
      </c>
      <c r="G34" s="4">
        <v>63</v>
      </c>
    </row>
    <row r="35" spans="2:7" ht="18.75" x14ac:dyDescent="0.25">
      <c r="B35" s="8" t="s">
        <v>118</v>
      </c>
      <c r="C35" s="4">
        <f>C27/C34</f>
        <v>88.048837209302391</v>
      </c>
      <c r="D35" s="4">
        <f t="shared" ref="D35:G35" si="11">D27/D34</f>
        <v>90.714583333333167</v>
      </c>
      <c r="E35" s="4">
        <f t="shared" si="11"/>
        <v>89.573913043478257</v>
      </c>
      <c r="F35" s="4">
        <f t="shared" si="11"/>
        <v>86.323529411764667</v>
      </c>
      <c r="G35" s="4">
        <f t="shared" si="11"/>
        <v>89.366349206349312</v>
      </c>
    </row>
  </sheetData>
  <mergeCells count="1">
    <mergeCell ref="B3:G3"/>
  </mergeCells>
  <hyperlinks>
    <hyperlink ref="F1" location="Index_Data!A1" tooltip="Hi click here To return Index page" display="Index_Data!A1" xr:uid="{923F9380-8398-47E5-870C-792D6F998231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278FB-778B-49B3-A998-9263E76A0D14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5.425781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441.7</v>
      </c>
      <c r="D5" s="4">
        <v>443.7</v>
      </c>
      <c r="E5" s="4">
        <v>435.8</v>
      </c>
      <c r="F5" s="4">
        <v>437</v>
      </c>
      <c r="G5" s="4">
        <v>438.81</v>
      </c>
      <c r="H5" s="24">
        <f>G5</f>
        <v>438.81</v>
      </c>
      <c r="I5" s="24">
        <f t="shared" ref="I5:L5" si="0">H5</f>
        <v>438.81</v>
      </c>
      <c r="J5" s="24">
        <f t="shared" si="0"/>
        <v>438.81</v>
      </c>
      <c r="K5" s="24">
        <f t="shared" si="0"/>
        <v>438.81</v>
      </c>
      <c r="L5" s="24">
        <f t="shared" si="0"/>
        <v>438.81</v>
      </c>
    </row>
    <row r="6" spans="2:15" x14ac:dyDescent="0.25">
      <c r="B6" s="17" t="s">
        <v>203</v>
      </c>
      <c r="C6" s="18">
        <f>C5/Balance_Sheet!C74</f>
        <v>1.5124381516547106E-2</v>
      </c>
      <c r="D6" s="18">
        <f>D5/Balance_Sheet!D74</f>
        <v>1.3190002027059345E-2</v>
      </c>
      <c r="E6" s="18">
        <f>E5/Balance_Sheet!E74</f>
        <v>1.1578432087302006E-2</v>
      </c>
      <c r="F6" s="18">
        <f>F5/Balance_Sheet!F74</f>
        <v>1.1047358188619799E-2</v>
      </c>
      <c r="G6" s="18">
        <f>G5/Balance_Sheet!G74</f>
        <v>8.848345261805916E-3</v>
      </c>
      <c r="H6" s="25">
        <f>G6</f>
        <v>8.848345261805916E-3</v>
      </c>
      <c r="I6" s="25">
        <f t="shared" ref="I6:L6" si="1">H6</f>
        <v>8.848345261805916E-3</v>
      </c>
      <c r="J6" s="25">
        <f t="shared" si="1"/>
        <v>8.848345261805916E-3</v>
      </c>
      <c r="K6" s="25">
        <f t="shared" si="1"/>
        <v>8.848345261805916E-3</v>
      </c>
      <c r="L6" s="25">
        <f t="shared" si="1"/>
        <v>8.848345261805916E-3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441.7</v>
      </c>
      <c r="D9" s="6">
        <f t="shared" ref="D9:L9" si="4">D5+D7</f>
        <v>443.7</v>
      </c>
      <c r="E9" s="6">
        <f t="shared" si="4"/>
        <v>435.8</v>
      </c>
      <c r="F9" s="6">
        <f t="shared" si="4"/>
        <v>437</v>
      </c>
      <c r="G9" s="6">
        <f t="shared" si="4"/>
        <v>438.81</v>
      </c>
      <c r="H9" s="26">
        <f t="shared" si="4"/>
        <v>438.81</v>
      </c>
      <c r="I9" s="26">
        <f t="shared" si="4"/>
        <v>438.81</v>
      </c>
      <c r="J9" s="26">
        <f t="shared" si="4"/>
        <v>438.81</v>
      </c>
      <c r="K9" s="26">
        <f t="shared" si="4"/>
        <v>438.81</v>
      </c>
      <c r="L9" s="26">
        <f t="shared" si="4"/>
        <v>438.81</v>
      </c>
    </row>
    <row r="10" spans="2:15" x14ac:dyDescent="0.25">
      <c r="B10" s="19" t="s">
        <v>205</v>
      </c>
      <c r="C10" s="20">
        <f>C9/Balance_Sheet!C74</f>
        <v>1.5124381516547106E-2</v>
      </c>
      <c r="D10" s="20">
        <f>D9/Balance_Sheet!D74</f>
        <v>1.3190002027059345E-2</v>
      </c>
      <c r="E10" s="20">
        <f>E9/Balance_Sheet!E74</f>
        <v>1.1578432087302006E-2</v>
      </c>
      <c r="F10" s="20">
        <f>F9/Balance_Sheet!F74</f>
        <v>1.1047358188619799E-2</v>
      </c>
      <c r="G10" s="20">
        <f>G9/Balance_Sheet!G74</f>
        <v>8.848345261805916E-3</v>
      </c>
      <c r="H10" s="27">
        <f>H9/Balance_Sheet!H74</f>
        <v>8.1483621517019003E-3</v>
      </c>
      <c r="I10" s="27">
        <f>I9/Balance_Sheet!I74</f>
        <v>7.218738459004866E-3</v>
      </c>
      <c r="J10" s="27">
        <f>J9/Balance_Sheet!J74</f>
        <v>6.3170694376013569E-3</v>
      </c>
      <c r="K10" s="27">
        <f>K9/Balance_Sheet!K74</f>
        <v>5.4846589461430405E-3</v>
      </c>
      <c r="L10" s="27">
        <f>L9/Balance_Sheet!L74</f>
        <v>4.9364862522811477E-3</v>
      </c>
    </row>
    <row r="11" spans="2:15" ht="18.75" x14ac:dyDescent="0.25">
      <c r="B11" s="8" t="s">
        <v>7</v>
      </c>
      <c r="C11" s="5">
        <v>18398.7</v>
      </c>
      <c r="D11" s="5">
        <f>Income_Statement!D55+C11</f>
        <v>21263.315376157447</v>
      </c>
      <c r="E11" s="5">
        <f>Income_Statement!E55+D11</f>
        <v>22893.047718831389</v>
      </c>
      <c r="F11" s="5">
        <f>Income_Statement!F55+E11</f>
        <v>25537.368511274148</v>
      </c>
      <c r="G11" s="5">
        <f>Income_Statement!G55+F11</f>
        <v>31168.473425051387</v>
      </c>
      <c r="H11" s="28">
        <f>H74-H9-H21-H33-H35</f>
        <v>34326.007843452462</v>
      </c>
      <c r="I11" s="28">
        <f t="shared" ref="I11:L11" si="5">I74-I9-I21-I33-I35</f>
        <v>38802.99889318669</v>
      </c>
      <c r="J11" s="28">
        <f t="shared" si="5"/>
        <v>44404.189092768887</v>
      </c>
      <c r="K11" s="28">
        <f t="shared" si="5"/>
        <v>51210.042932840312</v>
      </c>
      <c r="L11" s="28">
        <f t="shared" si="5"/>
        <v>56945.387766739521</v>
      </c>
    </row>
    <row r="12" spans="2:15" x14ac:dyDescent="0.25">
      <c r="B12" s="17" t="s">
        <v>206</v>
      </c>
      <c r="C12" s="18">
        <f>C11/Balance_Sheet!C74</f>
        <v>0.62999537742471201</v>
      </c>
      <c r="D12" s="18">
        <f>D11/Balance_Sheet!D74</f>
        <v>0.63210090807644548</v>
      </c>
      <c r="E12" s="18">
        <f>E11/Balance_Sheet!E74</f>
        <v>0.60822762341407377</v>
      </c>
      <c r="F12" s="18">
        <f>F11/Balance_Sheet!F74</f>
        <v>0.64558457011172965</v>
      </c>
      <c r="G12" s="18">
        <f>G11/Balance_Sheet!G74</f>
        <v>0.62849391342101835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18840.400000000001</v>
      </c>
      <c r="D13" s="7">
        <f t="shared" ref="D13:L13" si="6">D9+D11</f>
        <v>21707.015376157447</v>
      </c>
      <c r="E13" s="7">
        <f t="shared" si="6"/>
        <v>23328.847718831388</v>
      </c>
      <c r="F13" s="7">
        <f t="shared" si="6"/>
        <v>25974.368511274148</v>
      </c>
      <c r="G13" s="7">
        <f t="shared" si="6"/>
        <v>31607.283425051388</v>
      </c>
      <c r="H13" s="29">
        <f t="shared" si="6"/>
        <v>34764.81784345246</v>
      </c>
      <c r="I13" s="29">
        <f t="shared" si="6"/>
        <v>39241.808893186688</v>
      </c>
      <c r="J13" s="29">
        <f t="shared" si="6"/>
        <v>44842.999092768885</v>
      </c>
      <c r="K13" s="29">
        <f t="shared" si="6"/>
        <v>51648.852932840309</v>
      </c>
      <c r="L13" s="29">
        <f t="shared" si="6"/>
        <v>57384.197766739519</v>
      </c>
    </row>
    <row r="14" spans="2:15" x14ac:dyDescent="0.25">
      <c r="B14" s="19" t="s">
        <v>207</v>
      </c>
      <c r="C14" s="20">
        <f>C13/Balance_Sheet!C74</f>
        <v>0.64511975894125906</v>
      </c>
      <c r="D14" s="20">
        <f>D13/Balance_Sheet!D74</f>
        <v>0.64529091010350481</v>
      </c>
      <c r="E14" s="20">
        <f>E13/Balance_Sheet!E74</f>
        <v>0.61980605550137569</v>
      </c>
      <c r="F14" s="20">
        <f>F13/Balance_Sheet!F74</f>
        <v>0.65663192830034944</v>
      </c>
      <c r="G14" s="20">
        <f>G13/Balance_Sheet!G74</f>
        <v>0.63734225868282435</v>
      </c>
      <c r="H14" s="27">
        <f>H13/Balance_Sheet!H74</f>
        <v>0.64555576656502567</v>
      </c>
      <c r="I14" s="27">
        <f>I13/Balance_Sheet!I74</f>
        <v>0.64555583295313668</v>
      </c>
      <c r="J14" s="27">
        <f>J13/Balance_Sheet!J74</f>
        <v>0.64555579649350681</v>
      </c>
      <c r="K14" s="27">
        <f>K13/Balance_Sheet!K74</f>
        <v>0.64555580614874053</v>
      </c>
      <c r="L14" s="27">
        <f>L13/Balance_Sheet!L74</f>
        <v>0.64555571516987342</v>
      </c>
    </row>
    <row r="15" spans="2:15" ht="18.75" x14ac:dyDescent="0.25">
      <c r="B15" s="8" t="s">
        <v>12</v>
      </c>
      <c r="C15" s="4">
        <v>771.1</v>
      </c>
      <c r="D15" s="4">
        <v>208.6</v>
      </c>
      <c r="E15" s="4">
        <v>178.7</v>
      </c>
      <c r="F15" s="4">
        <v>165.8</v>
      </c>
      <c r="G15" s="4">
        <v>142</v>
      </c>
      <c r="H15" s="24">
        <f>ROUND(H74*H16,2)</f>
        <v>154.19999999999999</v>
      </c>
      <c r="I15" s="24">
        <f t="shared" ref="I15:L15" si="7">ROUND(I74*I16,2)</f>
        <v>174.06</v>
      </c>
      <c r="J15" s="24">
        <f t="shared" si="7"/>
        <v>198.9</v>
      </c>
      <c r="K15" s="24">
        <f t="shared" si="7"/>
        <v>229.09</v>
      </c>
      <c r="L15" s="24">
        <f t="shared" si="7"/>
        <v>254.53</v>
      </c>
    </row>
    <row r="16" spans="2:15" x14ac:dyDescent="0.25">
      <c r="B16" s="17" t="s">
        <v>208</v>
      </c>
      <c r="C16" s="18">
        <f>C15/Balance_Sheet!C74</f>
        <v>2.640346521940112E-2</v>
      </c>
      <c r="D16" s="18">
        <f>D15/Balance_Sheet!D74</f>
        <v>6.2011143178827572E-3</v>
      </c>
      <c r="E16" s="18">
        <f>E15/Balance_Sheet!E74</f>
        <v>4.7477416567252599E-3</v>
      </c>
      <c r="F16" s="18">
        <f>F15/Balance_Sheet!F74</f>
        <v>4.1914233127532327E-3</v>
      </c>
      <c r="G16" s="18">
        <f>G15/Balance_Sheet!G74</f>
        <v>2.8633463849420939E-3</v>
      </c>
      <c r="H16" s="25">
        <f>G16</f>
        <v>2.8633463849420939E-3</v>
      </c>
      <c r="I16" s="25">
        <f t="shared" ref="I16:L16" si="8">H16</f>
        <v>2.8633463849420939E-3</v>
      </c>
      <c r="J16" s="25">
        <f t="shared" si="8"/>
        <v>2.8633463849420939E-3</v>
      </c>
      <c r="K16" s="25">
        <f t="shared" si="8"/>
        <v>2.8633463849420939E-3</v>
      </c>
      <c r="L16" s="25">
        <f t="shared" si="8"/>
        <v>2.8633463849420939E-3</v>
      </c>
    </row>
    <row r="17" spans="2:12" ht="18.75" x14ac:dyDescent="0.25">
      <c r="B17" s="8" t="s">
        <v>13</v>
      </c>
      <c r="C17" s="4">
        <v>5.8</v>
      </c>
      <c r="D17" s="4">
        <v>1.1000000000000001</v>
      </c>
      <c r="E17" s="4">
        <v>35.6</v>
      </c>
      <c r="F17" s="4">
        <v>76.099999999999994</v>
      </c>
      <c r="G17" s="4">
        <v>455.2</v>
      </c>
      <c r="H17" s="24">
        <f>H74*H18</f>
        <v>50.935282355970614</v>
      </c>
      <c r="I17" s="24">
        <f t="shared" ref="I17:L17" si="9">I74*I18</f>
        <v>57.494689590520991</v>
      </c>
      <c r="J17" s="24">
        <f t="shared" si="9"/>
        <v>65.701213360927426</v>
      </c>
      <c r="K17" s="24">
        <f t="shared" si="9"/>
        <v>75.6727320716099</v>
      </c>
      <c r="L17" s="24">
        <f t="shared" si="9"/>
        <v>84.075819464472573</v>
      </c>
    </row>
    <row r="18" spans="2:12" x14ac:dyDescent="0.25">
      <c r="B18" s="17" t="s">
        <v>209</v>
      </c>
      <c r="C18" s="18">
        <f>C17/Balance_Sheet!C74</f>
        <v>1.985995308942115E-4</v>
      </c>
      <c r="D18" s="18">
        <f>D17/Balance_Sheet!D74</f>
        <v>3.270002756314014E-5</v>
      </c>
      <c r="E18" s="18">
        <f>E17/Balance_Sheet!E74</f>
        <v>9.4582877996317446E-4</v>
      </c>
      <c r="F18" s="18">
        <f>F17/Balance_Sheet!F74</f>
        <v>1.9238076845628526E-3</v>
      </c>
      <c r="G18" s="18">
        <f>G17/Balance_Sheet!G74</f>
        <v>9.1788399607439508E-3</v>
      </c>
      <c r="H18" s="25">
        <f>MEDIAN(C18:G18)</f>
        <v>9.4582877996317446E-4</v>
      </c>
      <c r="I18" s="25">
        <f t="shared" ref="I18:L18" si="10">H18</f>
        <v>9.4582877996317446E-4</v>
      </c>
      <c r="J18" s="25">
        <f t="shared" si="10"/>
        <v>9.4582877996317446E-4</v>
      </c>
      <c r="K18" s="25">
        <f t="shared" si="10"/>
        <v>9.4582877996317446E-4</v>
      </c>
      <c r="L18" s="25">
        <f t="shared" si="10"/>
        <v>9.4582877996317446E-4</v>
      </c>
    </row>
    <row r="19" spans="2:12" ht="18.75" x14ac:dyDescent="0.25">
      <c r="B19" s="8" t="s">
        <v>18</v>
      </c>
      <c r="C19" s="5">
        <v>954.9</v>
      </c>
      <c r="D19" s="5">
        <v>1196.0999999999999</v>
      </c>
      <c r="E19" s="5">
        <v>2249.5</v>
      </c>
      <c r="F19" s="5">
        <v>1496</v>
      </c>
      <c r="G19" s="4">
        <v>1439.74</v>
      </c>
      <c r="H19" s="24">
        <f>ROUND(H74*H20,2)</f>
        <v>1563.42</v>
      </c>
      <c r="I19" s="24">
        <f t="shared" ref="I19:L19" si="11">ROUND(I74*I20,2)</f>
        <v>1764.76</v>
      </c>
      <c r="J19" s="24">
        <f t="shared" si="11"/>
        <v>2016.65</v>
      </c>
      <c r="K19" s="24">
        <f t="shared" si="11"/>
        <v>2322.7199999999998</v>
      </c>
      <c r="L19" s="24">
        <f t="shared" si="11"/>
        <v>2580.64</v>
      </c>
    </row>
    <row r="20" spans="2:12" x14ac:dyDescent="0.25">
      <c r="B20" s="17" t="s">
        <v>210</v>
      </c>
      <c r="C20" s="18">
        <f>C19/Balance_Sheet!C74</f>
        <v>3.2697015870841818E-2</v>
      </c>
      <c r="D20" s="18">
        <f>D19/Balance_Sheet!D74</f>
        <v>3.5556820880247197E-2</v>
      </c>
      <c r="E20" s="18">
        <f>E19/Balance_Sheet!E74</f>
        <v>5.9765220239526989E-2</v>
      </c>
      <c r="F20" s="18">
        <f>F19/Balance_Sheet!F74</f>
        <v>3.7818873799027958E-2</v>
      </c>
      <c r="G20" s="18">
        <f>G19/Balance_Sheet!G74</f>
        <v>2.9031509325750212E-2</v>
      </c>
      <c r="H20" s="25">
        <f>G20</f>
        <v>2.9031509325750212E-2</v>
      </c>
      <c r="I20" s="25">
        <f t="shared" ref="I20:L20" si="12">H20</f>
        <v>2.9031509325750212E-2</v>
      </c>
      <c r="J20" s="25">
        <f t="shared" si="12"/>
        <v>2.9031509325750212E-2</v>
      </c>
      <c r="K20" s="25">
        <f t="shared" si="12"/>
        <v>2.9031509325750212E-2</v>
      </c>
      <c r="L20" s="25">
        <f t="shared" si="12"/>
        <v>2.9031509325750212E-2</v>
      </c>
    </row>
    <row r="21" spans="2:12" ht="18.75" x14ac:dyDescent="0.25">
      <c r="B21" s="9" t="s">
        <v>123</v>
      </c>
      <c r="C21" s="7">
        <f>C15+C17+C19</f>
        <v>1731.8</v>
      </c>
      <c r="D21" s="7">
        <f t="shared" ref="D21:G21" si="13">D15+D17+D19</f>
        <v>1405.8</v>
      </c>
      <c r="E21" s="7">
        <f t="shared" si="13"/>
        <v>2463.8000000000002</v>
      </c>
      <c r="F21" s="7">
        <f t="shared" si="13"/>
        <v>1737.9</v>
      </c>
      <c r="G21" s="7">
        <f t="shared" si="13"/>
        <v>2036.94</v>
      </c>
      <c r="H21" s="29">
        <f>ROUND(H74*H22,2)</f>
        <v>2211.92</v>
      </c>
      <c r="I21" s="29">
        <f t="shared" ref="I21:L21" si="14">ROUND(I74*I22,2)</f>
        <v>2496.77</v>
      </c>
      <c r="J21" s="29">
        <f t="shared" si="14"/>
        <v>2853.15</v>
      </c>
      <c r="K21" s="29">
        <f t="shared" si="14"/>
        <v>3286.17</v>
      </c>
      <c r="L21" s="29">
        <f t="shared" si="14"/>
        <v>3651.09</v>
      </c>
    </row>
    <row r="22" spans="2:12" x14ac:dyDescent="0.25">
      <c r="B22" s="19" t="s">
        <v>211</v>
      </c>
      <c r="C22" s="20">
        <f>C21/Balance_Sheet!C74</f>
        <v>5.9299080621137153E-2</v>
      </c>
      <c r="D22" s="20">
        <f>D21/Balance_Sheet!D74</f>
        <v>4.1790635225693096E-2</v>
      </c>
      <c r="E22" s="20">
        <f>E21/Balance_Sheet!E74</f>
        <v>6.5458790676215434E-2</v>
      </c>
      <c r="F22" s="20">
        <f>F21/Balance_Sheet!F74</f>
        <v>4.3934104796344048E-2</v>
      </c>
      <c r="G22" s="20">
        <f>G21/Balance_Sheet!G74</f>
        <v>4.1073695671436261E-2</v>
      </c>
      <c r="H22" s="27">
        <f>G22</f>
        <v>4.1073695671436261E-2</v>
      </c>
      <c r="I22" s="27">
        <f t="shared" ref="I22:L22" si="15">H22</f>
        <v>4.1073695671436261E-2</v>
      </c>
      <c r="J22" s="27">
        <f t="shared" si="15"/>
        <v>4.1073695671436261E-2</v>
      </c>
      <c r="K22" s="27">
        <f t="shared" si="15"/>
        <v>4.1073695671436261E-2</v>
      </c>
      <c r="L22" s="27">
        <f t="shared" si="15"/>
        <v>4.1073695671436261E-2</v>
      </c>
    </row>
    <row r="23" spans="2:12" ht="18.75" x14ac:dyDescent="0.25">
      <c r="B23" s="8" t="s">
        <v>15</v>
      </c>
      <c r="C23" s="4">
        <v>555.1</v>
      </c>
      <c r="D23" s="4">
        <v>580.1</v>
      </c>
      <c r="E23" s="4">
        <v>669.1</v>
      </c>
      <c r="F23" s="4">
        <v>781</v>
      </c>
      <c r="G23" s="4">
        <v>881.1</v>
      </c>
      <c r="H23" s="24">
        <f>H74*H24</f>
        <v>957.32577034775113</v>
      </c>
      <c r="I23" s="24">
        <f t="shared" ref="I23:L23" si="16">I74*I24</f>
        <v>1080.6094608151009</v>
      </c>
      <c r="J23" s="24">
        <f t="shared" si="16"/>
        <v>1234.8506140392287</v>
      </c>
      <c r="K23" s="24">
        <f t="shared" si="16"/>
        <v>1422.2647480088253</v>
      </c>
      <c r="L23" s="24">
        <f t="shared" si="16"/>
        <v>1580.2003034741181</v>
      </c>
    </row>
    <row r="24" spans="2:12" x14ac:dyDescent="0.25">
      <c r="B24" s="17" t="s">
        <v>212</v>
      </c>
      <c r="C24" s="18">
        <f>C23/Balance_Sheet!C74</f>
        <v>1.9007344758513244E-2</v>
      </c>
      <c r="D24" s="18">
        <f>D23/Balance_Sheet!D74</f>
        <v>1.7244805444888722E-2</v>
      </c>
      <c r="E24" s="18">
        <f>E23/Balance_Sheet!E74</f>
        <v>1.7776798782959551E-2</v>
      </c>
      <c r="F24" s="18">
        <f>F23/Balance_Sheet!F74</f>
        <v>1.974367676272783E-2</v>
      </c>
      <c r="G24" s="18">
        <f>G23/Balance_Sheet!G74</f>
        <v>1.7766862674454077E-2</v>
      </c>
      <c r="H24" s="25">
        <f>MEDIAN(C24:G24)</f>
        <v>1.7776798782959551E-2</v>
      </c>
      <c r="I24" s="25">
        <f t="shared" ref="I24:L24" si="17">H24</f>
        <v>1.7776798782959551E-2</v>
      </c>
      <c r="J24" s="25">
        <f t="shared" si="17"/>
        <v>1.7776798782959551E-2</v>
      </c>
      <c r="K24" s="25">
        <f t="shared" si="17"/>
        <v>1.7776798782959551E-2</v>
      </c>
      <c r="L24" s="25">
        <f t="shared" si="17"/>
        <v>1.7776798782959551E-2</v>
      </c>
    </row>
    <row r="25" spans="2:12" ht="18.75" x14ac:dyDescent="0.25">
      <c r="B25" s="8" t="s">
        <v>21</v>
      </c>
      <c r="C25" s="4">
        <v>403</v>
      </c>
      <c r="D25" s="4">
        <v>395.2</v>
      </c>
      <c r="E25" s="4">
        <v>436.4</v>
      </c>
      <c r="F25" s="4">
        <v>531.1</v>
      </c>
      <c r="G25" s="4">
        <v>671.6</v>
      </c>
      <c r="H25" s="24">
        <f>H74*H26</f>
        <v>723.03528694301554</v>
      </c>
      <c r="I25" s="24">
        <f t="shared" ref="I25:L25" si="18">I74*I26</f>
        <v>816.14722571394657</v>
      </c>
      <c r="J25" s="24">
        <f t="shared" si="18"/>
        <v>932.64027325754103</v>
      </c>
      <c r="K25" s="24">
        <f t="shared" si="18"/>
        <v>1074.1877342463545</v>
      </c>
      <c r="L25" s="24">
        <f t="shared" si="18"/>
        <v>1193.4710369645834</v>
      </c>
    </row>
    <row r="26" spans="2:12" x14ac:dyDescent="0.25">
      <c r="B26" s="17" t="s">
        <v>213</v>
      </c>
      <c r="C26" s="18">
        <f>C25/Balance_Sheet!C74</f>
        <v>1.3799243267304697E-2</v>
      </c>
      <c r="D26" s="18">
        <f>D25/Balance_Sheet!D74</f>
        <v>1.1748228084502712E-2</v>
      </c>
      <c r="E26" s="18">
        <f>E25/Balance_Sheet!E74</f>
        <v>1.1594373021795766E-2</v>
      </c>
      <c r="F26" s="18">
        <f>F25/Balance_Sheet!F74</f>
        <v>1.3426205798572026E-2</v>
      </c>
      <c r="G26" s="18">
        <f>G25/Balance_Sheet!G74</f>
        <v>1.354241853610641E-2</v>
      </c>
      <c r="H26" s="25">
        <f>MEDIAN(C26:G26)</f>
        <v>1.3426205798572026E-2</v>
      </c>
      <c r="I26" s="25">
        <f t="shared" ref="I26:L26" si="19">H26</f>
        <v>1.3426205798572026E-2</v>
      </c>
      <c r="J26" s="25">
        <f t="shared" si="19"/>
        <v>1.3426205798572026E-2</v>
      </c>
      <c r="K26" s="25">
        <f t="shared" si="19"/>
        <v>1.3426205798572026E-2</v>
      </c>
      <c r="L26" s="25">
        <f t="shared" si="19"/>
        <v>1.3426205798572026E-2</v>
      </c>
    </row>
    <row r="27" spans="2:12" ht="18.75" x14ac:dyDescent="0.25">
      <c r="B27" s="8" t="s">
        <v>14</v>
      </c>
      <c r="C27" s="5">
        <v>606.20000000000005</v>
      </c>
      <c r="D27" s="5">
        <v>333.4</v>
      </c>
      <c r="E27" s="5">
        <v>2107.6</v>
      </c>
      <c r="F27" s="4">
        <v>1902.7</v>
      </c>
      <c r="G27" s="4">
        <v>2276.1</v>
      </c>
      <c r="H27" s="24">
        <f>ROUND(H74*H28,2)</f>
        <v>2471.63</v>
      </c>
      <c r="I27" s="24">
        <f t="shared" ref="I27:L27" si="20">ROUND(I74*I28,2)</f>
        <v>2789.92</v>
      </c>
      <c r="J27" s="24">
        <f t="shared" si="20"/>
        <v>3188.14</v>
      </c>
      <c r="K27" s="24">
        <f t="shared" si="20"/>
        <v>3672.01</v>
      </c>
      <c r="L27" s="24">
        <f t="shared" si="20"/>
        <v>4079.77</v>
      </c>
    </row>
    <row r="28" spans="2:12" x14ac:dyDescent="0.25">
      <c r="B28" s="17" t="s">
        <v>214</v>
      </c>
      <c r="C28" s="18">
        <f>C27/Balance_Sheet!C74</f>
        <v>2.0757075108288107E-2</v>
      </c>
      <c r="D28" s="18">
        <f>D27/Balance_Sheet!D74</f>
        <v>9.9110810814099295E-3</v>
      </c>
      <c r="E28" s="18">
        <f>E27/Balance_Sheet!E74</f>
        <v>5.5995189231752424E-2</v>
      </c>
      <c r="F28" s="18">
        <f>F27/Balance_Sheet!F74</f>
        <v>4.8100248113242317E-2</v>
      </c>
      <c r="G28" s="18">
        <f>G27/Balance_Sheet!G74</f>
        <v>4.5896216244835912E-2</v>
      </c>
      <c r="H28" s="25">
        <f>G28</f>
        <v>4.5896216244835912E-2</v>
      </c>
      <c r="I28" s="25">
        <f t="shared" ref="I28:L28" si="21">H28</f>
        <v>4.5896216244835912E-2</v>
      </c>
      <c r="J28" s="25">
        <f t="shared" si="21"/>
        <v>4.5896216244835912E-2</v>
      </c>
      <c r="K28" s="25">
        <f t="shared" si="21"/>
        <v>4.5896216244835912E-2</v>
      </c>
      <c r="L28" s="25">
        <f t="shared" si="21"/>
        <v>4.5896216244835912E-2</v>
      </c>
    </row>
    <row r="29" spans="2:12" ht="18.75" x14ac:dyDescent="0.25">
      <c r="B29" s="8" t="s">
        <v>19</v>
      </c>
      <c r="C29" s="5">
        <v>2036.8</v>
      </c>
      <c r="D29" s="5">
        <v>2489.3000000000002</v>
      </c>
      <c r="E29" s="5">
        <v>3256.6</v>
      </c>
      <c r="F29" s="5">
        <v>2785</v>
      </c>
      <c r="G29" s="5">
        <v>4094.7</v>
      </c>
      <c r="H29" s="28">
        <f>H74*H30</f>
        <v>3985.0967160512073</v>
      </c>
      <c r="I29" s="28">
        <f t="shared" ref="I29:L29" si="22">I74*I30</f>
        <v>4498.2944646563083</v>
      </c>
      <c r="J29" s="28">
        <f t="shared" si="22"/>
        <v>5140.3600312921499</v>
      </c>
      <c r="K29" s="28">
        <f t="shared" si="22"/>
        <v>5920.5160376979111</v>
      </c>
      <c r="L29" s="28">
        <f t="shared" si="22"/>
        <v>6577.9604342943112</v>
      </c>
    </row>
    <row r="30" spans="2:12" x14ac:dyDescent="0.25">
      <c r="B30" s="17" t="s">
        <v>215</v>
      </c>
      <c r="C30" s="18">
        <f>C29/Balance_Sheet!C74</f>
        <v>6.9742676642298274E-2</v>
      </c>
      <c r="D30" s="18">
        <f>D29/Balance_Sheet!D74</f>
        <v>7.4000162375386147E-2</v>
      </c>
      <c r="E30" s="18">
        <f>E29/Balance_Sheet!E74</f>
        <v>8.6522078787305445E-2</v>
      </c>
      <c r="F30" s="18">
        <f>F29/Balance_Sheet!F74</f>
        <v>7.0404788456078116E-2</v>
      </c>
      <c r="G30" s="18">
        <f>G29/Balance_Sheet!G74</f>
        <v>8.2567214383256274E-2</v>
      </c>
      <c r="H30" s="25">
        <f>MEDIAN(C30:G30)</f>
        <v>7.4000162375386147E-2</v>
      </c>
      <c r="I30" s="25">
        <f t="shared" ref="I30:L30" si="23">H30</f>
        <v>7.4000162375386147E-2</v>
      </c>
      <c r="J30" s="25">
        <f t="shared" si="23"/>
        <v>7.4000162375386147E-2</v>
      </c>
      <c r="K30" s="25">
        <f t="shared" si="23"/>
        <v>7.4000162375386147E-2</v>
      </c>
      <c r="L30" s="25">
        <f t="shared" si="23"/>
        <v>7.4000162375386147E-2</v>
      </c>
    </row>
    <row r="31" spans="2:12" ht="18.75" x14ac:dyDescent="0.25">
      <c r="B31" s="8" t="s">
        <v>20</v>
      </c>
      <c r="C31" s="5">
        <v>4522.1000000000004</v>
      </c>
      <c r="D31" s="5">
        <v>6250.6</v>
      </c>
      <c r="E31" s="5">
        <v>4983.3</v>
      </c>
      <c r="F31" s="5">
        <v>5465.4</v>
      </c>
      <c r="G31" s="5">
        <v>7529.2</v>
      </c>
      <c r="H31" s="28">
        <f>H74*H32</f>
        <v>8175.9941329159474</v>
      </c>
      <c r="I31" s="28">
        <f t="shared" ref="I31:L31" si="24">I74*I32</f>
        <v>9228.8924891141014</v>
      </c>
      <c r="J31" s="28">
        <f t="shared" si="24"/>
        <v>10546.181548779306</v>
      </c>
      <c r="K31" s="28">
        <f t="shared" si="24"/>
        <v>12146.782835428401</v>
      </c>
      <c r="L31" s="28">
        <f t="shared" si="24"/>
        <v>13495.623757567157</v>
      </c>
    </row>
    <row r="32" spans="2:12" x14ac:dyDescent="0.25">
      <c r="B32" s="17" t="s">
        <v>216</v>
      </c>
      <c r="C32" s="18">
        <f>C31/Balance_Sheet!C74</f>
        <v>0.15484257563046791</v>
      </c>
      <c r="D32" s="18">
        <f>D31/Balance_Sheet!D74</f>
        <v>0.18581344753287615</v>
      </c>
      <c r="E32" s="18">
        <f>E31/Balance_Sheet!E74</f>
        <v>0.13239743143793503</v>
      </c>
      <c r="F32" s="18">
        <f>F31/Balance_Sheet!F74</f>
        <v>0.13816528934572686</v>
      </c>
      <c r="G32" s="18">
        <f>G31/Balance_Sheet!G74</f>
        <v>0.15182188451764797</v>
      </c>
      <c r="H32" s="25">
        <f>MEDIAN(C32:G32)</f>
        <v>0.15182188451764797</v>
      </c>
      <c r="I32" s="25">
        <f t="shared" ref="I32:L32" si="25">H32</f>
        <v>0.15182188451764797</v>
      </c>
      <c r="J32" s="25">
        <f t="shared" si="25"/>
        <v>0.15182188451764797</v>
      </c>
      <c r="K32" s="25">
        <f t="shared" si="25"/>
        <v>0.15182188451764797</v>
      </c>
      <c r="L32" s="25">
        <f t="shared" si="25"/>
        <v>0.15182188451764797</v>
      </c>
    </row>
    <row r="33" spans="2:12" ht="18.75" x14ac:dyDescent="0.25">
      <c r="B33" s="9" t="s">
        <v>22</v>
      </c>
      <c r="C33" s="7">
        <f>C23+C25+C27+C29+C31</f>
        <v>8123.2000000000007</v>
      </c>
      <c r="D33" s="7">
        <f t="shared" ref="D33:L33" si="26">D23+D25+D27+D29+D31</f>
        <v>10048.6</v>
      </c>
      <c r="E33" s="7">
        <f t="shared" si="26"/>
        <v>11453</v>
      </c>
      <c r="F33" s="7">
        <f t="shared" si="26"/>
        <v>11465.2</v>
      </c>
      <c r="G33" s="7">
        <f t="shared" si="26"/>
        <v>15452.7</v>
      </c>
      <c r="H33" s="29">
        <f t="shared" si="26"/>
        <v>16313.081906257921</v>
      </c>
      <c r="I33" s="29">
        <f t="shared" si="26"/>
        <v>18413.86364029946</v>
      </c>
      <c r="J33" s="29">
        <f t="shared" si="26"/>
        <v>21042.172467368226</v>
      </c>
      <c r="K33" s="29">
        <f t="shared" si="26"/>
        <v>24235.761355381492</v>
      </c>
      <c r="L33" s="29">
        <f t="shared" si="26"/>
        <v>26927.025532300169</v>
      </c>
    </row>
    <row r="34" spans="2:12" x14ac:dyDescent="0.25">
      <c r="B34" s="19" t="s">
        <v>217</v>
      </c>
      <c r="C34" s="20">
        <f>C33/Balance_Sheet!C74</f>
        <v>0.27814891540687225</v>
      </c>
      <c r="D34" s="20">
        <f>D33/Balance_Sheet!D74</f>
        <v>0.29871772451906364</v>
      </c>
      <c r="E34" s="20">
        <f>E33/Balance_Sheet!E74</f>
        <v>0.30428587126174822</v>
      </c>
      <c r="F34" s="20">
        <f>F33/Balance_Sheet!F74</f>
        <v>0.28984020847634717</v>
      </c>
      <c r="G34" s="20">
        <f>G33/Balance_Sheet!G74</f>
        <v>0.31159459635630066</v>
      </c>
      <c r="H34" s="27">
        <f>H33/Balance_Sheet!H74</f>
        <v>0.30292130804349293</v>
      </c>
      <c r="I34" s="27">
        <f>I33/Balance_Sheet!I74</f>
        <v>0.30292123160160672</v>
      </c>
      <c r="J34" s="27">
        <f>J33/Balance_Sheet!J74</f>
        <v>0.30292122922073006</v>
      </c>
      <c r="K34" s="27">
        <f>K33/Balance_Sheet!K74</f>
        <v>0.30292127648499551</v>
      </c>
      <c r="L34" s="27">
        <f>L33/Balance_Sheet!L74</f>
        <v>0.302921290205381</v>
      </c>
    </row>
    <row r="35" spans="2:12" ht="18.75" x14ac:dyDescent="0.25">
      <c r="B35" s="8" t="s">
        <v>10</v>
      </c>
      <c r="C35" s="4">
        <v>509.1</v>
      </c>
      <c r="D35" s="4">
        <v>477.7</v>
      </c>
      <c r="E35" s="4">
        <v>393.3</v>
      </c>
      <c r="F35" s="4">
        <v>379.5</v>
      </c>
      <c r="G35" s="4">
        <v>495.4</v>
      </c>
      <c r="H35" s="24">
        <f>H74*H36</f>
        <v>562.72040872481023</v>
      </c>
      <c r="I35" s="24">
        <f t="shared" ref="I35:L35" si="27">I74*I36</f>
        <v>635.18711842561527</v>
      </c>
      <c r="J35" s="24">
        <f t="shared" si="27"/>
        <v>725.85076446215612</v>
      </c>
      <c r="K35" s="24">
        <f t="shared" si="27"/>
        <v>836.01363830798232</v>
      </c>
      <c r="L35" s="24">
        <f t="shared" si="27"/>
        <v>928.84887065665907</v>
      </c>
    </row>
    <row r="36" spans="2:12" x14ac:dyDescent="0.25">
      <c r="B36" s="17" t="s">
        <v>218</v>
      </c>
      <c r="C36" s="18">
        <f>C35/Balance_Sheet!C74</f>
        <v>1.7432245030731566E-2</v>
      </c>
      <c r="D36" s="18">
        <f>D35/Balance_Sheet!D74</f>
        <v>1.4200730151738223E-2</v>
      </c>
      <c r="E36" s="18">
        <f>E35/Balance_Sheet!E74</f>
        <v>1.0449282560660576E-2</v>
      </c>
      <c r="F36" s="18">
        <f>F35/Balance_Sheet!F74</f>
        <v>9.5937584269592986E-3</v>
      </c>
      <c r="G36" s="18">
        <f>G35/Balance_Sheet!G74</f>
        <v>9.9894492894388263E-3</v>
      </c>
      <c r="H36" s="25">
        <f>MEDIAN(C36:G36)</f>
        <v>1.0449282560660576E-2</v>
      </c>
      <c r="I36" s="25">
        <f t="shared" ref="I36:L36" si="28">H36</f>
        <v>1.0449282560660576E-2</v>
      </c>
      <c r="J36" s="25">
        <f t="shared" si="28"/>
        <v>1.0449282560660576E-2</v>
      </c>
      <c r="K36" s="25">
        <f t="shared" si="28"/>
        <v>1.0449282560660576E-2</v>
      </c>
      <c r="L36" s="25">
        <f t="shared" si="28"/>
        <v>1.0449282560660576E-2</v>
      </c>
    </row>
    <row r="37" spans="2:12" ht="18.75" x14ac:dyDescent="0.25">
      <c r="B37" s="9" t="s">
        <v>124</v>
      </c>
      <c r="C37" s="7">
        <f>C13+C21+C33+C35</f>
        <v>29204.5</v>
      </c>
      <c r="D37" s="7">
        <f t="shared" ref="D37:L37" si="29">D13+D21+D33+D35</f>
        <v>33639.115376157446</v>
      </c>
      <c r="E37" s="7">
        <f t="shared" si="29"/>
        <v>37638.94771883139</v>
      </c>
      <c r="F37" s="7">
        <f t="shared" si="29"/>
        <v>39556.96851127415</v>
      </c>
      <c r="G37" s="7">
        <f t="shared" si="29"/>
        <v>49592.323425051385</v>
      </c>
      <c r="H37" s="29">
        <f t="shared" si="29"/>
        <v>53852.540158435193</v>
      </c>
      <c r="I37" s="29">
        <f t="shared" si="29"/>
        <v>60787.62965191176</v>
      </c>
      <c r="J37" s="29">
        <f t="shared" si="29"/>
        <v>69464.172324599276</v>
      </c>
      <c r="K37" s="29">
        <f t="shared" si="29"/>
        <v>80006.797926529776</v>
      </c>
      <c r="L37" s="29">
        <f t="shared" si="29"/>
        <v>88891.162169696356</v>
      </c>
    </row>
    <row r="38" spans="2:12" x14ac:dyDescent="0.25">
      <c r="B38" s="19" t="s">
        <v>219</v>
      </c>
      <c r="C38" s="20">
        <f>C37/Balance_Sheet!C74</f>
        <v>1</v>
      </c>
      <c r="D38" s="20">
        <f>D37/Balance_Sheet!D74</f>
        <v>0.99999999999999978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7">
        <f>H37/Balance_Sheet!H74</f>
        <v>1</v>
      </c>
      <c r="I38" s="27">
        <f>I37/Balance_Sheet!I74</f>
        <v>1</v>
      </c>
      <c r="J38" s="27">
        <f>J37/Balance_Sheet!J74</f>
        <v>1.0000000000000002</v>
      </c>
      <c r="K38" s="27">
        <f>K37/Balance_Sheet!K74</f>
        <v>1</v>
      </c>
      <c r="L38" s="27">
        <f>L37/Balance_Sheet!L74</f>
        <v>1.0000000000000002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3171.6</v>
      </c>
      <c r="D40" s="5">
        <v>2793.7</v>
      </c>
      <c r="E40" s="5">
        <v>3978.3</v>
      </c>
      <c r="F40" s="5">
        <v>3559.5</v>
      </c>
      <c r="G40" s="5">
        <v>6585.7</v>
      </c>
      <c r="H40" s="28">
        <f>ROUND(H74*H41,2)</f>
        <v>7151.44</v>
      </c>
      <c r="I40" s="28">
        <f t="shared" ref="I40:L40" si="30">ROUND(I74*I41,2)</f>
        <v>8072.4</v>
      </c>
      <c r="J40" s="28">
        <f t="shared" si="30"/>
        <v>9224.6200000000008</v>
      </c>
      <c r="K40" s="28">
        <f t="shared" si="30"/>
        <v>10624.64</v>
      </c>
      <c r="L40" s="28">
        <f t="shared" si="30"/>
        <v>11804.46</v>
      </c>
    </row>
    <row r="41" spans="2:12" x14ac:dyDescent="0.25">
      <c r="B41" s="17" t="s">
        <v>220</v>
      </c>
      <c r="C41" s="18">
        <f>C40/Balance_Sheet!C74</f>
        <v>0.10859970210070366</v>
      </c>
      <c r="D41" s="18">
        <f>D40/Balance_Sheet!D74</f>
        <v>8.3049151821040543E-2</v>
      </c>
      <c r="E41" s="18">
        <f>E40/Balance_Sheet!E74</f>
        <v>0.10569636616088475</v>
      </c>
      <c r="F41" s="18">
        <f>F40/Balance_Sheet!F74</f>
        <v>8.9984145245748673E-2</v>
      </c>
      <c r="G41" s="18">
        <f>G40/Balance_Sheet!G74</f>
        <v>0.1327967625867123</v>
      </c>
      <c r="H41" s="25">
        <f>G41</f>
        <v>0.1327967625867123</v>
      </c>
      <c r="I41" s="25">
        <f t="shared" ref="I41:L41" si="31">H41</f>
        <v>0.1327967625867123</v>
      </c>
      <c r="J41" s="25">
        <f t="shared" si="31"/>
        <v>0.1327967625867123</v>
      </c>
      <c r="K41" s="25">
        <f t="shared" si="31"/>
        <v>0.1327967625867123</v>
      </c>
      <c r="L41" s="25">
        <f t="shared" si="31"/>
        <v>0.1327967625867123</v>
      </c>
    </row>
    <row r="42" spans="2:12" ht="18.75" x14ac:dyDescent="0.25">
      <c r="B42" s="8" t="s">
        <v>27</v>
      </c>
      <c r="C42" s="4">
        <v>1678.1</v>
      </c>
      <c r="D42" s="5">
        <v>1451.2</v>
      </c>
      <c r="E42" s="5">
        <v>1506</v>
      </c>
      <c r="F42" s="5">
        <v>1450.8</v>
      </c>
      <c r="G42" s="5">
        <v>0</v>
      </c>
      <c r="H42" s="28">
        <f>ROUND(H74*H43,2)</f>
        <v>0</v>
      </c>
      <c r="I42" s="28">
        <f t="shared" ref="I42:L42" si="32">ROUND(I74*I43,2)</f>
        <v>0</v>
      </c>
      <c r="J42" s="28">
        <f t="shared" si="32"/>
        <v>0</v>
      </c>
      <c r="K42" s="28">
        <f t="shared" si="32"/>
        <v>0</v>
      </c>
      <c r="L42" s="28">
        <f t="shared" si="32"/>
        <v>0</v>
      </c>
    </row>
    <row r="43" spans="2:12" x14ac:dyDescent="0.25">
      <c r="B43" s="17" t="s">
        <v>221</v>
      </c>
      <c r="C43" s="18">
        <f>C42/Balance_Sheet!C74</f>
        <v>5.7460322895444192E-2</v>
      </c>
      <c r="D43" s="18">
        <f>D42/Balance_Sheet!D74</f>
        <v>4.3140254545117246E-2</v>
      </c>
      <c r="E43" s="18">
        <f>E42/Balance_Sheet!E74</f>
        <v>4.0011745579341028E-2</v>
      </c>
      <c r="F43" s="18">
        <f>F42/Balance_Sheet!F74</f>
        <v>3.6676217986383534E-2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1129.2</v>
      </c>
      <c r="E44" s="5">
        <f>Income_Statement!E31+D44</f>
        <v>2575</v>
      </c>
      <c r="F44" s="5">
        <f>Income_Statement!F31+E44</f>
        <v>4032.7</v>
      </c>
      <c r="G44" s="5">
        <f>Income_Statement!G31+F44</f>
        <v>5553.1</v>
      </c>
      <c r="H44" s="28">
        <f>Income_Statement!H31+G44</f>
        <v>8152.0874951612495</v>
      </c>
      <c r="I44" s="28">
        <f>Income_Statement!I31+H44</f>
        <v>11085.771712037804</v>
      </c>
      <c r="J44" s="28">
        <f>Income_Statement!J31+I44</f>
        <v>14438.197521051705</v>
      </c>
      <c r="K44" s="28">
        <f>Income_Statement!K31+J44</f>
        <v>18299.420785260034</v>
      </c>
      <c r="L44" s="28">
        <f>Income_Statement!L31+K44</f>
        <v>22589.416076716181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3.3568064658452586E-2</v>
      </c>
      <c r="E45" s="18">
        <f>E44/Balance_Sheet!E74</f>
        <v>6.8413177202392525E-2</v>
      </c>
      <c r="F45" s="18">
        <f>F44/Balance_Sheet!F74</f>
        <v>0.10194663928431821</v>
      </c>
      <c r="G45" s="18">
        <f>G44/Balance_Sheet!G74</f>
        <v>0.11197499162128129</v>
      </c>
      <c r="H45" s="25">
        <f>H44/Balance_Sheet!H74</f>
        <v>0.15137795675334262</v>
      </c>
      <c r="I45" s="25">
        <f>I44/Balance_Sheet!I74</f>
        <v>0.18236887629141429</v>
      </c>
      <c r="J45" s="25">
        <f>J44/Balance_Sheet!J74</f>
        <v>0.20785099768530207</v>
      </c>
      <c r="K45" s="25">
        <f>K44/Balance_Sheet!K74</f>
        <v>0.22872332426132574</v>
      </c>
      <c r="L45" s="25">
        <f>L44/Balance_Sheet!L74</f>
        <v>0.25412443178088046</v>
      </c>
    </row>
    <row r="46" spans="2:12" ht="18.75" x14ac:dyDescent="0.25">
      <c r="B46" s="9" t="s">
        <v>126</v>
      </c>
      <c r="C46" s="7">
        <f>C40+C42-C44</f>
        <v>4849.7</v>
      </c>
      <c r="D46" s="7">
        <f t="shared" ref="D46:L46" si="34">D40+D42-D44</f>
        <v>3115.7</v>
      </c>
      <c r="E46" s="7">
        <f t="shared" si="34"/>
        <v>2909.3</v>
      </c>
      <c r="F46" s="7">
        <f t="shared" si="34"/>
        <v>977.60000000000036</v>
      </c>
      <c r="G46" s="7">
        <f t="shared" si="34"/>
        <v>1032.5999999999995</v>
      </c>
      <c r="H46" s="29">
        <f t="shared" si="34"/>
        <v>-1000.6474951612499</v>
      </c>
      <c r="I46" s="29">
        <f t="shared" si="34"/>
        <v>-3013.3717120378042</v>
      </c>
      <c r="J46" s="29">
        <f t="shared" si="34"/>
        <v>-5213.577521051704</v>
      </c>
      <c r="K46" s="29">
        <f t="shared" si="34"/>
        <v>-7674.7807852600345</v>
      </c>
      <c r="L46" s="29">
        <f t="shared" si="34"/>
        <v>-10784.956076716182</v>
      </c>
    </row>
    <row r="47" spans="2:12" x14ac:dyDescent="0.25">
      <c r="B47" s="19" t="s">
        <v>223</v>
      </c>
      <c r="C47" s="20">
        <f>C46/Balance_Sheet!C74</f>
        <v>0.16606002499614786</v>
      </c>
      <c r="D47" s="20">
        <f>D46/Balance_Sheet!D74</f>
        <v>9.262134170770521E-2</v>
      </c>
      <c r="E47" s="20">
        <f>E46/Balance_Sheet!E74</f>
        <v>7.7294934537833246E-2</v>
      </c>
      <c r="F47" s="20">
        <f>F46/Balance_Sheet!F74</f>
        <v>2.4713723947814001E-2</v>
      </c>
      <c r="G47" s="20">
        <f>G46/Balance_Sheet!G74</f>
        <v>2.0821770965431016E-2</v>
      </c>
      <c r="H47" s="27">
        <f>H46/Balance_Sheet!H74</f>
        <v>-1.8581249690679882E-2</v>
      </c>
      <c r="I47" s="27">
        <f>I46/Balance_Sheet!I74</f>
        <v>-4.9572120664899688E-2</v>
      </c>
      <c r="J47" s="27">
        <f>J46/Balance_Sheet!J74</f>
        <v>-7.5054194796839557E-2</v>
      </c>
      <c r="K47" s="27">
        <f>K46/Balance_Sheet!K74</f>
        <v>-9.592660854028659E-2</v>
      </c>
      <c r="L47" s="27">
        <f>L46/Balance_Sheet!L74</f>
        <v>-0.12132765298002655</v>
      </c>
    </row>
    <row r="48" spans="2:12" ht="18.75" x14ac:dyDescent="0.25">
      <c r="B48" s="8" t="s">
        <v>30</v>
      </c>
      <c r="C48" s="4">
        <v>1245.8</v>
      </c>
      <c r="D48" s="4">
        <v>752</v>
      </c>
      <c r="E48" s="4">
        <v>236</v>
      </c>
      <c r="F48" s="4">
        <v>575.70000000000005</v>
      </c>
      <c r="G48" s="5">
        <v>447.85</v>
      </c>
      <c r="H48" s="28">
        <f>H74*H49</f>
        <v>783.75336978552821</v>
      </c>
      <c r="I48" s="28">
        <f t="shared" ref="I48:L48" si="35">I74*I49</f>
        <v>884.68453745720012</v>
      </c>
      <c r="J48" s="28">
        <f t="shared" si="35"/>
        <v>1010.9602811417179</v>
      </c>
      <c r="K48" s="28">
        <f t="shared" si="35"/>
        <v>1164.3944240362009</v>
      </c>
      <c r="L48" s="28">
        <f t="shared" si="35"/>
        <v>1293.6947391837896</v>
      </c>
    </row>
    <row r="49" spans="2:12" x14ac:dyDescent="0.25">
      <c r="B49" s="17" t="s">
        <v>224</v>
      </c>
      <c r="C49" s="18">
        <f>C48/Balance_Sheet!C74</f>
        <v>4.2657809584139429E-2</v>
      </c>
      <c r="D49" s="18">
        <f>D48/Balance_Sheet!D74</f>
        <v>2.2354927934073985E-2</v>
      </c>
      <c r="E49" s="18">
        <f>E48/Balance_Sheet!E74</f>
        <v>6.2701009008794707E-3</v>
      </c>
      <c r="F49" s="18">
        <f>F48/Balance_Sheet!F74</f>
        <v>1.4553693613703475E-2</v>
      </c>
      <c r="G49" s="18">
        <f>G48/Balance_Sheet!G74</f>
        <v>9.0306315387064569E-3</v>
      </c>
      <c r="H49" s="25">
        <f>MEDIAN(C49:G49)</f>
        <v>1.4553693613703475E-2</v>
      </c>
      <c r="I49" s="25">
        <f t="shared" ref="I49:L49" si="36">H49</f>
        <v>1.4553693613703475E-2</v>
      </c>
      <c r="J49" s="25">
        <f t="shared" si="36"/>
        <v>1.4553693613703475E-2</v>
      </c>
      <c r="K49" s="25">
        <f t="shared" si="36"/>
        <v>1.4553693613703475E-2</v>
      </c>
      <c r="L49" s="25">
        <f t="shared" si="36"/>
        <v>1.4553693613703475E-2</v>
      </c>
    </row>
    <row r="50" spans="2:12" ht="18.75" x14ac:dyDescent="0.25">
      <c r="B50" s="8" t="s">
        <v>36</v>
      </c>
      <c r="C50" s="5">
        <v>3444.9</v>
      </c>
      <c r="D50" s="5">
        <v>6589.9</v>
      </c>
      <c r="E50" s="5">
        <v>5612.3</v>
      </c>
      <c r="F50" s="5">
        <v>9661.9</v>
      </c>
      <c r="G50" s="5">
        <v>4435.8999999999996</v>
      </c>
      <c r="H50" s="28">
        <f>H74*H51</f>
        <v>8029.8900327644342</v>
      </c>
      <c r="I50" s="28">
        <f t="shared" ref="I50:L50" si="37">I74*I51</f>
        <v>9063.9732131708115</v>
      </c>
      <c r="J50" s="28">
        <f t="shared" si="37"/>
        <v>10357.722464762162</v>
      </c>
      <c r="K50" s="28">
        <f t="shared" si="37"/>
        <v>11929.721185547645</v>
      </c>
      <c r="L50" s="28">
        <f t="shared" si="37"/>
        <v>13254.458471361218</v>
      </c>
    </row>
    <row r="51" spans="2:12" x14ac:dyDescent="0.25">
      <c r="B51" s="17" t="s">
        <v>225</v>
      </c>
      <c r="C51" s="18">
        <f>C50/Balance_Sheet!C74</f>
        <v>0.11795784896163262</v>
      </c>
      <c r="D51" s="18">
        <f>D50/Balance_Sheet!D74</f>
        <v>0.19589991967121562</v>
      </c>
      <c r="E51" s="18">
        <f>E50/Balance_Sheet!E74</f>
        <v>0.14910884443222819</v>
      </c>
      <c r="F51" s="18">
        <f>F50/Balance_Sheet!F74</f>
        <v>0.2442527919510884</v>
      </c>
      <c r="G51" s="18">
        <f>G50/Balance_Sheet!G74</f>
        <v>8.9447311471581928E-2</v>
      </c>
      <c r="H51" s="25">
        <f>MEDIAN(C51:G51)</f>
        <v>0.14910884443222819</v>
      </c>
      <c r="I51" s="25">
        <f t="shared" ref="I51:L51" si="38">H51</f>
        <v>0.14910884443222819</v>
      </c>
      <c r="J51" s="25">
        <f t="shared" si="38"/>
        <v>0.14910884443222819</v>
      </c>
      <c r="K51" s="25">
        <f t="shared" si="38"/>
        <v>0.14910884443222819</v>
      </c>
      <c r="L51" s="25">
        <f t="shared" si="38"/>
        <v>0.14910884443222819</v>
      </c>
    </row>
    <row r="52" spans="2:12" ht="18.75" x14ac:dyDescent="0.25">
      <c r="B52" s="8" t="s">
        <v>28</v>
      </c>
      <c r="C52" s="4">
        <v>1779.9</v>
      </c>
      <c r="D52" s="4">
        <v>276.3</v>
      </c>
      <c r="E52" s="4">
        <v>50.1</v>
      </c>
      <c r="F52" s="4">
        <v>118.3</v>
      </c>
      <c r="G52" s="4">
        <v>0</v>
      </c>
      <c r="H52" s="24">
        <f>H74*H53</f>
        <v>161.05267265177693</v>
      </c>
      <c r="I52" s="24">
        <f t="shared" ref="I52:L52" si="39">I74*I53</f>
        <v>181.79291433244185</v>
      </c>
      <c r="J52" s="24">
        <f t="shared" si="39"/>
        <v>207.74118683179645</v>
      </c>
      <c r="K52" s="24">
        <f t="shared" si="39"/>
        <v>239.27021081028755</v>
      </c>
      <c r="L52" s="24">
        <f t="shared" si="39"/>
        <v>265.83999938412762</v>
      </c>
    </row>
    <row r="53" spans="2:12" x14ac:dyDescent="0.25">
      <c r="B53" s="17" t="s">
        <v>226</v>
      </c>
      <c r="C53" s="18">
        <f>C52/Balance_Sheet!C74</f>
        <v>6.0946087075621908E-2</v>
      </c>
      <c r="D53" s="18">
        <f>D52/Balance_Sheet!D74</f>
        <v>8.2136523779051101E-3</v>
      </c>
      <c r="E53" s="18">
        <f>E52/Balance_Sheet!E74</f>
        <v>1.3310680302290742E-3</v>
      </c>
      <c r="F53" s="18">
        <f>F52/Balance_Sheet!F74</f>
        <v>2.9906235096423847E-3</v>
      </c>
      <c r="G53" s="18">
        <f>G52/Balance_Sheet!G74</f>
        <v>0</v>
      </c>
      <c r="H53" s="25">
        <f>MEDIAN(C53:G53)</f>
        <v>2.9906235096423847E-3</v>
      </c>
      <c r="I53" s="25">
        <f t="shared" ref="I53:L53" si="40">H53</f>
        <v>2.9906235096423847E-3</v>
      </c>
      <c r="J53" s="25">
        <f t="shared" si="40"/>
        <v>2.9906235096423847E-3</v>
      </c>
      <c r="K53" s="25">
        <f t="shared" si="40"/>
        <v>2.9906235096423847E-3</v>
      </c>
      <c r="L53" s="25">
        <f t="shared" si="40"/>
        <v>2.9906235096423847E-3</v>
      </c>
    </row>
    <row r="54" spans="2:12" ht="18.75" x14ac:dyDescent="0.25">
      <c r="B54" s="9" t="s">
        <v>127</v>
      </c>
      <c r="C54" s="7">
        <f>C46+C48+C50+C52</f>
        <v>11320.3</v>
      </c>
      <c r="D54" s="7">
        <f t="shared" ref="D54:L54" si="41">D46+D48+D50+D52</f>
        <v>10733.899999999998</v>
      </c>
      <c r="E54" s="7">
        <f t="shared" si="41"/>
        <v>8807.7000000000007</v>
      </c>
      <c r="F54" s="7">
        <f t="shared" si="41"/>
        <v>11333.5</v>
      </c>
      <c r="G54" s="7">
        <f t="shared" si="41"/>
        <v>5916.3499999999985</v>
      </c>
      <c r="H54" s="29">
        <f t="shared" si="41"/>
        <v>7974.0485800404895</v>
      </c>
      <c r="I54" s="29">
        <f t="shared" si="41"/>
        <v>7117.0789529226495</v>
      </c>
      <c r="J54" s="29">
        <f t="shared" si="41"/>
        <v>6362.8464116839732</v>
      </c>
      <c r="K54" s="29">
        <f t="shared" si="41"/>
        <v>5658.6050351340991</v>
      </c>
      <c r="L54" s="29">
        <f t="shared" si="41"/>
        <v>4029.0371332129534</v>
      </c>
    </row>
    <row r="55" spans="2:12" x14ac:dyDescent="0.25">
      <c r="B55" s="19" t="s">
        <v>227</v>
      </c>
      <c r="C55" s="20">
        <f>C54/Balance_Sheet!C74</f>
        <v>0.38762177061754177</v>
      </c>
      <c r="D55" s="20">
        <f>D54/Balance_Sheet!D74</f>
        <v>0.31908984169089988</v>
      </c>
      <c r="E55" s="20">
        <f>E54/Balance_Sheet!E74</f>
        <v>0.23400494790116999</v>
      </c>
      <c r="F55" s="20">
        <f>F54/Balance_Sheet!F74</f>
        <v>0.28651083302224828</v>
      </c>
      <c r="G55" s="20">
        <f>G54/Balance_Sheet!G74</f>
        <v>0.11929971397571938</v>
      </c>
      <c r="H55" s="27">
        <f>H54/Balance_Sheet!H74</f>
        <v>0.14807191186489416</v>
      </c>
      <c r="I55" s="27">
        <f>I54/Balance_Sheet!I74</f>
        <v>0.11708104089067435</v>
      </c>
      <c r="J55" s="27">
        <f>J54/Balance_Sheet!J74</f>
        <v>9.159896675873451E-2</v>
      </c>
      <c r="K55" s="27">
        <f>K54/Balance_Sheet!K74</f>
        <v>7.0726553015287463E-2</v>
      </c>
      <c r="L55" s="27">
        <f>L54/Balance_Sheet!L74</f>
        <v>4.5325508575547485E-2</v>
      </c>
    </row>
    <row r="56" spans="2:12" ht="18.75" x14ac:dyDescent="0.25">
      <c r="B56" s="8" t="s">
        <v>31</v>
      </c>
      <c r="C56" s="4">
        <v>576.6</v>
      </c>
      <c r="D56" s="4">
        <v>609.1</v>
      </c>
      <c r="E56" s="4">
        <v>844.3</v>
      </c>
      <c r="F56" s="4">
        <v>913.3</v>
      </c>
      <c r="G56" s="4">
        <v>819.1</v>
      </c>
      <c r="H56" s="24">
        <f>H74*H57</f>
        <v>1063.2393862368378</v>
      </c>
      <c r="I56" s="24">
        <f t="shared" ref="I56:L56" si="42">I74*I57</f>
        <v>1200.1625522536706</v>
      </c>
      <c r="J56" s="24">
        <f t="shared" si="42"/>
        <v>1371.4681560158174</v>
      </c>
      <c r="K56" s="24">
        <f t="shared" si="42"/>
        <v>1579.6168290652834</v>
      </c>
      <c r="L56" s="24">
        <f t="shared" si="42"/>
        <v>1755.0255647947033</v>
      </c>
    </row>
    <row r="57" spans="2:12" x14ac:dyDescent="0.25">
      <c r="B57" s="17" t="s">
        <v>228</v>
      </c>
      <c r="C57" s="18">
        <f>C56/Balance_Sheet!C74</f>
        <v>1.9743532674759028E-2</v>
      </c>
      <c r="D57" s="18">
        <f>D56/Balance_Sheet!D74</f>
        <v>1.8106897080644235E-2</v>
      </c>
      <c r="E57" s="18">
        <f>E56/Balance_Sheet!E74</f>
        <v>2.2431551655137869E-2</v>
      </c>
      <c r="F57" s="18">
        <f>F56/Balance_Sheet!F74</f>
        <v>2.308822021433973E-2</v>
      </c>
      <c r="G57" s="18">
        <f>G56/Balance_Sheet!G74</f>
        <v>1.6516669182437105E-2</v>
      </c>
      <c r="H57" s="25">
        <f>MEDIAN(C57:G57)</f>
        <v>1.9743532674759028E-2</v>
      </c>
      <c r="I57" s="25">
        <f t="shared" ref="I57:L57" si="43">H57</f>
        <v>1.9743532674759028E-2</v>
      </c>
      <c r="J57" s="25">
        <f t="shared" si="43"/>
        <v>1.9743532674759028E-2</v>
      </c>
      <c r="K57" s="25">
        <f t="shared" si="43"/>
        <v>1.9743532674759028E-2</v>
      </c>
      <c r="L57" s="25">
        <f t="shared" si="43"/>
        <v>1.9743532674759028E-2</v>
      </c>
    </row>
    <row r="58" spans="2:12" ht="18.75" x14ac:dyDescent="0.25">
      <c r="B58" s="8" t="s">
        <v>32</v>
      </c>
      <c r="C58" s="4">
        <v>5.2</v>
      </c>
      <c r="D58" s="4">
        <v>4.3</v>
      </c>
      <c r="E58" s="4">
        <v>4.5</v>
      </c>
      <c r="F58" s="4">
        <v>4.7</v>
      </c>
      <c r="G58" s="4">
        <v>13.6</v>
      </c>
      <c r="H58" s="24">
        <f>ROUND(H74*H59,2)</f>
        <v>14.77</v>
      </c>
      <c r="I58" s="24">
        <f t="shared" ref="I58:L58" si="44">ROUND(I74*I59,2)</f>
        <v>16.670000000000002</v>
      </c>
      <c r="J58" s="24">
        <f t="shared" si="44"/>
        <v>19.05</v>
      </c>
      <c r="K58" s="24">
        <f t="shared" si="44"/>
        <v>21.94</v>
      </c>
      <c r="L58" s="24">
        <f t="shared" si="44"/>
        <v>24.38</v>
      </c>
    </row>
    <row r="59" spans="2:12" x14ac:dyDescent="0.25">
      <c r="B59" s="17" t="s">
        <v>229</v>
      </c>
      <c r="C59" s="18">
        <f>C58/Balance_Sheet!C74</f>
        <v>1.7805475183618963E-4</v>
      </c>
      <c r="D59" s="18">
        <f>D58/Balance_Sheet!D74</f>
        <v>1.2782738047409327E-4</v>
      </c>
      <c r="E59" s="18">
        <f>E58/Balance_Sheet!E74</f>
        <v>1.1955700870321025E-4</v>
      </c>
      <c r="F59" s="18">
        <f>F58/Balance_Sheet!F74</f>
        <v>1.1881598051833651E-4</v>
      </c>
      <c r="G59" s="18">
        <f>G58/Balance_Sheet!G74</f>
        <v>2.7423599179727094E-4</v>
      </c>
      <c r="H59" s="25">
        <f>G59</f>
        <v>2.7423599179727094E-4</v>
      </c>
      <c r="I59" s="25">
        <f t="shared" ref="I59:L59" si="45">H59</f>
        <v>2.7423599179727094E-4</v>
      </c>
      <c r="J59" s="25">
        <f t="shared" si="45"/>
        <v>2.7423599179727094E-4</v>
      </c>
      <c r="K59" s="25">
        <f t="shared" si="45"/>
        <v>2.7423599179727094E-4</v>
      </c>
      <c r="L59" s="25">
        <f t="shared" si="45"/>
        <v>2.7423599179727094E-4</v>
      </c>
    </row>
    <row r="60" spans="2:12" ht="18.75" x14ac:dyDescent="0.25">
      <c r="B60" s="8" t="s">
        <v>33</v>
      </c>
      <c r="C60" s="5">
        <v>2640.3</v>
      </c>
      <c r="D60" s="5">
        <v>3178.2</v>
      </c>
      <c r="E60" s="5">
        <v>4174.3</v>
      </c>
      <c r="F60" s="5">
        <v>3792.2</v>
      </c>
      <c r="G60" s="5">
        <v>5122.96</v>
      </c>
      <c r="H60" s="28"/>
      <c r="I60" s="28"/>
      <c r="J60" s="28"/>
      <c r="K60" s="28"/>
      <c r="L60" s="28"/>
    </row>
    <row r="61" spans="2:12" x14ac:dyDescent="0.25">
      <c r="B61" s="17" t="s">
        <v>230</v>
      </c>
      <c r="C61" s="18">
        <f>C60/Balance_Sheet!C74</f>
        <v>9.0407300244825295E-2</v>
      </c>
      <c r="D61" s="18">
        <f>D60/Balance_Sheet!D74</f>
        <v>9.4479297819247257E-2</v>
      </c>
      <c r="E61" s="18">
        <f>E60/Balance_Sheet!E74</f>
        <v>0.11090373809551346</v>
      </c>
      <c r="F61" s="18">
        <f>F60/Balance_Sheet!F74</f>
        <v>9.586680028119908E-2</v>
      </c>
      <c r="G61" s="18">
        <f>G60/Balance_Sheet!G74</f>
        <v>0.10330147180424612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150</v>
      </c>
      <c r="D62" s="4">
        <v>0</v>
      </c>
      <c r="E62" s="4">
        <v>0</v>
      </c>
      <c r="F62" s="4">
        <v>0</v>
      </c>
      <c r="G62" s="4">
        <v>0</v>
      </c>
      <c r="H62" s="24">
        <f>ROUND(H74*H63,2)</f>
        <v>0</v>
      </c>
      <c r="I62" s="24">
        <f t="shared" ref="I62:L62" si="46">ROUND(I74*I63,2)</f>
        <v>0</v>
      </c>
      <c r="J62" s="24">
        <f t="shared" si="46"/>
        <v>0</v>
      </c>
      <c r="K62" s="24">
        <f t="shared" si="46"/>
        <v>0</v>
      </c>
      <c r="L62" s="24">
        <f t="shared" si="46"/>
        <v>0</v>
      </c>
    </row>
    <row r="63" spans="2:12" x14ac:dyDescent="0.25">
      <c r="B63" s="17" t="s">
        <v>231</v>
      </c>
      <c r="C63" s="18">
        <f>C62/Balance_Sheet!C74</f>
        <v>5.1361947645054704E-3</v>
      </c>
      <c r="D63" s="18">
        <f>D62/Balance_Sheet!D74</f>
        <v>0</v>
      </c>
      <c r="E63" s="18">
        <f>E62/Balance_Sheet!E74</f>
        <v>0</v>
      </c>
      <c r="F63" s="18">
        <f>F62/Balance_Sheet!F74</f>
        <v>0</v>
      </c>
      <c r="G63" s="18">
        <f>G62/Balance_Sheet!G74</f>
        <v>0</v>
      </c>
      <c r="H63" s="25">
        <f>G63</f>
        <v>0</v>
      </c>
      <c r="I63" s="25">
        <f t="shared" ref="I63:L63" si="47">H63</f>
        <v>0</v>
      </c>
      <c r="J63" s="25">
        <f t="shared" si="47"/>
        <v>0</v>
      </c>
      <c r="K63" s="25">
        <f t="shared" si="47"/>
        <v>0</v>
      </c>
      <c r="L63" s="25">
        <f t="shared" si="47"/>
        <v>0</v>
      </c>
    </row>
    <row r="64" spans="2:12" ht="18.75" x14ac:dyDescent="0.25">
      <c r="B64" s="8" t="s">
        <v>41</v>
      </c>
      <c r="C64" s="5">
        <v>4904</v>
      </c>
      <c r="D64" s="5">
        <v>5583.4</v>
      </c>
      <c r="E64" s="5">
        <v>6798.7</v>
      </c>
      <c r="F64" s="5">
        <v>6261.2</v>
      </c>
      <c r="G64" s="5">
        <v>4071.4</v>
      </c>
      <c r="H64" s="28">
        <f>H74*H65</f>
        <v>8938.4120051421305</v>
      </c>
      <c r="I64" s="28">
        <f t="shared" ref="I64:L64" si="48">I74*I65</f>
        <v>10089.493959732465</v>
      </c>
      <c r="J64" s="28">
        <f t="shared" si="48"/>
        <v>11529.621258472896</v>
      </c>
      <c r="K64" s="28">
        <f t="shared" si="48"/>
        <v>13279.479871804326</v>
      </c>
      <c r="L64" s="28">
        <f t="shared" si="48"/>
        <v>14754.101268966717</v>
      </c>
    </row>
    <row r="65" spans="2:12" x14ac:dyDescent="0.25">
      <c r="B65" s="17" t="s">
        <v>232</v>
      </c>
      <c r="C65" s="18">
        <f>C64/Balance_Sheet!C74</f>
        <v>0.16791932750089883</v>
      </c>
      <c r="D65" s="18">
        <f>D64/Balance_Sheet!D74</f>
        <v>0.1659793944509424</v>
      </c>
      <c r="E65" s="18">
        <f>E64/Balance_Sheet!E74</f>
        <v>0.18062938557122565</v>
      </c>
      <c r="F65" s="18">
        <f>F64/Balance_Sheet!F74</f>
        <v>0.15828311004710818</v>
      </c>
      <c r="G65" s="18">
        <f>G64/Balance_Sheet!G74</f>
        <v>8.209738360319184E-2</v>
      </c>
      <c r="H65" s="25">
        <f>MEDIAN(C65:G65)</f>
        <v>0.1659793944509424</v>
      </c>
      <c r="I65" s="25">
        <f t="shared" ref="I65:L65" si="49">H65</f>
        <v>0.1659793944509424</v>
      </c>
      <c r="J65" s="25">
        <f t="shared" si="49"/>
        <v>0.1659793944509424</v>
      </c>
      <c r="K65" s="25">
        <f t="shared" si="49"/>
        <v>0.1659793944509424</v>
      </c>
      <c r="L65" s="25">
        <f t="shared" si="49"/>
        <v>0.1659793944509424</v>
      </c>
    </row>
    <row r="66" spans="2:12" ht="18.75" x14ac:dyDescent="0.25">
      <c r="B66" s="8" t="s">
        <v>37</v>
      </c>
      <c r="C66" s="4">
        <v>65.900000000000006</v>
      </c>
      <c r="D66" s="4">
        <v>75.2</v>
      </c>
      <c r="E66" s="4">
        <v>35.799999999999997</v>
      </c>
      <c r="F66" s="4">
        <v>24.2</v>
      </c>
      <c r="G66" s="4">
        <v>40.5</v>
      </c>
      <c r="H66" s="24">
        <f>H74*H67</f>
        <v>51.221435627633369</v>
      </c>
      <c r="I66" s="24">
        <f t="shared" ref="I66:L66" si="50">I74*I67</f>
        <v>57.81769346462503</v>
      </c>
      <c r="J66" s="24">
        <f t="shared" si="50"/>
        <v>66.07032130115735</v>
      </c>
      <c r="K66" s="24">
        <f t="shared" si="50"/>
        <v>76.097859779877354</v>
      </c>
      <c r="L66" s="24">
        <f t="shared" si="50"/>
        <v>84.548155528879718</v>
      </c>
    </row>
    <row r="67" spans="2:12" x14ac:dyDescent="0.25">
      <c r="B67" s="17" t="s">
        <v>233</v>
      </c>
      <c r="C67" s="18">
        <f>C66/Balance_Sheet!C74</f>
        <v>2.2565015665394032E-3</v>
      </c>
      <c r="D67" s="18">
        <f>D66/Balance_Sheet!D74</f>
        <v>2.2354927934073988E-3</v>
      </c>
      <c r="E67" s="18">
        <f>E66/Balance_Sheet!E74</f>
        <v>9.5114242479442813E-4</v>
      </c>
      <c r="F67" s="18">
        <f>F66/Balance_Sheet!F74</f>
        <v>6.1177589969015815E-4</v>
      </c>
      <c r="G67" s="18">
        <f>G66/Balance_Sheet!G74</f>
        <v>8.1665865204334363E-4</v>
      </c>
      <c r="H67" s="25">
        <f>MEDIAN(C67:G67)</f>
        <v>9.5114242479442813E-4</v>
      </c>
      <c r="I67" s="25">
        <f t="shared" ref="I67:L67" si="51">H67</f>
        <v>9.5114242479442813E-4</v>
      </c>
      <c r="J67" s="25">
        <f t="shared" si="51"/>
        <v>9.5114242479442813E-4</v>
      </c>
      <c r="K67" s="25">
        <f t="shared" si="51"/>
        <v>9.5114242479442813E-4</v>
      </c>
      <c r="L67" s="25">
        <f t="shared" si="51"/>
        <v>9.5114242479442813E-4</v>
      </c>
    </row>
    <row r="68" spans="2:12" ht="18.75" x14ac:dyDescent="0.25">
      <c r="B68" s="8" t="s">
        <v>38</v>
      </c>
      <c r="C68" s="5">
        <v>6497.9</v>
      </c>
      <c r="D68" s="5">
        <v>6958.6</v>
      </c>
      <c r="E68" s="5">
        <v>7577.2</v>
      </c>
      <c r="F68" s="5">
        <v>6472.8</v>
      </c>
      <c r="G68" s="5">
        <v>11933.4</v>
      </c>
      <c r="H68" s="28">
        <f>H69*H74</f>
        <v>10801.841640725415</v>
      </c>
      <c r="I68" s="28">
        <f t="shared" ref="I68:L68" si="52">I69*I74</f>
        <v>12192.894657953588</v>
      </c>
      <c r="J68" s="28">
        <f t="shared" si="52"/>
        <v>13933.251559663944</v>
      </c>
      <c r="K68" s="28">
        <f t="shared" si="52"/>
        <v>16047.9108105456</v>
      </c>
      <c r="L68" s="28">
        <f t="shared" si="52"/>
        <v>17829.952945435994</v>
      </c>
    </row>
    <row r="69" spans="2:12" x14ac:dyDescent="0.25">
      <c r="B69" s="17" t="s">
        <v>234</v>
      </c>
      <c r="C69" s="18">
        <f>C68/Balance_Sheet!C74</f>
        <v>0.22249653306853395</v>
      </c>
      <c r="D69" s="18">
        <f>D68/Balance_Sheet!D74</f>
        <v>0.20686037436442453</v>
      </c>
      <c r="E69" s="18">
        <f>E68/Balance_Sheet!E74</f>
        <v>0.20131274807688104</v>
      </c>
      <c r="F69" s="18">
        <f>F68/Balance_Sheet!F74</f>
        <v>0.16363235717001884</v>
      </c>
      <c r="G69" s="18">
        <f>G68/Balance_Sheet!G74</f>
        <v>0.24062998415540832</v>
      </c>
      <c r="H69" s="25">
        <f>GROWTH(C69:G69,C4:G4,H4)</f>
        <v>0.20058184087410164</v>
      </c>
      <c r="I69" s="25">
        <f t="shared" ref="I69:L69" si="53">H69</f>
        <v>0.20058184087410164</v>
      </c>
      <c r="J69" s="25">
        <f t="shared" si="53"/>
        <v>0.20058184087410164</v>
      </c>
      <c r="K69" s="25">
        <f t="shared" si="53"/>
        <v>0.20058184087410164</v>
      </c>
      <c r="L69" s="25">
        <f t="shared" si="53"/>
        <v>0.20058184087410164</v>
      </c>
    </row>
    <row r="70" spans="2:12" ht="18.75" x14ac:dyDescent="0.25">
      <c r="B70" s="8" t="s">
        <v>39</v>
      </c>
      <c r="C70" s="5">
        <v>3044.3</v>
      </c>
      <c r="D70" s="5">
        <f>CashFlow_Statement!D48+C70</f>
        <v>6496.4153761574471</v>
      </c>
      <c r="E70" s="5">
        <f>CashFlow_Statement!E48+D70</f>
        <v>9396.4477188313867</v>
      </c>
      <c r="F70" s="5">
        <f>CashFlow_Statement!F48+E70</f>
        <v>10755.068511274147</v>
      </c>
      <c r="G70" s="5">
        <f>CashFlow_Statement!G48+F70</f>
        <v>21675.013425051387</v>
      </c>
      <c r="H70" s="28">
        <f>CashFlow_Statement!H48+G70</f>
        <v>30511.089116935975</v>
      </c>
      <c r="I70" s="28">
        <f>CashFlow_Statement!I48+H70</f>
        <v>40796.805240932736</v>
      </c>
      <c r="J70" s="28">
        <f>CashFlow_Statement!J48+I70</f>
        <v>51758.692073903032</v>
      </c>
      <c r="K70" s="28">
        <f>CashFlow_Statement!K48+J70</f>
        <v>63528.192441986612</v>
      </c>
      <c r="L70" s="28">
        <f>CashFlow_Statement!L48+K70</f>
        <v>76974.327808461167</v>
      </c>
    </row>
    <row r="71" spans="2:12" x14ac:dyDescent="0.25">
      <c r="B71" s="17" t="s">
        <v>235</v>
      </c>
      <c r="C71" s="18">
        <f>C70/Balance_Sheet!C74</f>
        <v>0.10424078481056002</v>
      </c>
      <c r="D71" s="18">
        <f>D70/Balance_Sheet!D74</f>
        <v>0.19312087441995995</v>
      </c>
      <c r="E71" s="18">
        <f>E70/Balance_Sheet!E74</f>
        <v>0.24964692926657425</v>
      </c>
      <c r="F71" s="18">
        <f>F70/Balance_Sheet!F74</f>
        <v>0.2718880873848773</v>
      </c>
      <c r="G71" s="18">
        <f>G70/Balance_Sheet!G74</f>
        <v>0.43706388263515661</v>
      </c>
      <c r="H71" s="25">
        <f>H70/Balance_Sheet!H74</f>
        <v>0.56656731562098595</v>
      </c>
      <c r="I71" s="25">
        <f>I70/Balance_Sheet!I74</f>
        <v>0.67113663543960356</v>
      </c>
      <c r="J71" s="25">
        <f>J70/Balance_Sheet!J74</f>
        <v>0.74511349292466544</v>
      </c>
      <c r="K71" s="25">
        <f>K70/Balance_Sheet!K74</f>
        <v>0.79403493313561346</v>
      </c>
      <c r="L71" s="25">
        <f>L70/Balance_Sheet!L74</f>
        <v>0.86593904196588722</v>
      </c>
    </row>
    <row r="72" spans="2:12" ht="18.75" x14ac:dyDescent="0.25">
      <c r="B72" s="9" t="s">
        <v>42</v>
      </c>
      <c r="C72" s="7">
        <f>C56+C58+C60+C62+C64+C66+C68+C70</f>
        <v>17884.2</v>
      </c>
      <c r="D72" s="7">
        <f t="shared" ref="D72:L72" si="54">D56+D58+D60+D62+D64+D66+D68+D70</f>
        <v>22905.215376157452</v>
      </c>
      <c r="E72" s="7">
        <f t="shared" si="54"/>
        <v>28831.247718831386</v>
      </c>
      <c r="F72" s="7">
        <f t="shared" si="54"/>
        <v>28223.46851127415</v>
      </c>
      <c r="G72" s="7">
        <f t="shared" si="54"/>
        <v>43675.973425051387</v>
      </c>
      <c r="H72" s="29">
        <f t="shared" si="54"/>
        <v>51380.573584667989</v>
      </c>
      <c r="I72" s="29">
        <f t="shared" si="54"/>
        <v>64353.844104337084</v>
      </c>
      <c r="J72" s="29">
        <f t="shared" si="54"/>
        <v>78678.153369356849</v>
      </c>
      <c r="K72" s="29">
        <f t="shared" si="54"/>
        <v>94533.237813181695</v>
      </c>
      <c r="L72" s="29">
        <f t="shared" si="54"/>
        <v>111422.33574318746</v>
      </c>
    </row>
    <row r="73" spans="2:12" x14ac:dyDescent="0.25">
      <c r="B73" s="19" t="s">
        <v>236</v>
      </c>
      <c r="C73" s="20">
        <f>C72/Balance_Sheet!C74</f>
        <v>0.61237822938245823</v>
      </c>
      <c r="D73" s="20">
        <f>D72/Balance_Sheet!D74</f>
        <v>0.68091015830909996</v>
      </c>
      <c r="E73" s="20">
        <f>E72/Balance_Sheet!E74</f>
        <v>0.7659950520988299</v>
      </c>
      <c r="F73" s="20">
        <f>F72/Balance_Sheet!F74</f>
        <v>0.71348916697775178</v>
      </c>
      <c r="G73" s="20">
        <f>G72/Balance_Sheet!G74</f>
        <v>0.88070028602428063</v>
      </c>
      <c r="H73" s="27">
        <f>H72/Balance_Sheet!H74</f>
        <v>0.95409749351665429</v>
      </c>
      <c r="I73" s="27">
        <f>I72/Balance_Sheet!I74</f>
        <v>1.0586667792912232</v>
      </c>
      <c r="J73" s="27">
        <f>J72/Balance_Sheet!J74</f>
        <v>1.1326436454421649</v>
      </c>
      <c r="K73" s="27">
        <f>K72/Balance_Sheet!K74</f>
        <v>1.1815650702580491</v>
      </c>
      <c r="L73" s="27">
        <f>L72/Balance_Sheet!L74</f>
        <v>1.253469220376243</v>
      </c>
    </row>
    <row r="74" spans="2:12" ht="18.75" x14ac:dyDescent="0.25">
      <c r="B74" s="9" t="s">
        <v>43</v>
      </c>
      <c r="C74" s="7">
        <f>C54+C72</f>
        <v>29204.5</v>
      </c>
      <c r="D74" s="7">
        <f t="shared" ref="D74:G74" si="55">D54+D72</f>
        <v>33639.115376157453</v>
      </c>
      <c r="E74" s="7">
        <f t="shared" si="55"/>
        <v>37638.94771883139</v>
      </c>
      <c r="F74" s="7">
        <f t="shared" si="55"/>
        <v>39556.96851127415</v>
      </c>
      <c r="G74" s="7">
        <f t="shared" si="55"/>
        <v>49592.323425051385</v>
      </c>
      <c r="H74" s="29">
        <f>Income_Statement!H5/H80</f>
        <v>53852.540158435193</v>
      </c>
      <c r="I74" s="29">
        <f>Income_Statement!I5/I80</f>
        <v>60787.62965191176</v>
      </c>
      <c r="J74" s="29">
        <f>Income_Statement!J5/J80</f>
        <v>69464.172324599262</v>
      </c>
      <c r="K74" s="29">
        <f>Income_Statement!K5/K80</f>
        <v>80006.797926529776</v>
      </c>
      <c r="L74" s="29">
        <f>Income_Statement!L5/L80</f>
        <v>88891.162169696341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1.0537040524576693</v>
      </c>
      <c r="D80">
        <f>Income_Statement!D5/D74</f>
        <v>1.0327887523648827</v>
      </c>
      <c r="E80">
        <f>Income_Statement!E5/E74</f>
        <v>0.97950931772607641</v>
      </c>
      <c r="F80">
        <f>Income_Statement!F5/F74</f>
        <v>0.95697677108929369</v>
      </c>
      <c r="G80">
        <f>Income_Statement!G5/G74</f>
        <v>0.90025989743096502</v>
      </c>
      <c r="H80">
        <f>GROWTH(C80:G80,C4:G4,H4)</f>
        <v>0.87429526447411299</v>
      </c>
      <c r="I80">
        <f t="shared" ref="I80:L80" si="56">GROWTH(D80:H80,D4:H4,I4)</f>
        <v>0.8355746879911643</v>
      </c>
      <c r="J80">
        <f t="shared" si="56"/>
        <v>0.80315116946417553</v>
      </c>
      <c r="K80">
        <f t="shared" si="56"/>
        <v>0.76800624388974936</v>
      </c>
      <c r="L80">
        <f t="shared" si="56"/>
        <v>0.73990255894727164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9ED91EF3-EFBA-40B9-BBD8-4A990BC027C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9AED-F2D1-4BD6-982C-8D2EAE23ABC5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4.85546875" bestFit="1" customWidth="1"/>
    <col min="7" max="7" width="15.42578125" bestFit="1" customWidth="1"/>
    <col min="8" max="12" width="19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5609.7153761574464</v>
      </c>
      <c r="E5" s="5">
        <f>Income_Statement!E45</f>
        <v>5281.8323426739416</v>
      </c>
      <c r="F5" s="5">
        <f>Income_Statement!F45</f>
        <v>6003.4207924427583</v>
      </c>
      <c r="G5" s="5">
        <f>Income_Statement!G45</f>
        <v>7453.1049137772397</v>
      </c>
      <c r="H5" s="28">
        <f>Income_Statement!H45</f>
        <v>12048.341226220433</v>
      </c>
      <c r="I5" s="28">
        <f>Income_Statement!I45</f>
        <v>12858.772730336685</v>
      </c>
      <c r="J5" s="28">
        <f>Income_Statement!J45</f>
        <v>13984.956382630846</v>
      </c>
      <c r="K5" s="28">
        <f>Income_Statement!K45</f>
        <v>15222.077354523693</v>
      </c>
      <c r="L5" s="28">
        <f>Income_Statement!L45</f>
        <v>16125.814336031668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5">
        <f>Income_Statement!D31</f>
        <v>1129.2</v>
      </c>
      <c r="E7" s="5">
        <f>Income_Statement!E31</f>
        <v>1445.8</v>
      </c>
      <c r="F7" s="5">
        <f>Income_Statement!F31</f>
        <v>1457.7</v>
      </c>
      <c r="G7" s="5">
        <f>Income_Statement!G31</f>
        <v>1520.4</v>
      </c>
      <c r="H7" s="28">
        <f>Income_Statement!H31</f>
        <v>2598.9874951612496</v>
      </c>
      <c r="I7" s="28">
        <f>Income_Statement!I31</f>
        <v>2933.6842168765552</v>
      </c>
      <c r="J7" s="28">
        <f>Income_Statement!J31</f>
        <v>3352.4258090139006</v>
      </c>
      <c r="K7" s="28">
        <f>Income_Statement!K31</f>
        <v>3861.22326420833</v>
      </c>
      <c r="L7" s="28">
        <f>Income_Statement!L31</f>
        <v>4289.9952914561491</v>
      </c>
    </row>
    <row r="8" spans="2:15" ht="18.75" x14ac:dyDescent="0.25">
      <c r="B8" s="8" t="s">
        <v>131</v>
      </c>
      <c r="C8" s="4"/>
      <c r="D8" s="4">
        <f>Income_Statement!D35</f>
        <v>133.19999999999999</v>
      </c>
      <c r="E8" s="4">
        <f>Income_Statement!E35</f>
        <v>191.9</v>
      </c>
      <c r="F8" s="4">
        <f>Income_Statement!F35</f>
        <v>174</v>
      </c>
      <c r="G8" s="4">
        <f>Income_Statement!G35</f>
        <v>162.6</v>
      </c>
      <c r="H8" s="24">
        <f>Income_Statement!H35</f>
        <v>176.56788712480486</v>
      </c>
      <c r="I8" s="24">
        <f>Income_Statement!I35</f>
        <v>199.3062152051607</v>
      </c>
      <c r="J8" s="24">
        <f>Income_Statement!J35</f>
        <v>227.75446994020444</v>
      </c>
      <c r="K8" s="24">
        <f>Income_Statement!K35</f>
        <v>262.32056025214291</v>
      </c>
      <c r="L8" s="24">
        <f>Income_Statement!L35</f>
        <v>291.45052578868302</v>
      </c>
    </row>
    <row r="9" spans="2:15" ht="18.75" x14ac:dyDescent="0.25">
      <c r="B9" s="8" t="s">
        <v>59</v>
      </c>
      <c r="C9" s="4"/>
      <c r="D9" s="4">
        <f>Income_Statement!D11</f>
        <v>534.20000000000005</v>
      </c>
      <c r="E9" s="4">
        <f>Income_Statement!E11</f>
        <v>1192.4000000000001</v>
      </c>
      <c r="F9" s="4">
        <f>Income_Statement!F11</f>
        <v>787.1</v>
      </c>
      <c r="G9" s="4">
        <f>Income_Statement!G11</f>
        <v>1112.3</v>
      </c>
      <c r="H9" s="24">
        <f>Income_Statement!H11</f>
        <v>1173.0158926022289</v>
      </c>
      <c r="I9" s="24">
        <f>Income_Statement!I11</f>
        <v>1265.4356380058391</v>
      </c>
      <c r="J9" s="24">
        <f>Income_Statement!J11</f>
        <v>1389.9453927639411</v>
      </c>
      <c r="K9" s="24">
        <f>Income_Statement!K11</f>
        <v>1530.8449889052299</v>
      </c>
      <c r="L9" s="24">
        <f>Income_Statement!L11</f>
        <v>1638.5990186051188</v>
      </c>
    </row>
    <row r="10" spans="2:15" ht="18.75" x14ac:dyDescent="0.25">
      <c r="B10" s="9" t="s">
        <v>132</v>
      </c>
      <c r="C10" s="6"/>
      <c r="D10" s="7">
        <f>D7+D8-D9</f>
        <v>728.2</v>
      </c>
      <c r="E10" s="7">
        <f t="shared" ref="E10:L10" si="0">E7+E8-E9</f>
        <v>445.29999999999995</v>
      </c>
      <c r="F10" s="7">
        <f t="shared" si="0"/>
        <v>844.6</v>
      </c>
      <c r="G10" s="7">
        <f t="shared" si="0"/>
        <v>570.70000000000005</v>
      </c>
      <c r="H10" s="29">
        <f t="shared" si="0"/>
        <v>1602.5394896838254</v>
      </c>
      <c r="I10" s="29">
        <f t="shared" si="0"/>
        <v>1867.5547940758768</v>
      </c>
      <c r="J10" s="29">
        <f t="shared" si="0"/>
        <v>2190.2348861901642</v>
      </c>
      <c r="K10" s="29">
        <f t="shared" si="0"/>
        <v>2592.698835555243</v>
      </c>
      <c r="L10" s="29">
        <f t="shared" si="0"/>
        <v>2942.8467986397136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-32.5</v>
      </c>
      <c r="E12" s="4">
        <f>Balance_Sheet!D56-Balance_Sheet!E56</f>
        <v>-235.19999999999993</v>
      </c>
      <c r="F12" s="4">
        <f>Balance_Sheet!E56-Balance_Sheet!F56</f>
        <v>-69</v>
      </c>
      <c r="G12" s="4">
        <f>Balance_Sheet!F56-Balance_Sheet!G56</f>
        <v>94.199999999999932</v>
      </c>
      <c r="H12" s="24">
        <f>Balance_Sheet!G56-Balance_Sheet!H56</f>
        <v>-244.13938623683782</v>
      </c>
      <c r="I12" s="24">
        <f>Balance_Sheet!H56-Balance_Sheet!I56</f>
        <v>-136.92316601683274</v>
      </c>
      <c r="J12" s="24">
        <f>Balance_Sheet!I56-Balance_Sheet!J56</f>
        <v>-171.3056037621468</v>
      </c>
      <c r="K12" s="24">
        <f>Balance_Sheet!J56-Balance_Sheet!K56</f>
        <v>-208.14867304946597</v>
      </c>
      <c r="L12" s="24">
        <f>Balance_Sheet!K56-Balance_Sheet!L56</f>
        <v>-175.40873572941996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0.90000000000000036</v>
      </c>
      <c r="E13" s="4">
        <f>Balance_Sheet!D58-Balance_Sheet!E58</f>
        <v>-0.20000000000000018</v>
      </c>
      <c r="F13" s="4">
        <f>Balance_Sheet!E58-Balance_Sheet!F58</f>
        <v>-0.20000000000000018</v>
      </c>
      <c r="G13" s="4">
        <f>Balance_Sheet!F58-Balance_Sheet!G58</f>
        <v>-8.8999999999999986</v>
      </c>
      <c r="H13" s="24">
        <f>Balance_Sheet!G58-Balance_Sheet!H58</f>
        <v>-1.17</v>
      </c>
      <c r="I13" s="24">
        <f>Balance_Sheet!H58-Balance_Sheet!I58</f>
        <v>-1.9000000000000021</v>
      </c>
      <c r="J13" s="24">
        <f>Balance_Sheet!I58-Balance_Sheet!J58</f>
        <v>-2.379999999999999</v>
      </c>
      <c r="K13" s="24">
        <f>Balance_Sheet!J58-Balance_Sheet!K58</f>
        <v>-2.8900000000000006</v>
      </c>
      <c r="L13" s="24">
        <f>Balance_Sheet!K58-Balance_Sheet!L58</f>
        <v>-2.4399999999999977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-537.89999999999964</v>
      </c>
      <c r="E14" s="5">
        <f>Balance_Sheet!D60-Balance_Sheet!E60</f>
        <v>-996.10000000000036</v>
      </c>
      <c r="F14" s="5">
        <f>Balance_Sheet!E60-Balance_Sheet!F60</f>
        <v>382.10000000000036</v>
      </c>
      <c r="G14" s="5">
        <f>Balance_Sheet!F60-Balance_Sheet!G60</f>
        <v>-1330.7600000000002</v>
      </c>
      <c r="H14" s="28">
        <f>Balance_Sheet!G60-Balance_Sheet!H60</f>
        <v>5122.96</v>
      </c>
      <c r="I14" s="28">
        <f>Balance_Sheet!H60-Balance_Sheet!I60</f>
        <v>0</v>
      </c>
      <c r="J14" s="28">
        <f>Balance_Sheet!I60-Balance_Sheet!J60</f>
        <v>0</v>
      </c>
      <c r="K14" s="28">
        <f>Balance_Sheet!J60-Balance_Sheet!K60</f>
        <v>0</v>
      </c>
      <c r="L14" s="28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150</v>
      </c>
      <c r="E15" s="4">
        <f>Balance_Sheet!D62-Balance_Sheet!E62</f>
        <v>0</v>
      </c>
      <c r="F15" s="4">
        <f>Balance_Sheet!E62-Balance_Sheet!F62</f>
        <v>0</v>
      </c>
      <c r="G15" s="4">
        <f>Balance_Sheet!F62-Balance_Sheet!G62</f>
        <v>0</v>
      </c>
      <c r="H15" s="24">
        <f>Balance_Sheet!G62-Balance_Sheet!H62</f>
        <v>0</v>
      </c>
      <c r="I15" s="24">
        <f>Balance_Sheet!H62-Balance_Sheet!I62</f>
        <v>0</v>
      </c>
      <c r="J15" s="24">
        <f>Balance_Sheet!I62-Balance_Sheet!J62</f>
        <v>0</v>
      </c>
      <c r="K15" s="24">
        <f>Balance_Sheet!J62-Balance_Sheet!K62</f>
        <v>0</v>
      </c>
      <c r="L15" s="24">
        <f>Balance_Sheet!K62-Balance_Sheet!L62</f>
        <v>0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-679.39999999999964</v>
      </c>
      <c r="E16" s="5">
        <f>Balance_Sheet!D64-Balance_Sheet!E64</f>
        <v>-1215.3000000000002</v>
      </c>
      <c r="F16" s="5">
        <f>Balance_Sheet!E64-Balance_Sheet!F64</f>
        <v>537.5</v>
      </c>
      <c r="G16" s="5">
        <f>Balance_Sheet!F64-Balance_Sheet!G64</f>
        <v>2189.7999999999997</v>
      </c>
      <c r="H16" s="28">
        <f>Balance_Sheet!G64-Balance_Sheet!H64</f>
        <v>-4867.0120051421309</v>
      </c>
      <c r="I16" s="28">
        <f>Balance_Sheet!H64-Balance_Sheet!I64</f>
        <v>-1151.0819545903341</v>
      </c>
      <c r="J16" s="28">
        <f>Balance_Sheet!I64-Balance_Sheet!J64</f>
        <v>-1440.1272987404318</v>
      </c>
      <c r="K16" s="28">
        <f>Balance_Sheet!J64-Balance_Sheet!K64</f>
        <v>-1749.8586133314293</v>
      </c>
      <c r="L16" s="28">
        <f>Balance_Sheet!K64-Balance_Sheet!L64</f>
        <v>-1474.6213971623911</v>
      </c>
    </row>
    <row r="17" spans="2:12" ht="18.75" x14ac:dyDescent="0.25">
      <c r="B17" s="8" t="str">
        <f>Balance_Sheet!B66</f>
        <v>Inventories</v>
      </c>
      <c r="C17" s="4"/>
      <c r="D17" s="4">
        <f>Balance_Sheet!C66-Balance_Sheet!D66</f>
        <v>-9.2999999999999972</v>
      </c>
      <c r="E17" s="4">
        <f>Balance_Sheet!D66-Balance_Sheet!E66</f>
        <v>39.400000000000006</v>
      </c>
      <c r="F17" s="4">
        <f>Balance_Sheet!E66-Balance_Sheet!F66</f>
        <v>11.599999999999998</v>
      </c>
      <c r="G17" s="4">
        <f>Balance_Sheet!F66-Balance_Sheet!G66</f>
        <v>-16.3</v>
      </c>
      <c r="H17" s="24">
        <f>Balance_Sheet!G66-Balance_Sheet!H66</f>
        <v>-10.721435627633369</v>
      </c>
      <c r="I17" s="24">
        <f>Balance_Sheet!H66-Balance_Sheet!I66</f>
        <v>-6.5962578369916613</v>
      </c>
      <c r="J17" s="24">
        <f>Balance_Sheet!I66-Balance_Sheet!J66</f>
        <v>-8.2526278365323193</v>
      </c>
      <c r="K17" s="24">
        <f>Balance_Sheet!J66-Balance_Sheet!K66</f>
        <v>-10.027538478720004</v>
      </c>
      <c r="L17" s="24">
        <f>Balance_Sheet!K66-Balance_Sheet!L66</f>
        <v>-8.4502957490023647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-460.70000000000073</v>
      </c>
      <c r="E18" s="5">
        <f>Balance_Sheet!D68-Balance_Sheet!E68</f>
        <v>-618.59999999999945</v>
      </c>
      <c r="F18" s="5">
        <f>Balance_Sheet!E68-Balance_Sheet!F68</f>
        <v>1104.3999999999996</v>
      </c>
      <c r="G18" s="5">
        <f>Balance_Sheet!F68-Balance_Sheet!G68</f>
        <v>-5460.5999999999995</v>
      </c>
      <c r="H18" s="28">
        <f>Balance_Sheet!G68-Balance_Sheet!H68</f>
        <v>1131.5583592745843</v>
      </c>
      <c r="I18" s="28">
        <f>Balance_Sheet!H68-Balance_Sheet!I68</f>
        <v>-1391.0530172281724</v>
      </c>
      <c r="J18" s="28">
        <f>Balance_Sheet!I68-Balance_Sheet!J68</f>
        <v>-1740.3569017103564</v>
      </c>
      <c r="K18" s="28">
        <f>Balance_Sheet!J68-Balance_Sheet!K68</f>
        <v>-2114.6592508816557</v>
      </c>
      <c r="L18" s="28">
        <f>Balance_Sheet!K68-Balance_Sheet!L68</f>
        <v>-1782.0421348903947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25</v>
      </c>
      <c r="E20" s="4">
        <f>Balance_Sheet!E23-Balance_Sheet!D23</f>
        <v>89</v>
      </c>
      <c r="F20" s="4">
        <f>Balance_Sheet!F23-Balance_Sheet!E23</f>
        <v>111.89999999999998</v>
      </c>
      <c r="G20" s="4">
        <f>Balance_Sheet!G23-Balance_Sheet!F23</f>
        <v>100.10000000000002</v>
      </c>
      <c r="H20" s="24">
        <f>Balance_Sheet!H23-Balance_Sheet!G23</f>
        <v>76.225770347751109</v>
      </c>
      <c r="I20" s="24">
        <f>Balance_Sheet!I23-Balance_Sheet!H23</f>
        <v>123.28369046734974</v>
      </c>
      <c r="J20" s="24">
        <f>Balance_Sheet!J23-Balance_Sheet!I23</f>
        <v>154.24115322412786</v>
      </c>
      <c r="K20" s="24">
        <f>Balance_Sheet!K23-Balance_Sheet!J23</f>
        <v>187.41413396959661</v>
      </c>
      <c r="L20" s="24">
        <f>Balance_Sheet!L23-Balance_Sheet!K23</f>
        <v>157.93555546529274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-7.8000000000000114</v>
      </c>
      <c r="E21" s="4">
        <f>Balance_Sheet!E25-Balance_Sheet!D25</f>
        <v>41.199999999999989</v>
      </c>
      <c r="F21" s="4">
        <f>Balance_Sheet!F25-Balance_Sheet!E25</f>
        <v>94.700000000000045</v>
      </c>
      <c r="G21" s="4">
        <f>Balance_Sheet!G25-Balance_Sheet!F25</f>
        <v>140.5</v>
      </c>
      <c r="H21" s="24">
        <f>Balance_Sheet!H25-Balance_Sheet!G25</f>
        <v>51.435286943015512</v>
      </c>
      <c r="I21" s="24">
        <f>Balance_Sheet!I25-Balance_Sheet!H25</f>
        <v>93.111938770931033</v>
      </c>
      <c r="J21" s="24">
        <f>Balance_Sheet!J25-Balance_Sheet!I25</f>
        <v>116.49304754359446</v>
      </c>
      <c r="K21" s="24">
        <f>Balance_Sheet!K25-Balance_Sheet!J25</f>
        <v>141.54746098881344</v>
      </c>
      <c r="L21" s="24">
        <f>Balance_Sheet!L25-Balance_Sheet!K25</f>
        <v>119.28330271822892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-272.80000000000007</v>
      </c>
      <c r="E22" s="5">
        <f>Balance_Sheet!E27-Balance_Sheet!D27</f>
        <v>1774.1999999999998</v>
      </c>
      <c r="F22" s="5">
        <f>Balance_Sheet!F27-Balance_Sheet!E27</f>
        <v>-204.89999999999986</v>
      </c>
      <c r="G22" s="5">
        <f>Balance_Sheet!G27-Balance_Sheet!F27</f>
        <v>373.39999999999986</v>
      </c>
      <c r="H22" s="28">
        <f>Balance_Sheet!H27-Balance_Sheet!G27</f>
        <v>195.5300000000002</v>
      </c>
      <c r="I22" s="28">
        <f>Balance_Sheet!I27-Balance_Sheet!H27</f>
        <v>318.28999999999996</v>
      </c>
      <c r="J22" s="28">
        <f>Balance_Sheet!J27-Balance_Sheet!I27</f>
        <v>398.2199999999998</v>
      </c>
      <c r="K22" s="28">
        <f>Balance_Sheet!K27-Balance_Sheet!J27</f>
        <v>483.87000000000035</v>
      </c>
      <c r="L22" s="28">
        <f>Balance_Sheet!L27-Balance_Sheet!K27</f>
        <v>407.75999999999976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452.50000000000023</v>
      </c>
      <c r="E23" s="5">
        <f>Balance_Sheet!E29-Balance_Sheet!D29</f>
        <v>767.29999999999973</v>
      </c>
      <c r="F23" s="5">
        <f>Balance_Sheet!F29-Balance_Sheet!E29</f>
        <v>-471.59999999999991</v>
      </c>
      <c r="G23" s="5">
        <f>Balance_Sheet!G29-Balance_Sheet!F29</f>
        <v>1309.6999999999998</v>
      </c>
      <c r="H23" s="28">
        <f>Balance_Sheet!H29-Balance_Sheet!G29</f>
        <v>-109.60328394879252</v>
      </c>
      <c r="I23" s="28">
        <f>Balance_Sheet!I29-Balance_Sheet!H29</f>
        <v>513.19774860510097</v>
      </c>
      <c r="J23" s="28">
        <f>Balance_Sheet!J29-Balance_Sheet!I29</f>
        <v>642.06556663584161</v>
      </c>
      <c r="K23" s="28">
        <f>Balance_Sheet!K29-Balance_Sheet!J29</f>
        <v>780.15600640576122</v>
      </c>
      <c r="L23" s="28">
        <f>Balance_Sheet!L29-Balance_Sheet!K29</f>
        <v>657.44439659640011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1728.5</v>
      </c>
      <c r="E24" s="5">
        <f>Balance_Sheet!E31-Balance_Sheet!D31</f>
        <v>-1267.3000000000002</v>
      </c>
      <c r="F24" s="5">
        <f>Balance_Sheet!F31-Balance_Sheet!E31</f>
        <v>482.09999999999945</v>
      </c>
      <c r="G24" s="5">
        <f>Balance_Sheet!G31-Balance_Sheet!F31</f>
        <v>2063.8000000000002</v>
      </c>
      <c r="H24" s="28">
        <f>Balance_Sheet!H31-Balance_Sheet!G31</f>
        <v>646.79413291594756</v>
      </c>
      <c r="I24" s="28">
        <f>Balance_Sheet!I31-Balance_Sheet!H31</f>
        <v>1052.898356198154</v>
      </c>
      <c r="J24" s="28">
        <f>Balance_Sheet!J31-Balance_Sheet!I31</f>
        <v>1317.2890596652051</v>
      </c>
      <c r="K24" s="28">
        <f>Balance_Sheet!K31-Balance_Sheet!J31</f>
        <v>1600.6012866490946</v>
      </c>
      <c r="L24" s="28">
        <f>Balance_Sheet!L31-Balance_Sheet!K31</f>
        <v>1348.8409221387556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1254.4000000000001</v>
      </c>
      <c r="E26" s="5">
        <f>Income_Statement!E47</f>
        <v>1160.4000000000001</v>
      </c>
      <c r="F26" s="5">
        <f>Income_Statement!F47</f>
        <v>1599.9</v>
      </c>
      <c r="G26" s="5">
        <f>Income_Statement!G47</f>
        <v>1822</v>
      </c>
      <c r="H26" s="28">
        <f>Income_Statement!H47</f>
        <v>2945.3600839020387</v>
      </c>
      <c r="I26" s="28">
        <f>Income_Statement!I47</f>
        <v>3143.4796887623261</v>
      </c>
      <c r="J26" s="28">
        <f>Income_Statement!J47</f>
        <v>3418.7886557254724</v>
      </c>
      <c r="K26" s="28">
        <f>Income_Statement!K47</f>
        <v>3721.217567818489</v>
      </c>
      <c r="L26" s="28">
        <f>Income_Statement!L47</f>
        <v>3942.1468046072714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5440.0153761574466</v>
      </c>
      <c r="E27" s="7">
        <f t="shared" ref="E27:L27" si="1">E12+E13+E14+E15+E16+E17+E18+E20+E21+E22+E23+E24-E26+E10+E5</f>
        <v>2945.1323426739409</v>
      </c>
      <c r="F27" s="7">
        <f t="shared" si="1"/>
        <v>7226.7207924427585</v>
      </c>
      <c r="G27" s="7">
        <f t="shared" si="1"/>
        <v>5656.7449137772401</v>
      </c>
      <c r="H27" s="29">
        <f t="shared" si="1"/>
        <v>12697.378070528124</v>
      </c>
      <c r="I27" s="29">
        <f t="shared" si="1"/>
        <v>10996.075174019439</v>
      </c>
      <c r="J27" s="29">
        <f t="shared" si="1"/>
        <v>12022.289008114838</v>
      </c>
      <c r="K27" s="29">
        <f t="shared" si="1"/>
        <v>13201.563434532443</v>
      </c>
      <c r="L27" s="29">
        <f t="shared" si="1"/>
        <v>14374.815943451578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377.90000000000009</v>
      </c>
      <c r="E29" s="5">
        <f>Balance_Sheet!D40-Balance_Sheet!E40</f>
        <v>-1184.6000000000004</v>
      </c>
      <c r="F29" s="5">
        <f>Balance_Sheet!E40-Balance_Sheet!F40</f>
        <v>418.80000000000018</v>
      </c>
      <c r="G29" s="5">
        <f>Balance_Sheet!F40-Balance_Sheet!G40</f>
        <v>-3026.2</v>
      </c>
      <c r="H29" s="28">
        <f>Balance_Sheet!G40-Balance_Sheet!H40</f>
        <v>-565.73999999999978</v>
      </c>
      <c r="I29" s="28">
        <f>Balance_Sheet!H40-Balance_Sheet!I40</f>
        <v>-920.96</v>
      </c>
      <c r="J29" s="28">
        <f>Balance_Sheet!I40-Balance_Sheet!J40</f>
        <v>-1152.2200000000012</v>
      </c>
      <c r="K29" s="28">
        <f>Balance_Sheet!J40-Balance_Sheet!K40</f>
        <v>-1400.0199999999986</v>
      </c>
      <c r="L29" s="28">
        <f>Balance_Sheet!K40-Balance_Sheet!L40</f>
        <v>-1179.8199999999997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226.89999999999986</v>
      </c>
      <c r="E30" s="5">
        <f>Balance_Sheet!D42-Balance_Sheet!E42</f>
        <v>-54.799999999999955</v>
      </c>
      <c r="F30" s="5">
        <f>Balance_Sheet!E42-Balance_Sheet!F42</f>
        <v>55.200000000000045</v>
      </c>
      <c r="G30" s="5">
        <f>Balance_Sheet!F42-Balance_Sheet!G42</f>
        <v>1450.8</v>
      </c>
      <c r="H30" s="28">
        <f>Balance_Sheet!G42-Balance_Sheet!H42</f>
        <v>0</v>
      </c>
      <c r="I30" s="28">
        <f>Balance_Sheet!H42-Balance_Sheet!I42</f>
        <v>0</v>
      </c>
      <c r="J30" s="28">
        <f>Balance_Sheet!I42-Balance_Sheet!J42</f>
        <v>0</v>
      </c>
      <c r="K30" s="28">
        <f>Balance_Sheet!J42-Balance_Sheet!K42</f>
        <v>0</v>
      </c>
      <c r="L30" s="28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4">
        <f>Balance_Sheet!C48-Balance_Sheet!D48</f>
        <v>493.79999999999995</v>
      </c>
      <c r="E31" s="4">
        <f>Balance_Sheet!D48-Balance_Sheet!E48</f>
        <v>516</v>
      </c>
      <c r="F31" s="4">
        <f>Balance_Sheet!E48-Balance_Sheet!F48</f>
        <v>-339.70000000000005</v>
      </c>
      <c r="G31" s="4">
        <f>Balance_Sheet!F48-Balance_Sheet!G48</f>
        <v>127.85000000000002</v>
      </c>
      <c r="H31" s="24">
        <f>Balance_Sheet!G48-Balance_Sheet!H48</f>
        <v>-335.90336978552818</v>
      </c>
      <c r="I31" s="24">
        <f>Balance_Sheet!H48-Balance_Sheet!I48</f>
        <v>-100.93116767167191</v>
      </c>
      <c r="J31" s="24">
        <f>Balance_Sheet!I48-Balance_Sheet!J48</f>
        <v>-126.27574368451781</v>
      </c>
      <c r="K31" s="24">
        <f>Balance_Sheet!J48-Balance_Sheet!K48</f>
        <v>-153.43414289448299</v>
      </c>
      <c r="L31" s="24">
        <f>Balance_Sheet!K48-Balance_Sheet!L48</f>
        <v>-129.30031514758866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-3144.9999999999995</v>
      </c>
      <c r="E32" s="5">
        <f>Balance_Sheet!D50-Balance_Sheet!E50</f>
        <v>977.59999999999945</v>
      </c>
      <c r="F32" s="5">
        <f>Balance_Sheet!E50-Balance_Sheet!F50</f>
        <v>-4049.5999999999995</v>
      </c>
      <c r="G32" s="5">
        <f>Balance_Sheet!F50-Balance_Sheet!G50</f>
        <v>5226</v>
      </c>
      <c r="H32" s="28">
        <f>Balance_Sheet!G50-Balance_Sheet!H50</f>
        <v>-3593.9900327644345</v>
      </c>
      <c r="I32" s="28">
        <f>Balance_Sheet!H50-Balance_Sheet!I50</f>
        <v>-1034.0831804063773</v>
      </c>
      <c r="J32" s="28">
        <f>Balance_Sheet!I50-Balance_Sheet!J50</f>
        <v>-1293.7492515913509</v>
      </c>
      <c r="K32" s="28">
        <f>Balance_Sheet!J50-Balance_Sheet!K50</f>
        <v>-1571.9987207854829</v>
      </c>
      <c r="L32" s="28">
        <f>Balance_Sheet!K50-Balance_Sheet!L50</f>
        <v>-1324.7372858135732</v>
      </c>
    </row>
    <row r="33" spans="2:12" ht="18.75" x14ac:dyDescent="0.25">
      <c r="B33" s="8" t="str">
        <f>Balance_Sheet!B52</f>
        <v>Capital Work-In-Progress</v>
      </c>
      <c r="C33" s="4"/>
      <c r="D33" s="4">
        <f>Balance_Sheet!C52-Balance_Sheet!D52</f>
        <v>1503.6000000000001</v>
      </c>
      <c r="E33" s="4">
        <f>Balance_Sheet!D52-Balance_Sheet!E52</f>
        <v>226.20000000000002</v>
      </c>
      <c r="F33" s="4">
        <f>Balance_Sheet!E52-Balance_Sheet!F52</f>
        <v>-68.199999999999989</v>
      </c>
      <c r="G33" s="4">
        <f>Balance_Sheet!F52-Balance_Sheet!G52</f>
        <v>118.3</v>
      </c>
      <c r="H33" s="24">
        <f>Balance_Sheet!G52-Balance_Sheet!H52</f>
        <v>-161.05267265177693</v>
      </c>
      <c r="I33" s="24">
        <f>Balance_Sheet!H52-Balance_Sheet!I52</f>
        <v>-20.740241680664923</v>
      </c>
      <c r="J33" s="24">
        <f>Balance_Sheet!I52-Balance_Sheet!J52</f>
        <v>-25.948272499354601</v>
      </c>
      <c r="K33" s="24">
        <f>Balance_Sheet!J52-Balance_Sheet!K52</f>
        <v>-31.529023978491097</v>
      </c>
      <c r="L33" s="24">
        <f>Balance_Sheet!K52-Balance_Sheet!L52</f>
        <v>-26.569788573840071</v>
      </c>
    </row>
    <row r="34" spans="2:12" ht="18.75" x14ac:dyDescent="0.25">
      <c r="B34" s="8" t="s">
        <v>59</v>
      </c>
      <c r="C34" s="4"/>
      <c r="D34" s="4">
        <f>Income_Statement!D11</f>
        <v>534.20000000000005</v>
      </c>
      <c r="E34" s="4">
        <f>Income_Statement!E11</f>
        <v>1192.4000000000001</v>
      </c>
      <c r="F34" s="4">
        <f>Income_Statement!F11</f>
        <v>787.1</v>
      </c>
      <c r="G34" s="4">
        <f>Income_Statement!G11</f>
        <v>1112.3</v>
      </c>
      <c r="H34" s="24">
        <f>Income_Statement!H11</f>
        <v>1173.0158926022289</v>
      </c>
      <c r="I34" s="24">
        <f>Income_Statement!I11</f>
        <v>1265.4356380058391</v>
      </c>
      <c r="J34" s="24">
        <f>Income_Statement!J11</f>
        <v>1389.9453927639411</v>
      </c>
      <c r="K34" s="24">
        <f>Income_Statement!K11</f>
        <v>1530.8449889052299</v>
      </c>
      <c r="L34" s="24">
        <f>Income_Statement!L11</f>
        <v>1638.5990186051188</v>
      </c>
    </row>
    <row r="35" spans="2:12" ht="18.75" x14ac:dyDescent="0.25">
      <c r="B35" s="9" t="s">
        <v>137</v>
      </c>
      <c r="C35" s="6"/>
      <c r="D35" s="7">
        <f>D29+D30+D31+D32+D33+D34</f>
        <v>-8.5999999999994543</v>
      </c>
      <c r="E35" s="7">
        <f t="shared" ref="E35:L35" si="2">E29+E30+E31+E32+E33+E34</f>
        <v>1672.7999999999993</v>
      </c>
      <c r="F35" s="7">
        <f t="shared" si="2"/>
        <v>-3196.3999999999992</v>
      </c>
      <c r="G35" s="7">
        <f t="shared" si="2"/>
        <v>5009.05</v>
      </c>
      <c r="H35" s="29">
        <f t="shared" si="2"/>
        <v>-3483.6701825995115</v>
      </c>
      <c r="I35" s="29">
        <f t="shared" si="2"/>
        <v>-811.27895175287517</v>
      </c>
      <c r="J35" s="29">
        <f t="shared" si="2"/>
        <v>-1208.2478750112832</v>
      </c>
      <c r="K35" s="29">
        <f t="shared" si="2"/>
        <v>-1626.136898753226</v>
      </c>
      <c r="L35" s="29">
        <f t="shared" si="2"/>
        <v>-1021.8283709298828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2</v>
      </c>
      <c r="E37" s="4">
        <f>Balance_Sheet!E5-Balance_Sheet!D5</f>
        <v>-7.8999999999999773</v>
      </c>
      <c r="F37" s="4">
        <f>Balance_Sheet!F5-Balance_Sheet!E5</f>
        <v>1.1999999999999886</v>
      </c>
      <c r="G37" s="4">
        <f>Balance_Sheet!G5-Balance_Sheet!F5</f>
        <v>1.8100000000000023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4">
        <f>Balance_Sheet!D15-Balance_Sheet!C15</f>
        <v>-562.5</v>
      </c>
      <c r="E39" s="4">
        <f>Balance_Sheet!E15-Balance_Sheet!D15</f>
        <v>-29.900000000000006</v>
      </c>
      <c r="F39" s="4">
        <f>Balance_Sheet!F15-Balance_Sheet!E15</f>
        <v>-12.899999999999977</v>
      </c>
      <c r="G39" s="4">
        <f>Balance_Sheet!G15-Balance_Sheet!F15</f>
        <v>-23.800000000000011</v>
      </c>
      <c r="H39" s="24">
        <f>Balance_Sheet!H15-Balance_Sheet!G15</f>
        <v>12.199999999999989</v>
      </c>
      <c r="I39" s="24">
        <f>Balance_Sheet!I15-Balance_Sheet!H15</f>
        <v>19.860000000000014</v>
      </c>
      <c r="J39" s="24">
        <f>Balance_Sheet!J15-Balance_Sheet!I15</f>
        <v>24.840000000000003</v>
      </c>
      <c r="K39" s="24">
        <f>Balance_Sheet!K15-Balance_Sheet!J15</f>
        <v>30.189999999999998</v>
      </c>
      <c r="L39" s="24">
        <f>Balance_Sheet!L15-Balance_Sheet!K15</f>
        <v>25.439999999999998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-4.6999999999999993</v>
      </c>
      <c r="E40" s="4">
        <f>Balance_Sheet!E17-Balance_Sheet!D17</f>
        <v>34.5</v>
      </c>
      <c r="F40" s="4">
        <f>Balance_Sheet!F17-Balance_Sheet!E17</f>
        <v>40.499999999999993</v>
      </c>
      <c r="G40" s="4">
        <f>Balance_Sheet!G17-Balance_Sheet!F17</f>
        <v>379.1</v>
      </c>
      <c r="H40" s="24">
        <f>Balance_Sheet!H17-Balance_Sheet!G17</f>
        <v>-404.26471764402936</v>
      </c>
      <c r="I40" s="24">
        <f>Balance_Sheet!I17-Balance_Sheet!H17</f>
        <v>6.5594072345503776</v>
      </c>
      <c r="J40" s="24">
        <f>Balance_Sheet!J17-Balance_Sheet!I17</f>
        <v>8.2065237704064344</v>
      </c>
      <c r="K40" s="24">
        <f>Balance_Sheet!K17-Balance_Sheet!J17</f>
        <v>9.9715187106824743</v>
      </c>
      <c r="L40" s="24">
        <f>Balance_Sheet!L17-Balance_Sheet!K17</f>
        <v>8.4030873928626733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241.19999999999993</v>
      </c>
      <c r="E41" s="5">
        <f>Balance_Sheet!E19-Balance_Sheet!D19</f>
        <v>1053.4000000000001</v>
      </c>
      <c r="F41" s="5">
        <f>Balance_Sheet!F19-Balance_Sheet!E19</f>
        <v>-753.5</v>
      </c>
      <c r="G41" s="5">
        <f>Balance_Sheet!G19-Balance_Sheet!F19</f>
        <v>-56.259999999999991</v>
      </c>
      <c r="H41" s="28">
        <f>Balance_Sheet!H19-Balance_Sheet!G19</f>
        <v>123.68000000000006</v>
      </c>
      <c r="I41" s="28">
        <f>Balance_Sheet!I19-Balance_Sheet!H19</f>
        <v>201.33999999999992</v>
      </c>
      <c r="J41" s="28">
        <f>Balance_Sheet!J19-Balance_Sheet!I19</f>
        <v>251.8900000000001</v>
      </c>
      <c r="K41" s="28">
        <f>Balance_Sheet!K19-Balance_Sheet!J19</f>
        <v>306.06999999999971</v>
      </c>
      <c r="L41" s="28">
        <f>Balance_Sheet!L19-Balance_Sheet!K19</f>
        <v>257.92000000000007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-31.400000000000034</v>
      </c>
      <c r="E42" s="4">
        <f>Balance_Sheet!E35-Balance_Sheet!D35</f>
        <v>-84.399999999999977</v>
      </c>
      <c r="F42" s="4">
        <f>Balance_Sheet!F35-Balance_Sheet!E35</f>
        <v>-13.800000000000011</v>
      </c>
      <c r="G42" s="4">
        <f>Balance_Sheet!G35-Balance_Sheet!F35</f>
        <v>115.89999999999998</v>
      </c>
      <c r="H42" s="24">
        <f>Balance_Sheet!H35-Balance_Sheet!G35</f>
        <v>67.32040872481025</v>
      </c>
      <c r="I42" s="24">
        <f>Balance_Sheet!I35-Balance_Sheet!H35</f>
        <v>72.46670970080504</v>
      </c>
      <c r="J42" s="24">
        <f>Balance_Sheet!J35-Balance_Sheet!I35</f>
        <v>90.663646036540854</v>
      </c>
      <c r="K42" s="24">
        <f>Balance_Sheet!K35-Balance_Sheet!J35</f>
        <v>110.1628738458262</v>
      </c>
      <c r="L42" s="24">
        <f>Balance_Sheet!L35-Balance_Sheet!K35</f>
        <v>92.835232348676755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1490.7</v>
      </c>
      <c r="E44" s="5">
        <f>Income_Statement!E51</f>
        <v>2491.6999999999998</v>
      </c>
      <c r="F44" s="5">
        <f>Income_Statement!F51</f>
        <v>1759.2</v>
      </c>
      <c r="G44" s="5">
        <f>Income_Statement!G51</f>
        <v>0</v>
      </c>
      <c r="H44" s="28">
        <f>Income_Statement!H51</f>
        <v>0</v>
      </c>
      <c r="I44" s="28">
        <f>Income_Statement!I51</f>
        <v>0</v>
      </c>
      <c r="J44" s="28">
        <f>Income_Statement!J51</f>
        <v>0</v>
      </c>
      <c r="K44" s="28">
        <f>Income_Statement!K51</f>
        <v>0</v>
      </c>
      <c r="L44" s="28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0</v>
      </c>
      <c r="E45" s="4">
        <f>Income_Statement!E53</f>
        <v>0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133.19999999999999</v>
      </c>
      <c r="E46" s="4">
        <f>Income_Statement!E35</f>
        <v>191.9</v>
      </c>
      <c r="F46" s="4">
        <f>Income_Statement!F35</f>
        <v>174</v>
      </c>
      <c r="G46" s="4">
        <f>Income_Statement!G35</f>
        <v>162.6</v>
      </c>
      <c r="H46" s="24">
        <f>Income_Statement!H35</f>
        <v>176.56788712480486</v>
      </c>
      <c r="I46" s="24">
        <f>Income_Statement!I35</f>
        <v>199.3062152051607</v>
      </c>
      <c r="J46" s="24">
        <f>Income_Statement!J35</f>
        <v>227.75446994020444</v>
      </c>
      <c r="K46" s="24">
        <f>Income_Statement!K35</f>
        <v>262.32056025214291</v>
      </c>
      <c r="L46" s="24">
        <f>Income_Statement!L35</f>
        <v>291.45052578868302</v>
      </c>
    </row>
    <row r="47" spans="2:12" ht="18.75" x14ac:dyDescent="0.25">
      <c r="B47" s="9" t="s">
        <v>141</v>
      </c>
      <c r="C47" s="6"/>
      <c r="D47" s="7">
        <f>D37+D38+D39+D40+D41+D42-D44-D45-D46</f>
        <v>-1979.3000000000002</v>
      </c>
      <c r="E47" s="7">
        <f t="shared" ref="E47:L47" si="3">E37+E38+E39+E40+E41+E42-E44-E45-E46</f>
        <v>-1717.8999999999996</v>
      </c>
      <c r="F47" s="7">
        <f t="shared" si="3"/>
        <v>-2671.7</v>
      </c>
      <c r="G47" s="7">
        <f t="shared" si="3"/>
        <v>254.15</v>
      </c>
      <c r="H47" s="29">
        <f t="shared" si="3"/>
        <v>-377.63219604402389</v>
      </c>
      <c r="I47" s="29">
        <f t="shared" si="3"/>
        <v>100.91990173019462</v>
      </c>
      <c r="J47" s="29">
        <f t="shared" si="3"/>
        <v>147.84569986674296</v>
      </c>
      <c r="K47" s="29">
        <f t="shared" si="3"/>
        <v>194.07383230436545</v>
      </c>
      <c r="L47" s="29">
        <f t="shared" si="3"/>
        <v>93.147793952856489</v>
      </c>
    </row>
    <row r="48" spans="2:12" ht="18.75" x14ac:dyDescent="0.25">
      <c r="B48" s="9" t="s">
        <v>142</v>
      </c>
      <c r="C48" s="6"/>
      <c r="D48" s="7">
        <f>D27+D35+D47</f>
        <v>3452.1153761574469</v>
      </c>
      <c r="E48" s="7">
        <f t="shared" ref="E48:L48" si="4">E27+E35+E47</f>
        <v>2900.0323426739405</v>
      </c>
      <c r="F48" s="7">
        <f t="shared" si="4"/>
        <v>1358.6207924427595</v>
      </c>
      <c r="G48" s="7">
        <f t="shared" si="4"/>
        <v>10919.944913777241</v>
      </c>
      <c r="H48" s="29">
        <f t="shared" si="4"/>
        <v>8836.0756918845891</v>
      </c>
      <c r="I48" s="29">
        <f t="shared" si="4"/>
        <v>10285.716123996759</v>
      </c>
      <c r="J48" s="29">
        <f t="shared" si="4"/>
        <v>10961.886832970296</v>
      </c>
      <c r="K48" s="29">
        <f t="shared" si="4"/>
        <v>11769.500368083583</v>
      </c>
      <c r="L48" s="29">
        <f t="shared" si="4"/>
        <v>13446.135366474551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41D90ADF-8249-4F31-90D9-99F0FA6E344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98F3B-21FD-4331-A4B2-6252B4F399F6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5703125" bestFit="1" customWidth="1"/>
    <col min="4" max="6" width="15.140625" bestFit="1" customWidth="1"/>
    <col min="7" max="7" width="14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3787.1460307608327</v>
      </c>
      <c r="D6" s="13">
        <f>Income_Statement!D49</f>
        <v>4355.3153761574467</v>
      </c>
      <c r="E6" s="13">
        <f>Income_Statement!E49</f>
        <v>4121.4323426739411</v>
      </c>
      <c r="F6" s="13">
        <f>Income_Statement!F49</f>
        <v>4403.5207924427577</v>
      </c>
      <c r="G6" s="13">
        <f>Income_Statement!G49</f>
        <v>5631.1049137772397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88.073163506065882</v>
      </c>
      <c r="D7" s="13">
        <f>Income_Statement!D61</f>
        <v>90.735737003280136</v>
      </c>
      <c r="E7" s="13">
        <f>Income_Statement!E61</f>
        <v>89.596355275520452</v>
      </c>
      <c r="F7" s="13">
        <f>Income_Statement!F61</f>
        <v>86.343544949858</v>
      </c>
      <c r="G7" s="13">
        <f>Income_Statement!G61</f>
        <v>89.382617679003801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43</v>
      </c>
      <c r="D8" s="14">
        <f t="shared" ref="D8:G8" si="0">ROUND(D6/D7, 2)</f>
        <v>48</v>
      </c>
      <c r="E8" s="14">
        <f t="shared" si="0"/>
        <v>46</v>
      </c>
      <c r="F8" s="14">
        <f t="shared" si="0"/>
        <v>51</v>
      </c>
      <c r="G8" s="14">
        <f t="shared" si="0"/>
        <v>63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943.8</v>
      </c>
      <c r="D11" s="13">
        <f>Income_Statement!D51</f>
        <v>1490.7</v>
      </c>
      <c r="E11" s="13">
        <f>Income_Statement!E51</f>
        <v>2491.6999999999998</v>
      </c>
      <c r="F11" s="13">
        <f>Income_Statement!F51</f>
        <v>1759.2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88.073163506065882</v>
      </c>
      <c r="D12" s="13">
        <f>Income_Statement!D61</f>
        <v>90.735737003280136</v>
      </c>
      <c r="E12" s="13">
        <f>Income_Statement!E61</f>
        <v>89.596355275520452</v>
      </c>
      <c r="F12" s="13">
        <f>Income_Statement!F61</f>
        <v>86.343544949858</v>
      </c>
      <c r="G12" s="13">
        <f>Income_Statement!G61</f>
        <v>89.382617679003801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10.72</v>
      </c>
      <c r="D13" s="14">
        <f t="shared" ref="D13:G13" si="1">ROUND(D11/D12, 2)</f>
        <v>16.43</v>
      </c>
      <c r="E13" s="14">
        <f t="shared" si="1"/>
        <v>27.81</v>
      </c>
      <c r="F13" s="14">
        <f t="shared" si="1"/>
        <v>20.37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18840.400000000001</v>
      </c>
      <c r="D16" s="13">
        <f>Balance_Sheet!D13</f>
        <v>21707.015376157447</v>
      </c>
      <c r="E16" s="13">
        <f>Balance_Sheet!E13</f>
        <v>23328.847718831388</v>
      </c>
      <c r="F16" s="13">
        <f>Balance_Sheet!F13</f>
        <v>25974.368511274148</v>
      </c>
      <c r="G16" s="13">
        <f>Balance_Sheet!G13</f>
        <v>31607.283425051388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88.073163506065882</v>
      </c>
      <c r="D17" s="13">
        <f>Income_Statement!D61</f>
        <v>90.735737003280136</v>
      </c>
      <c r="E17" s="13">
        <f>Income_Statement!E61</f>
        <v>89.596355275520452</v>
      </c>
      <c r="F17" s="13">
        <f>Income_Statement!F61</f>
        <v>86.343544949858</v>
      </c>
      <c r="G17" s="13">
        <f>Income_Statement!G61</f>
        <v>89.382617679003801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213.92</v>
      </c>
      <c r="D18" s="14">
        <f t="shared" ref="D18:G18" si="2">ROUND(D16/D17, 2)</f>
        <v>239.23</v>
      </c>
      <c r="E18" s="14">
        <f t="shared" si="2"/>
        <v>260.38</v>
      </c>
      <c r="F18" s="14">
        <f t="shared" si="2"/>
        <v>300.83</v>
      </c>
      <c r="G18" s="14">
        <f t="shared" si="2"/>
        <v>353.62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943.8</v>
      </c>
      <c r="D21" s="13">
        <f>Income_Statement!D51</f>
        <v>1490.7</v>
      </c>
      <c r="E21" s="13">
        <f>Income_Statement!E51</f>
        <v>2491.6999999999998</v>
      </c>
      <c r="F21" s="13">
        <f>Income_Statement!F51</f>
        <v>1759.2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88.073163506065882</v>
      </c>
      <c r="D22" s="13">
        <f>Income_Statement!D61</f>
        <v>90.735737003280136</v>
      </c>
      <c r="E22" s="13">
        <f>Income_Statement!E61</f>
        <v>89.596355275520452</v>
      </c>
      <c r="F22" s="13">
        <f>Income_Statement!F61</f>
        <v>86.343544949858</v>
      </c>
      <c r="G22" s="13">
        <f>Income_Statement!G61</f>
        <v>89.382617679003801</v>
      </c>
    </row>
    <row r="23" spans="2:12" ht="18.75" x14ac:dyDescent="0.25">
      <c r="B23" s="12" t="s">
        <v>148</v>
      </c>
      <c r="C23" s="13">
        <f>ROUND(C21/C22, 2)</f>
        <v>10.72</v>
      </c>
      <c r="D23" s="13">
        <f t="shared" ref="D23:G23" si="3">ROUND(D21/D22, 2)</f>
        <v>16.43</v>
      </c>
      <c r="E23" s="13">
        <f t="shared" si="3"/>
        <v>27.81</v>
      </c>
      <c r="F23" s="13">
        <f t="shared" si="3"/>
        <v>20.37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3787.1460307608327</v>
      </c>
      <c r="D24" s="13">
        <f>Income_Statement!D49</f>
        <v>4355.3153761574467</v>
      </c>
      <c r="E24" s="13">
        <f>Income_Statement!E49</f>
        <v>4121.4323426739411</v>
      </c>
      <c r="F24" s="13">
        <f>Income_Statement!F49</f>
        <v>4403.5207924427577</v>
      </c>
      <c r="G24" s="13">
        <f>Income_Statement!G49</f>
        <v>5631.1049137772397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88.073163506065882</v>
      </c>
      <c r="D25" s="13">
        <f>Income_Statement!D61</f>
        <v>90.735737003280136</v>
      </c>
      <c r="E25" s="13">
        <f>Income_Statement!E61</f>
        <v>89.596355275520452</v>
      </c>
      <c r="F25" s="13">
        <f>Income_Statement!F61</f>
        <v>86.343544949858</v>
      </c>
      <c r="G25" s="13">
        <f>Income_Statement!G61</f>
        <v>89.382617679003801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43</v>
      </c>
      <c r="D26" s="13">
        <f t="shared" ref="D26:G26" si="4">D24/D25</f>
        <v>48</v>
      </c>
      <c r="E26" s="13">
        <f t="shared" si="4"/>
        <v>46</v>
      </c>
      <c r="F26" s="13">
        <f t="shared" si="4"/>
        <v>51</v>
      </c>
      <c r="G26" s="13">
        <f t="shared" si="4"/>
        <v>63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0.25</v>
      </c>
      <c r="D27" s="14">
        <f t="shared" ref="D27:G27" si="5">ROUND(D23/D26, 2)</f>
        <v>0.34</v>
      </c>
      <c r="E27" s="14">
        <f t="shared" si="5"/>
        <v>0.6</v>
      </c>
      <c r="F27" s="14">
        <f t="shared" si="5"/>
        <v>0.4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943.8</v>
      </c>
      <c r="D30" s="13">
        <f>Income_Statement!D51</f>
        <v>1490.7</v>
      </c>
      <c r="E30" s="13">
        <f>Income_Statement!E51</f>
        <v>2491.6999999999998</v>
      </c>
      <c r="F30" s="13">
        <f>Income_Statement!F51</f>
        <v>1759.2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88.073163506065882</v>
      </c>
      <c r="D31" s="13">
        <f>Income_Statement!D61</f>
        <v>90.735737003280136</v>
      </c>
      <c r="E31" s="13">
        <f>Income_Statement!E61</f>
        <v>89.596355275520452</v>
      </c>
      <c r="F31" s="13">
        <f>Income_Statement!F61</f>
        <v>86.343544949858</v>
      </c>
      <c r="G31" s="13">
        <f>Income_Statement!G61</f>
        <v>89.382617679003801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10.72</v>
      </c>
      <c r="D32" s="13">
        <f t="shared" ref="D32:G32" si="6">ROUND(D30/D31, 2)</f>
        <v>16.43</v>
      </c>
      <c r="E32" s="13">
        <f t="shared" si="6"/>
        <v>27.81</v>
      </c>
      <c r="F32" s="13">
        <f t="shared" si="6"/>
        <v>20.37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-9.7200000000000006</v>
      </c>
      <c r="D33" s="15">
        <f t="shared" ref="D33:G33" si="7">1-D32</f>
        <v>-15.43</v>
      </c>
      <c r="E33" s="15">
        <f t="shared" si="7"/>
        <v>-26.81</v>
      </c>
      <c r="F33" s="15">
        <f t="shared" si="7"/>
        <v>-19.37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30772.9</v>
      </c>
      <c r="D36" s="13">
        <f>Income_Statement!D5</f>
        <v>34742.1</v>
      </c>
      <c r="E36" s="13">
        <f>Income_Statement!E5</f>
        <v>36867.699999999997</v>
      </c>
      <c r="F36" s="13">
        <f>Income_Statement!F5</f>
        <v>37855.1</v>
      </c>
      <c r="G36" s="13">
        <f>Income_Statement!G5</f>
        <v>44645.98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0</v>
      </c>
      <c r="D37" s="13">
        <f>Income_Statement!D17</f>
        <v>0</v>
      </c>
      <c r="E37" s="13">
        <f>Income_Statement!E17</f>
        <v>0</v>
      </c>
      <c r="F37" s="13">
        <f>Income_Statement!F17</f>
        <v>0</v>
      </c>
      <c r="G37" s="13">
        <f>Income_Statement!G17</f>
        <v>0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30772.9</v>
      </c>
      <c r="D38" s="16">
        <f t="shared" ref="D38:G38" si="8">ROUND(D36- D37, 2)</f>
        <v>34742.1</v>
      </c>
      <c r="E38" s="16">
        <f t="shared" si="8"/>
        <v>36867.699999999997</v>
      </c>
      <c r="F38" s="16">
        <f t="shared" si="8"/>
        <v>37855.1</v>
      </c>
      <c r="G38" s="16">
        <f t="shared" si="8"/>
        <v>44645.98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30772.9</v>
      </c>
      <c r="D41" s="13">
        <f>Income_Statement!D5</f>
        <v>34742.1</v>
      </c>
      <c r="E41" s="13">
        <f>Income_Statement!E5</f>
        <v>36867.699999999997</v>
      </c>
      <c r="F41" s="13">
        <f>Income_Statement!F5</f>
        <v>37855.1</v>
      </c>
      <c r="G41" s="13">
        <f>Income_Statement!G5</f>
        <v>44645.98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26063.3</v>
      </c>
      <c r="D42" s="13">
        <f>Income_Statement!D25</f>
        <v>28405.200000000004</v>
      </c>
      <c r="E42" s="13">
        <f>Income_Statement!E25</f>
        <v>31141.599999999999</v>
      </c>
      <c r="F42" s="13">
        <f>Income_Statement!F25</f>
        <v>31008.1</v>
      </c>
      <c r="G42" s="13">
        <f>Income_Statement!G25</f>
        <v>36626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4709.6000000000004</v>
      </c>
      <c r="D43" s="16">
        <f t="shared" ref="D43:G43" si="9">ROUND(D41- D42, 2)</f>
        <v>6336.9</v>
      </c>
      <c r="E43" s="16">
        <f t="shared" si="9"/>
        <v>5726.1</v>
      </c>
      <c r="F43" s="16">
        <f t="shared" si="9"/>
        <v>6847</v>
      </c>
      <c r="G43" s="16">
        <f t="shared" si="9"/>
        <v>8019.98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3787.1460307608327</v>
      </c>
      <c r="D46" s="13">
        <f>Income_Statement!D49</f>
        <v>4355.3153761574467</v>
      </c>
      <c r="E46" s="13">
        <f>Income_Statement!E49</f>
        <v>4121.4323426739411</v>
      </c>
      <c r="F46" s="13">
        <f>Income_Statement!F49</f>
        <v>4403.5207924427577</v>
      </c>
      <c r="G46" s="13">
        <f>Income_Statement!G49</f>
        <v>5631.1049137772397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29204.5</v>
      </c>
      <c r="D47" s="13">
        <f>Balance_Sheet!D74</f>
        <v>33639.115376157453</v>
      </c>
      <c r="E47" s="13">
        <f>Balance_Sheet!E74</f>
        <v>37638.94771883139</v>
      </c>
      <c r="F47" s="13">
        <f>Balance_Sheet!F74</f>
        <v>39556.96851127415</v>
      </c>
      <c r="G47" s="13">
        <f>Balance_Sheet!G74</f>
        <v>49592.323425051385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0.13</v>
      </c>
      <c r="D48" s="15">
        <f t="shared" ref="D48:G48" si="10">ROUND(D46/ D47, 2)</f>
        <v>0.13</v>
      </c>
      <c r="E48" s="15">
        <f t="shared" si="10"/>
        <v>0.11</v>
      </c>
      <c r="F48" s="15">
        <f t="shared" si="10"/>
        <v>0.11</v>
      </c>
      <c r="G48" s="15">
        <f t="shared" si="10"/>
        <v>0.11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5042.1460307608322</v>
      </c>
      <c r="D51" s="13">
        <f>Income_Statement!D33</f>
        <v>5742.9153761574462</v>
      </c>
      <c r="E51" s="13">
        <f>Income_Statement!E33</f>
        <v>5473.7323426739413</v>
      </c>
      <c r="F51" s="13">
        <f>Income_Statement!F33</f>
        <v>6177.4207924427583</v>
      </c>
      <c r="G51" s="13">
        <f>Income_Statement!G33</f>
        <v>7612.9049137772399</v>
      </c>
    </row>
    <row r="52" spans="2:12" ht="19.5" thickTop="1" x14ac:dyDescent="0.25">
      <c r="B52" s="12" t="str">
        <f>Balance_Sheet!B21</f>
        <v>Total Debt</v>
      </c>
      <c r="C52" s="13">
        <f>Balance_Sheet!C21</f>
        <v>1731.8</v>
      </c>
      <c r="D52" s="13">
        <f>Balance_Sheet!D21</f>
        <v>1405.8</v>
      </c>
      <c r="E52" s="13">
        <f>Balance_Sheet!E21</f>
        <v>2463.8000000000002</v>
      </c>
      <c r="F52" s="13">
        <f>Balance_Sheet!F21</f>
        <v>1737.9</v>
      </c>
      <c r="G52" s="13">
        <f>Balance_Sheet!G21</f>
        <v>2036.94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18840.400000000001</v>
      </c>
      <c r="D53" s="13">
        <f>Balance_Sheet!D13</f>
        <v>21707.015376157447</v>
      </c>
      <c r="E53" s="13">
        <f>Balance_Sheet!E13</f>
        <v>23328.847718831388</v>
      </c>
      <c r="F53" s="13">
        <f>Balance_Sheet!F13</f>
        <v>25974.368511274148</v>
      </c>
      <c r="G53" s="13">
        <f>Balance_Sheet!G13</f>
        <v>31607.283425051388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1.46</v>
      </c>
      <c r="D54" s="15">
        <f t="shared" ref="D54:G54" si="11">ROUND(D51/ (D52+ D52), 2)</f>
        <v>2.04</v>
      </c>
      <c r="E54" s="15">
        <f t="shared" si="11"/>
        <v>1.1100000000000001</v>
      </c>
      <c r="F54" s="15">
        <f t="shared" si="11"/>
        <v>1.78</v>
      </c>
      <c r="G54" s="15">
        <f t="shared" si="11"/>
        <v>1.87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3787.1460307608327</v>
      </c>
      <c r="D57" s="13">
        <f>Income_Statement!D49</f>
        <v>4355.3153761574467</v>
      </c>
      <c r="E57" s="13">
        <f>Income_Statement!E49</f>
        <v>4121.4323426739411</v>
      </c>
      <c r="F57" s="13">
        <f>Income_Statement!F49</f>
        <v>4403.5207924427577</v>
      </c>
      <c r="G57" s="13">
        <f>Income_Statement!G49</f>
        <v>5631.1049137772397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18840.400000000001</v>
      </c>
      <c r="D58" s="13">
        <f>Balance_Sheet!D13</f>
        <v>21707.015376157447</v>
      </c>
      <c r="E58" s="13">
        <f>Balance_Sheet!E13</f>
        <v>23328.847718831388</v>
      </c>
      <c r="F58" s="13">
        <f>Balance_Sheet!F13</f>
        <v>25974.368511274148</v>
      </c>
      <c r="G58" s="13">
        <f>Balance_Sheet!G13</f>
        <v>31607.283425051388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0.1</v>
      </c>
      <c r="D59" s="15">
        <f t="shared" ref="D59:G59" si="12">ROUND(D57/ (D58+ D58), 2)</f>
        <v>0.1</v>
      </c>
      <c r="E59" s="15">
        <f t="shared" si="12"/>
        <v>0.09</v>
      </c>
      <c r="F59" s="15">
        <f t="shared" si="12"/>
        <v>0.08</v>
      </c>
      <c r="G59" s="15">
        <f t="shared" si="12"/>
        <v>0.09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1731.8</v>
      </c>
      <c r="D62" s="13">
        <f>Balance_Sheet!D21</f>
        <v>1405.8</v>
      </c>
      <c r="E62" s="13">
        <f>Balance_Sheet!E21</f>
        <v>2463.8000000000002</v>
      </c>
      <c r="F62" s="13">
        <f>Balance_Sheet!F21</f>
        <v>1737.9</v>
      </c>
      <c r="G62" s="13">
        <f>Balance_Sheet!G21</f>
        <v>2036.94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18840.400000000001</v>
      </c>
      <c r="D63" s="13">
        <f>Balance_Sheet!D13</f>
        <v>21707.015376157447</v>
      </c>
      <c r="E63" s="13">
        <f>Balance_Sheet!E13</f>
        <v>23328.847718831388</v>
      </c>
      <c r="F63" s="13">
        <f>Balance_Sheet!F13</f>
        <v>25974.368511274148</v>
      </c>
      <c r="G63" s="13">
        <f>Balance_Sheet!G13</f>
        <v>31607.283425051388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0.09</v>
      </c>
      <c r="D64" s="14">
        <f t="shared" ref="D64:G64" si="13">ROUND(D62/ D63, 2)</f>
        <v>0.06</v>
      </c>
      <c r="E64" s="14">
        <f t="shared" si="13"/>
        <v>0.11</v>
      </c>
      <c r="F64" s="14">
        <f t="shared" si="13"/>
        <v>7.0000000000000007E-2</v>
      </c>
      <c r="G64" s="14">
        <f t="shared" si="13"/>
        <v>0.06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17884.2</v>
      </c>
      <c r="D67" s="13">
        <f>Balance_Sheet!D72</f>
        <v>22905.215376157452</v>
      </c>
      <c r="E67" s="13">
        <f>Balance_Sheet!E72</f>
        <v>28831.247718831386</v>
      </c>
      <c r="F67" s="13">
        <f>Balance_Sheet!F72</f>
        <v>28223.46851127415</v>
      </c>
      <c r="G67" s="13">
        <f>Balance_Sheet!G72</f>
        <v>43675.973425051387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8123.2000000000007</v>
      </c>
      <c r="D68" s="13">
        <f>Balance_Sheet!D33</f>
        <v>10048.6</v>
      </c>
      <c r="E68" s="13">
        <f>Balance_Sheet!E33</f>
        <v>11453</v>
      </c>
      <c r="F68" s="13">
        <f>Balance_Sheet!F33</f>
        <v>11465.2</v>
      </c>
      <c r="G68" s="13">
        <f>Balance_Sheet!G33</f>
        <v>15452.7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2.2000000000000002</v>
      </c>
      <c r="D69" s="14">
        <f t="shared" ref="D69:G69" si="14">ROUND(D67/ D68, 2)</f>
        <v>2.2799999999999998</v>
      </c>
      <c r="E69" s="14">
        <f t="shared" si="14"/>
        <v>2.52</v>
      </c>
      <c r="F69" s="14">
        <f t="shared" si="14"/>
        <v>2.46</v>
      </c>
      <c r="G69" s="14">
        <f t="shared" si="14"/>
        <v>2.83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17884.2</v>
      </c>
      <c r="D72" s="13">
        <f>Balance_Sheet!D72</f>
        <v>22905.215376157452</v>
      </c>
      <c r="E72" s="13">
        <f>Balance_Sheet!E72</f>
        <v>28831.247718831386</v>
      </c>
      <c r="F72" s="13">
        <f>Balance_Sheet!F72</f>
        <v>28223.46851127415</v>
      </c>
      <c r="G72" s="13">
        <f>Balance_Sheet!G72</f>
        <v>43675.973425051387</v>
      </c>
    </row>
    <row r="73" spans="2:12" ht="19.5" thickTop="1" x14ac:dyDescent="0.25">
      <c r="B73" s="12" t="str">
        <f>Balance_Sheet!B66</f>
        <v>Inventories</v>
      </c>
      <c r="C73" s="13">
        <f>Balance_Sheet!C66</f>
        <v>65.900000000000006</v>
      </c>
      <c r="D73" s="13">
        <f>Balance_Sheet!D66</f>
        <v>75.2</v>
      </c>
      <c r="E73" s="13">
        <f>Balance_Sheet!E66</f>
        <v>35.799999999999997</v>
      </c>
      <c r="F73" s="13">
        <f>Balance_Sheet!F66</f>
        <v>24.2</v>
      </c>
      <c r="G73" s="13">
        <f>Balance_Sheet!G66</f>
        <v>40.5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8123.2000000000007</v>
      </c>
      <c r="D74" s="13">
        <f>Balance_Sheet!D33</f>
        <v>10048.6</v>
      </c>
      <c r="E74" s="13">
        <f>Balance_Sheet!E33</f>
        <v>11453</v>
      </c>
      <c r="F74" s="13">
        <f>Balance_Sheet!F33</f>
        <v>11465.2</v>
      </c>
      <c r="G74" s="13">
        <f>Balance_Sheet!G33</f>
        <v>15452.7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2.19</v>
      </c>
      <c r="D75" s="14">
        <f t="shared" ref="D75:G75" si="15">ROUND((D72-D73)/ D74, 2)</f>
        <v>2.27</v>
      </c>
      <c r="E75" s="14">
        <f t="shared" si="15"/>
        <v>2.5099999999999998</v>
      </c>
      <c r="F75" s="14">
        <f t="shared" si="15"/>
        <v>2.46</v>
      </c>
      <c r="G75" s="14">
        <f t="shared" si="15"/>
        <v>2.82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5042.1460307608322</v>
      </c>
      <c r="D78" s="13">
        <f>Income_Statement!D33</f>
        <v>5742.9153761574462</v>
      </c>
      <c r="E78" s="13">
        <f>Income_Statement!E33</f>
        <v>5473.7323426739413</v>
      </c>
      <c r="F78" s="13">
        <f>Income_Statement!F33</f>
        <v>6177.4207924427583</v>
      </c>
      <c r="G78" s="13">
        <f>Income_Statement!G33</f>
        <v>7612.9049137772399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162.4</v>
      </c>
      <c r="D79" s="13">
        <f>Income_Statement!D35</f>
        <v>133.19999999999999</v>
      </c>
      <c r="E79" s="13">
        <f>Income_Statement!E35</f>
        <v>191.9</v>
      </c>
      <c r="F79" s="13">
        <f>Income_Statement!F35</f>
        <v>174</v>
      </c>
      <c r="G79" s="13">
        <f>Income_Statement!G35</f>
        <v>162.6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31.05</v>
      </c>
      <c r="D80" s="14">
        <f t="shared" ref="D80:G80" si="16">ROUND(D78/D79, 2)</f>
        <v>43.11</v>
      </c>
      <c r="E80" s="14">
        <f t="shared" si="16"/>
        <v>28.52</v>
      </c>
      <c r="F80" s="14">
        <f t="shared" si="16"/>
        <v>35.5</v>
      </c>
      <c r="G80" s="14">
        <f t="shared" si="16"/>
        <v>46.82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0</v>
      </c>
      <c r="D83" s="13">
        <f>Income_Statement!D17</f>
        <v>0</v>
      </c>
      <c r="E83" s="13">
        <f>Income_Statement!E17</f>
        <v>0</v>
      </c>
      <c r="F83" s="13">
        <f>Income_Statement!F17</f>
        <v>0</v>
      </c>
      <c r="G83" s="13">
        <f>Income_Statement!G17</f>
        <v>0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30772.9</v>
      </c>
      <c r="D84" s="13">
        <f>Income_Statement!D9</f>
        <v>34742.1</v>
      </c>
      <c r="E84" s="13">
        <f>Income_Statement!E9</f>
        <v>36867.699999999997</v>
      </c>
      <c r="F84" s="13">
        <f>Income_Statement!F9</f>
        <v>37855.1</v>
      </c>
      <c r="G84" s="13">
        <f>Income_Statement!G9</f>
        <v>44645.98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</v>
      </c>
      <c r="D85" s="14">
        <f t="shared" ref="D85:G85" si="17">ROUND(D83/D84, 2)</f>
        <v>0</v>
      </c>
      <c r="E85" s="14">
        <f t="shared" si="17"/>
        <v>0</v>
      </c>
      <c r="F85" s="14">
        <f t="shared" si="17"/>
        <v>0</v>
      </c>
      <c r="G85" s="14">
        <f t="shared" si="17"/>
        <v>0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3044.3</v>
      </c>
      <c r="D88" s="13">
        <f>Balance_Sheet!D70</f>
        <v>6496.4153761574471</v>
      </c>
      <c r="E88" s="13">
        <f>Balance_Sheet!E70</f>
        <v>9396.4477188313867</v>
      </c>
      <c r="F88" s="13">
        <f>Balance_Sheet!F70</f>
        <v>10755.068511274147</v>
      </c>
      <c r="G88" s="13">
        <f>Balance_Sheet!G70</f>
        <v>21675.013425051387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0</v>
      </c>
      <c r="D89" s="13">
        <f>Income_Statement!D17</f>
        <v>0</v>
      </c>
      <c r="E89" s="13">
        <f>Income_Statement!E17</f>
        <v>0</v>
      </c>
      <c r="F89" s="13">
        <f>Income_Statement!F17</f>
        <v>0</v>
      </c>
      <c r="G89" s="13">
        <f>Income_Statement!G17</f>
        <v>0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 t="e">
        <f>ROUND(C88/C89*365, 2)</f>
        <v>#DIV/0!</v>
      </c>
      <c r="D90" s="14" t="e">
        <f t="shared" ref="D90:G90" si="18">ROUND(D88/D89*365, 2)</f>
        <v>#DIV/0!</v>
      </c>
      <c r="E90" s="14" t="e">
        <f t="shared" si="18"/>
        <v>#DIV/0!</v>
      </c>
      <c r="F90" s="14" t="e">
        <f t="shared" si="18"/>
        <v>#DIV/0!</v>
      </c>
      <c r="G90" s="14" t="e">
        <f t="shared" si="18"/>
        <v>#DIV/0!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3044.3</v>
      </c>
      <c r="D93" s="13">
        <f>Balance_Sheet!D70</f>
        <v>6496.4153761574471</v>
      </c>
      <c r="E93" s="13">
        <f>Balance_Sheet!E70</f>
        <v>9396.4477188313867</v>
      </c>
      <c r="F93" s="13">
        <f>Balance_Sheet!F70</f>
        <v>10755.068511274147</v>
      </c>
      <c r="G93" s="13">
        <f>Balance_Sheet!G70</f>
        <v>21675.013425051387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3044.3</v>
      </c>
      <c r="D95" s="14">
        <f t="shared" ref="D95:G95" si="19">ROUND(D93/D94*365, 2)</f>
        <v>6496.42</v>
      </c>
      <c r="E95" s="14">
        <f t="shared" si="19"/>
        <v>9396.4500000000007</v>
      </c>
      <c r="F95" s="14">
        <f t="shared" si="19"/>
        <v>10755.07</v>
      </c>
      <c r="G95" s="14">
        <f t="shared" si="19"/>
        <v>21675.01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30772.9</v>
      </c>
      <c r="D98" s="13">
        <f>Income_Statement!D5</f>
        <v>34742.1</v>
      </c>
      <c r="E98" s="13">
        <f>Income_Statement!E5</f>
        <v>36867.699999999997</v>
      </c>
      <c r="F98" s="13">
        <f>Income_Statement!F5</f>
        <v>37855.1</v>
      </c>
      <c r="G98" s="13">
        <f>Income_Statement!G5</f>
        <v>44645.98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29204.5</v>
      </c>
      <c r="D99" s="13">
        <f>Balance_Sheet!D74</f>
        <v>33639.115376157453</v>
      </c>
      <c r="E99" s="13">
        <f>Balance_Sheet!E74</f>
        <v>37638.94771883139</v>
      </c>
      <c r="F99" s="13">
        <f>Balance_Sheet!F74</f>
        <v>39556.96851127415</v>
      </c>
      <c r="G99" s="13">
        <f>Balance_Sheet!G74</f>
        <v>49592.323425051385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1.05</v>
      </c>
      <c r="D100" s="14">
        <f t="shared" ref="D100:G100" si="20">ROUND(D98/D99, 2)</f>
        <v>1.03</v>
      </c>
      <c r="E100" s="14">
        <f t="shared" si="20"/>
        <v>0.98</v>
      </c>
      <c r="F100" s="14">
        <f t="shared" si="20"/>
        <v>0.96</v>
      </c>
      <c r="G100" s="14">
        <f t="shared" si="20"/>
        <v>0.9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30772.9</v>
      </c>
      <c r="D103" s="13">
        <f>Income_Statement!D5</f>
        <v>34742.1</v>
      </c>
      <c r="E103" s="13">
        <f>Income_Statement!E5</f>
        <v>36867.699999999997</v>
      </c>
      <c r="F103" s="13">
        <f>Income_Statement!F5</f>
        <v>37855.1</v>
      </c>
      <c r="G103" s="13">
        <f>Income_Statement!G5</f>
        <v>44645.98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65.900000000000006</v>
      </c>
      <c r="D104" s="13">
        <f>Balance_Sheet!D66</f>
        <v>75.2</v>
      </c>
      <c r="E104" s="13">
        <f>Balance_Sheet!E66</f>
        <v>35.799999999999997</v>
      </c>
      <c r="F104" s="13">
        <f>Balance_Sheet!F66</f>
        <v>24.2</v>
      </c>
      <c r="G104" s="13">
        <f>Balance_Sheet!G66</f>
        <v>40.5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466.96</v>
      </c>
      <c r="D105" s="14">
        <f t="shared" ref="D105:G105" si="21">ROUND(D103/D104, 2)</f>
        <v>462</v>
      </c>
      <c r="E105" s="14">
        <f t="shared" si="21"/>
        <v>1029.82</v>
      </c>
      <c r="F105" s="14">
        <f t="shared" si="21"/>
        <v>1564.26</v>
      </c>
      <c r="G105" s="14">
        <f t="shared" si="21"/>
        <v>1102.3699999999999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30772.9</v>
      </c>
      <c r="D108" s="13">
        <f>Income_Statement!D5</f>
        <v>34742.1</v>
      </c>
      <c r="E108" s="13">
        <f>Income_Statement!E5</f>
        <v>36867.699999999997</v>
      </c>
      <c r="F108" s="13">
        <f>Income_Statement!F5</f>
        <v>37855.1</v>
      </c>
      <c r="G108" s="13">
        <f>Income_Statement!G5</f>
        <v>44645.98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6497.9</v>
      </c>
      <c r="D109" s="13">
        <f>Balance_Sheet!D68</f>
        <v>6958.6</v>
      </c>
      <c r="E109" s="13">
        <f>Balance_Sheet!E68</f>
        <v>7577.2</v>
      </c>
      <c r="F109" s="13">
        <f>Balance_Sheet!F68</f>
        <v>6472.8</v>
      </c>
      <c r="G109" s="13">
        <f>Balance_Sheet!G68</f>
        <v>11933.4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4.74</v>
      </c>
      <c r="D110" s="14">
        <f t="shared" ref="D110:G110" si="22">ROUND(D108/D109, 2)</f>
        <v>4.99</v>
      </c>
      <c r="E110" s="14">
        <f t="shared" si="22"/>
        <v>4.87</v>
      </c>
      <c r="F110" s="14">
        <f t="shared" si="22"/>
        <v>5.85</v>
      </c>
      <c r="G110" s="14">
        <f t="shared" si="22"/>
        <v>3.74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30772.9</v>
      </c>
      <c r="D113" s="13">
        <f>Income_Statement!D5</f>
        <v>34742.1</v>
      </c>
      <c r="E113" s="13">
        <f>Income_Statement!E5</f>
        <v>36867.699999999997</v>
      </c>
      <c r="F113" s="13">
        <f>Income_Statement!F5</f>
        <v>37855.1</v>
      </c>
      <c r="G113" s="13">
        <f>Income_Statement!G5</f>
        <v>44645.98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3171.6</v>
      </c>
      <c r="D114" s="13">
        <f>Balance_Sheet!D40</f>
        <v>2793.7</v>
      </c>
      <c r="E114" s="13">
        <f>Balance_Sheet!E40</f>
        <v>3978.3</v>
      </c>
      <c r="F114" s="13">
        <f>Balance_Sheet!F40</f>
        <v>3559.5</v>
      </c>
      <c r="G114" s="13">
        <f>Balance_Sheet!G40</f>
        <v>6585.7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9.6999999999999993</v>
      </c>
      <c r="D115" s="14">
        <f t="shared" ref="D115:G115" si="23">ROUND(D113/D114, 2)</f>
        <v>12.44</v>
      </c>
      <c r="E115" s="14">
        <f t="shared" si="23"/>
        <v>9.27</v>
      </c>
      <c r="F115" s="14">
        <f t="shared" si="23"/>
        <v>10.63</v>
      </c>
      <c r="G115" s="14">
        <f t="shared" si="23"/>
        <v>6.78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0</v>
      </c>
      <c r="D118" s="13">
        <f>Income_Statement!D17</f>
        <v>0</v>
      </c>
      <c r="E118" s="13">
        <f>Income_Statement!E17</f>
        <v>0</v>
      </c>
      <c r="F118" s="13">
        <f>Income_Statement!F17</f>
        <v>0</v>
      </c>
      <c r="G118" s="13">
        <f>Income_Statement!G17</f>
        <v>0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8123.2000000000007</v>
      </c>
      <c r="D119" s="13">
        <f>Balance_Sheet!D33</f>
        <v>10048.6</v>
      </c>
      <c r="E119" s="13">
        <f>Balance_Sheet!E33</f>
        <v>11453</v>
      </c>
      <c r="F119" s="13">
        <f>Balance_Sheet!F33</f>
        <v>11465.2</v>
      </c>
      <c r="G119" s="13">
        <f>Balance_Sheet!G33</f>
        <v>15452.7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0</v>
      </c>
      <c r="D120" s="14">
        <f t="shared" ref="D120:G120" si="24">ROUND(D118/D119, 2)</f>
        <v>0</v>
      </c>
      <c r="E120" s="14">
        <f t="shared" si="24"/>
        <v>0</v>
      </c>
      <c r="F120" s="14">
        <f t="shared" si="24"/>
        <v>0</v>
      </c>
      <c r="G120" s="14">
        <f t="shared" si="24"/>
        <v>0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30772.9</v>
      </c>
      <c r="D123" s="13">
        <f>Income_Statement!D5</f>
        <v>34742.1</v>
      </c>
      <c r="E123" s="13">
        <f>Income_Statement!E5</f>
        <v>36867.699999999997</v>
      </c>
      <c r="F123" s="13">
        <f>Income_Statement!F5</f>
        <v>37855.1</v>
      </c>
      <c r="G123" s="13">
        <f>Income_Statement!G5</f>
        <v>44645.98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65.900000000000006</v>
      </c>
      <c r="D124" s="13">
        <f>Balance_Sheet!D66</f>
        <v>75.2</v>
      </c>
      <c r="E124" s="13">
        <f>Balance_Sheet!E66</f>
        <v>35.799999999999997</v>
      </c>
      <c r="F124" s="13">
        <f>Balance_Sheet!F66</f>
        <v>24.2</v>
      </c>
      <c r="G124" s="13">
        <f>Balance_Sheet!G66</f>
        <v>40.5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0.78</v>
      </c>
      <c r="D125" s="14">
        <f t="shared" ref="D125:G125" si="25">ROUND(365/D123*D124, 2)</f>
        <v>0.79</v>
      </c>
      <c r="E125" s="14">
        <f t="shared" si="25"/>
        <v>0.35</v>
      </c>
      <c r="F125" s="14">
        <f t="shared" si="25"/>
        <v>0.23</v>
      </c>
      <c r="G125" s="14">
        <f t="shared" si="25"/>
        <v>0.33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0</v>
      </c>
      <c r="D128" s="13">
        <f>Income_Statement!D17</f>
        <v>0</v>
      </c>
      <c r="E128" s="13">
        <f>Income_Statement!E17</f>
        <v>0</v>
      </c>
      <c r="F128" s="13">
        <f>Income_Statement!F17</f>
        <v>0</v>
      </c>
      <c r="G128" s="13">
        <f>Income_Statement!G17</f>
        <v>0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8123.2000000000007</v>
      </c>
      <c r="D129" s="13">
        <f>Balance_Sheet!D33</f>
        <v>10048.6</v>
      </c>
      <c r="E129" s="13">
        <f>Balance_Sheet!E33</f>
        <v>11453</v>
      </c>
      <c r="F129" s="13">
        <f>Balance_Sheet!F33</f>
        <v>11465.2</v>
      </c>
      <c r="G129" s="13">
        <f>Balance_Sheet!G33</f>
        <v>15452.7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 t="e">
        <f>ROUND(365/C128*C129, 2)</f>
        <v>#DIV/0!</v>
      </c>
      <c r="D130" s="14" t="e">
        <f t="shared" ref="D130:G130" si="26">ROUND(365/D128*D129, 2)</f>
        <v>#DIV/0!</v>
      </c>
      <c r="E130" s="14" t="e">
        <f t="shared" si="26"/>
        <v>#DIV/0!</v>
      </c>
      <c r="F130" s="14" t="e">
        <f t="shared" si="26"/>
        <v>#DIV/0!</v>
      </c>
      <c r="G130" s="14" t="e">
        <f t="shared" si="26"/>
        <v>#DIV/0!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30772.9</v>
      </c>
      <c r="D133" s="13">
        <f>Income_Statement!D5</f>
        <v>34742.1</v>
      </c>
      <c r="E133" s="13">
        <f>Income_Statement!E5</f>
        <v>36867.699999999997</v>
      </c>
      <c r="F133" s="13">
        <f>Income_Statement!F5</f>
        <v>37855.1</v>
      </c>
      <c r="G133" s="13">
        <f>Income_Statement!G5</f>
        <v>44645.98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6497.9</v>
      </c>
      <c r="D134" s="13">
        <f>Balance_Sheet!D68</f>
        <v>6958.6</v>
      </c>
      <c r="E134" s="13">
        <f>Balance_Sheet!E68</f>
        <v>7577.2</v>
      </c>
      <c r="F134" s="13">
        <f>Balance_Sheet!F68</f>
        <v>6472.8</v>
      </c>
      <c r="G134" s="13">
        <f>Balance_Sheet!G68</f>
        <v>11933.4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77.069999999999993</v>
      </c>
      <c r="D135" s="14">
        <f t="shared" ref="D135:G135" si="27">ROUND(365/D133*D134, 2)</f>
        <v>73.11</v>
      </c>
      <c r="E135" s="14">
        <f t="shared" si="27"/>
        <v>75.02</v>
      </c>
      <c r="F135" s="14">
        <f t="shared" si="27"/>
        <v>62.41</v>
      </c>
      <c r="G135" s="14">
        <f t="shared" si="27"/>
        <v>97.56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30772.9</v>
      </c>
      <c r="D138" s="13">
        <f>Income_Statement!D5</f>
        <v>34742.1</v>
      </c>
      <c r="E138" s="13">
        <f>Income_Statement!E5</f>
        <v>36867.699999999997</v>
      </c>
      <c r="F138" s="13">
        <f>Income_Statement!F5</f>
        <v>37855.1</v>
      </c>
      <c r="G138" s="13">
        <f>Income_Statement!G5</f>
        <v>44645.98</v>
      </c>
    </row>
    <row r="139" spans="2:12" ht="18.75" x14ac:dyDescent="0.25">
      <c r="B139" s="12" t="str">
        <f>Balance_Sheet!B66</f>
        <v>Inventories</v>
      </c>
      <c r="C139" s="13">
        <f>Balance_Sheet!C66</f>
        <v>65.900000000000006</v>
      </c>
      <c r="D139" s="13">
        <f>Balance_Sheet!D66</f>
        <v>75.2</v>
      </c>
      <c r="E139" s="13">
        <f>Balance_Sheet!E66</f>
        <v>35.799999999999997</v>
      </c>
      <c r="F139" s="13">
        <f>Balance_Sheet!F66</f>
        <v>24.2</v>
      </c>
      <c r="G139" s="13">
        <f>Balance_Sheet!G66</f>
        <v>40.5</v>
      </c>
    </row>
    <row r="140" spans="2:12" ht="18.75" x14ac:dyDescent="0.25">
      <c r="B140" s="12" t="s">
        <v>192</v>
      </c>
      <c r="C140" s="13">
        <f>ROUND(365/C138*C139, 2)</f>
        <v>0.78</v>
      </c>
      <c r="D140" s="13">
        <f t="shared" ref="D140:G140" si="28">ROUND(365/D138*D139, 2)</f>
        <v>0.79</v>
      </c>
      <c r="E140" s="13">
        <f t="shared" si="28"/>
        <v>0.35</v>
      </c>
      <c r="F140" s="13">
        <f t="shared" si="28"/>
        <v>0.23</v>
      </c>
      <c r="G140" s="13">
        <f t="shared" si="28"/>
        <v>0.33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0</v>
      </c>
      <c r="D141" s="13">
        <f>Income_Statement!D17</f>
        <v>0</v>
      </c>
      <c r="E141" s="13">
        <f>Income_Statement!E17</f>
        <v>0</v>
      </c>
      <c r="F141" s="13">
        <f>Income_Statement!F17</f>
        <v>0</v>
      </c>
      <c r="G141" s="13">
        <f>Income_Statement!G17</f>
        <v>0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8123.2000000000007</v>
      </c>
      <c r="D142" s="13">
        <f>Balance_Sheet!D33</f>
        <v>10048.6</v>
      </c>
      <c r="E142" s="13">
        <f>Balance_Sheet!E33</f>
        <v>11453</v>
      </c>
      <c r="F142" s="13">
        <f>Balance_Sheet!F33</f>
        <v>11465.2</v>
      </c>
      <c r="G142" s="13">
        <f>Balance_Sheet!G33</f>
        <v>15452.7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 t="e">
        <f>ROUND(365/C141*C142, 2)</f>
        <v>#DIV/0!</v>
      </c>
      <c r="D143" s="13" t="e">
        <f t="shared" ref="D143:G143" si="29">ROUND(365/D141*D142, 2)</f>
        <v>#DIV/0!</v>
      </c>
      <c r="E143" s="13" t="e">
        <f t="shared" si="29"/>
        <v>#DIV/0!</v>
      </c>
      <c r="F143" s="13" t="e">
        <f t="shared" si="29"/>
        <v>#DIV/0!</v>
      </c>
      <c r="G143" s="13" t="e">
        <f t="shared" si="29"/>
        <v>#DIV/0!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 t="e">
        <f>ROUND(C143+C140, 2)</f>
        <v>#DIV/0!</v>
      </c>
      <c r="D144" s="16" t="e">
        <f t="shared" ref="D144:G144" si="30">ROUND(D143+D140, 2)</f>
        <v>#DIV/0!</v>
      </c>
      <c r="E144" s="16" t="e">
        <f t="shared" si="30"/>
        <v>#DIV/0!</v>
      </c>
      <c r="F144" s="16" t="e">
        <f t="shared" si="30"/>
        <v>#DIV/0!</v>
      </c>
      <c r="G144" s="16" t="e">
        <f t="shared" si="30"/>
        <v>#DIV/0!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30772.9</v>
      </c>
      <c r="D147" s="13">
        <f>Income_Statement!D5</f>
        <v>34742.1</v>
      </c>
      <c r="E147" s="13">
        <f>Income_Statement!E5</f>
        <v>36867.699999999997</v>
      </c>
      <c r="F147" s="13">
        <f>Income_Statement!F5</f>
        <v>37855.1</v>
      </c>
      <c r="G147" s="13">
        <f>Income_Statement!G5</f>
        <v>44645.98</v>
      </c>
    </row>
    <row r="148" spans="2:12" ht="18.75" x14ac:dyDescent="0.25">
      <c r="B148" s="12" t="str">
        <f>Balance_Sheet!B66</f>
        <v>Inventories</v>
      </c>
      <c r="C148" s="13">
        <f>Balance_Sheet!C66</f>
        <v>65.900000000000006</v>
      </c>
      <c r="D148" s="13">
        <f>Balance_Sheet!D66</f>
        <v>75.2</v>
      </c>
      <c r="E148" s="13">
        <f>Balance_Sheet!E66</f>
        <v>35.799999999999997</v>
      </c>
      <c r="F148" s="13">
        <f>Balance_Sheet!F66</f>
        <v>24.2</v>
      </c>
      <c r="G148" s="13">
        <f>Balance_Sheet!G66</f>
        <v>40.5</v>
      </c>
    </row>
    <row r="149" spans="2:12" ht="18.75" x14ac:dyDescent="0.25">
      <c r="B149" s="12" t="s">
        <v>192</v>
      </c>
      <c r="C149" s="13">
        <f>ROUND(365/C147*C148, 2)</f>
        <v>0.78</v>
      </c>
      <c r="D149" s="13">
        <f t="shared" ref="D149:G149" si="31">ROUND(365/D147*D148, 2)</f>
        <v>0.79</v>
      </c>
      <c r="E149" s="13">
        <f t="shared" si="31"/>
        <v>0.35</v>
      </c>
      <c r="F149" s="13">
        <f t="shared" si="31"/>
        <v>0.23</v>
      </c>
      <c r="G149" s="13">
        <f t="shared" si="31"/>
        <v>0.33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0</v>
      </c>
      <c r="D150" s="13">
        <f>Income_Statement!D17</f>
        <v>0</v>
      </c>
      <c r="E150" s="13">
        <f>Income_Statement!E17</f>
        <v>0</v>
      </c>
      <c r="F150" s="13">
        <f>Income_Statement!F17</f>
        <v>0</v>
      </c>
      <c r="G150" s="13">
        <f>Income_Statement!G17</f>
        <v>0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8123.2000000000007</v>
      </c>
      <c r="D151" s="13">
        <f>Balance_Sheet!D33</f>
        <v>10048.6</v>
      </c>
      <c r="E151" s="13">
        <f>Balance_Sheet!E33</f>
        <v>11453</v>
      </c>
      <c r="F151" s="13">
        <f>Balance_Sheet!F33</f>
        <v>11465.2</v>
      </c>
      <c r="G151" s="13">
        <f>Balance_Sheet!G33</f>
        <v>15452.7</v>
      </c>
    </row>
    <row r="152" spans="2:12" ht="18.75" x14ac:dyDescent="0.25">
      <c r="B152" s="12" t="s">
        <v>194</v>
      </c>
      <c r="C152" s="13" t="e">
        <f>ROUND(365/C150*C151, 2)</f>
        <v>#DIV/0!</v>
      </c>
      <c r="D152" s="13" t="e">
        <f t="shared" ref="D152:G152" si="32">ROUND(365/D150*D151, 2)</f>
        <v>#DIV/0!</v>
      </c>
      <c r="E152" s="13" t="e">
        <f t="shared" si="32"/>
        <v>#DIV/0!</v>
      </c>
      <c r="F152" s="13" t="e">
        <f t="shared" si="32"/>
        <v>#DIV/0!</v>
      </c>
      <c r="G152" s="13" t="e">
        <f t="shared" si="32"/>
        <v>#DIV/0!</v>
      </c>
    </row>
    <row r="153" spans="2:12" ht="18.75" x14ac:dyDescent="0.25">
      <c r="B153" s="12" t="s">
        <v>200</v>
      </c>
      <c r="C153" s="13" t="e">
        <f>ROUND(C152+C149, 2)</f>
        <v>#DIV/0!</v>
      </c>
      <c r="D153" s="13" t="e">
        <f t="shared" ref="D153:G153" si="33">ROUND(D152+D149, 2)</f>
        <v>#DIV/0!</v>
      </c>
      <c r="E153" s="13" t="e">
        <f t="shared" si="33"/>
        <v>#DIV/0!</v>
      </c>
      <c r="F153" s="13" t="e">
        <f t="shared" si="33"/>
        <v>#DIV/0!</v>
      </c>
      <c r="G153" s="13" t="e">
        <f t="shared" si="33"/>
        <v>#DIV/0!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0</v>
      </c>
      <c r="D154" s="13">
        <f>Income_Statement!D17</f>
        <v>0</v>
      </c>
      <c r="E154" s="13">
        <f>Income_Statement!E17</f>
        <v>0</v>
      </c>
      <c r="F154" s="13">
        <f>Income_Statement!F17</f>
        <v>0</v>
      </c>
      <c r="G154" s="13">
        <f>Income_Statement!G17</f>
        <v>0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8123.2000000000007</v>
      </c>
      <c r="D155" s="13">
        <f>Balance_Sheet!D33</f>
        <v>10048.6</v>
      </c>
      <c r="E155" s="13">
        <f>Balance_Sheet!E33</f>
        <v>11453</v>
      </c>
      <c r="F155" s="13">
        <f>Balance_Sheet!F33</f>
        <v>11465.2</v>
      </c>
      <c r="G155" s="13">
        <f>Balance_Sheet!G33</f>
        <v>15452.7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 t="e">
        <f>ROUND(365/C154*C155, 2)</f>
        <v>#DIV/0!</v>
      </c>
      <c r="D156" s="13" t="e">
        <f t="shared" ref="D156:G156" si="34">ROUND(365/D154*D155, 2)</f>
        <v>#DIV/0!</v>
      </c>
      <c r="E156" s="13" t="e">
        <f t="shared" si="34"/>
        <v>#DIV/0!</v>
      </c>
      <c r="F156" s="13" t="e">
        <f t="shared" si="34"/>
        <v>#DIV/0!</v>
      </c>
      <c r="G156" s="13" t="e">
        <f t="shared" si="34"/>
        <v>#DIV/0!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 t="e">
        <f>ROUND(C156-C153, 2)</f>
        <v>#DIV/0!</v>
      </c>
      <c r="D157" s="16" t="e">
        <f t="shared" ref="D157:G157" si="35">ROUND(D156-D153, 2)</f>
        <v>#DIV/0!</v>
      </c>
      <c r="E157" s="16" t="e">
        <f t="shared" si="35"/>
        <v>#DIV/0!</v>
      </c>
      <c r="F157" s="16" t="e">
        <f t="shared" si="35"/>
        <v>#DIV/0!</v>
      </c>
      <c r="G157" s="16" t="e">
        <f t="shared" si="35"/>
        <v>#DIV/0!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459478E5-BB00-4E97-AE1E-09A977B149B0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F21851DC-EA0A-42AF-83E8-35B13ECFEE5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D90B37A4-33A9-47E7-942C-EF3ACDE55EB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FE937713-F2E1-474F-B5AE-CEC61E4AAD5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2B140260-99DE-4CCE-99C4-BDCED6042AF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F0FC4250-8A3A-4ECF-9FA3-72013968832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1624A3EC-F23E-454B-A614-605BD2457D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7C97F44A-8B59-4344-AAF6-2502F6098D4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F5B7637C-6E4B-40CE-B61C-D730D280B7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65DE169C-DD17-4EEB-AFF5-6677374055C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C5C3BD38-A5DA-4030-A2E5-B1234AE3002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A050390D-5B80-49BB-8D36-CD9E411311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420F7837-BE36-4F8D-8049-3793D9003C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1F82F589-EEF6-47D8-B51F-D988A63D756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C704E786-06FA-4A70-8CE9-59C82CB6FD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4631073B-DB4A-4F1E-A778-83A20C6E3B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B7ED8FA-A45C-416C-A134-0DC1E16723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88242121-CE37-4DCB-B2B2-0C73337AA02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A2FF4050-926B-46C5-A6F2-A4DB442B77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A78CD9C1-0E23-42BE-B55E-0074B531572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F827DD25-8F65-4201-BDCC-1F26BEEC64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78B0DC59-E009-43CB-8FC8-1F737F57833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CCD915A8-5C28-41D2-87F0-1544745133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1C6514B3-E36A-46B5-9749-8A0EDA8F0A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31CA2741-4BEB-459D-B762-62561AF70B1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E61D99EA-C29C-4B1D-A820-2D9322A081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FA2AAE3B-B027-4AF4-AFB4-287720479FE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5C3717BB-7085-4D7A-8133-A057547927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9CA1E-AC84-433A-A208-23B2D019A1E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3787.1460307608327</v>
      </c>
      <c r="D6" s="13">
        <f>Income_Statement!D49</f>
        <v>4355.3153761574467</v>
      </c>
      <c r="E6" s="13">
        <f>Income_Statement!E49</f>
        <v>4121.4323426739411</v>
      </c>
      <c r="F6" s="13">
        <f>Income_Statement!F49</f>
        <v>4403.5207924427577</v>
      </c>
      <c r="G6" s="13">
        <f>Income_Statement!G49</f>
        <v>5631.1049137772397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88.073163506065882</v>
      </c>
      <c r="D7" s="13">
        <f>Income_Statement!D61</f>
        <v>90.735737003280136</v>
      </c>
      <c r="E7" s="13">
        <f>Income_Statement!E61</f>
        <v>89.596355275520452</v>
      </c>
      <c r="F7" s="13">
        <f>Income_Statement!F61</f>
        <v>86.343544949858</v>
      </c>
      <c r="G7" s="13">
        <f>Income_Statement!G61</f>
        <v>89.382617679003801</v>
      </c>
    </row>
    <row r="8" spans="2:15" ht="18.75" x14ac:dyDescent="0.25">
      <c r="B8" s="14" t="s">
        <v>146</v>
      </c>
      <c r="C8" s="14">
        <f>ROUND(C6/C7, 2)</f>
        <v>43</v>
      </c>
      <c r="D8" s="14">
        <f t="shared" ref="D8:G8" si="0">ROUND(D6/D7, 2)</f>
        <v>48</v>
      </c>
      <c r="E8" s="14">
        <f t="shared" si="0"/>
        <v>46</v>
      </c>
      <c r="F8" s="14">
        <f t="shared" si="0"/>
        <v>51</v>
      </c>
      <c r="G8" s="14">
        <f t="shared" si="0"/>
        <v>63</v>
      </c>
    </row>
  </sheetData>
  <mergeCells count="1">
    <mergeCell ref="B5:G5"/>
  </mergeCells>
  <hyperlinks>
    <hyperlink ref="F1" location="Index_Data!A1" tooltip="Hi click here To return Index page" display="Index_Data!A1" xr:uid="{222756FD-0D3F-4297-AD37-2F1D100CC8DF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655C6-EDF2-498D-877E-60300BF31D1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0" bestFit="1" customWidth="1"/>
    <col min="4" max="6" width="11.5703125" bestFit="1" customWidth="1"/>
    <col min="7" max="7" width="8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943.8</v>
      </c>
      <c r="D6" s="13">
        <f>Income_Statement!D51</f>
        <v>1490.7</v>
      </c>
      <c r="E6" s="13">
        <f>Income_Statement!E51</f>
        <v>2491.6999999999998</v>
      </c>
      <c r="F6" s="13">
        <f>Income_Statement!F51</f>
        <v>1759.2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88.073163506065882</v>
      </c>
      <c r="D7" s="13">
        <f>Income_Statement!D61</f>
        <v>90.735737003280136</v>
      </c>
      <c r="E7" s="13">
        <f>Income_Statement!E61</f>
        <v>89.596355275520452</v>
      </c>
      <c r="F7" s="13">
        <f>Income_Statement!F61</f>
        <v>86.343544949858</v>
      </c>
      <c r="G7" s="13">
        <f>Income_Statement!G61</f>
        <v>89.382617679003801</v>
      </c>
    </row>
    <row r="8" spans="2:15" ht="18.75" x14ac:dyDescent="0.25">
      <c r="B8" s="14" t="s">
        <v>148</v>
      </c>
      <c r="C8" s="14">
        <f>ROUND(C6/C7, 2)</f>
        <v>10.72</v>
      </c>
      <c r="D8" s="14">
        <f t="shared" ref="D8:G8" si="0">ROUND(D6/D7, 2)</f>
        <v>16.43</v>
      </c>
      <c r="E8" s="14">
        <f t="shared" si="0"/>
        <v>27.81</v>
      </c>
      <c r="F8" s="14">
        <f t="shared" si="0"/>
        <v>20.37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072CC745-FF13-4079-9617-5CAE16B7A81C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2022-07-03T11:55:13Z</dcterms:created>
  <dcterms:modified xsi:type="dcterms:W3CDTF">2022-07-04T08:23:03Z</dcterms:modified>
</cp:coreProperties>
</file>