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FF37AD61-46DA-4E30-AF14-D0D10B2EB1F1}" xr6:coauthVersionLast="47" xr6:coauthVersionMax="47" xr10:uidLastSave="{00000000-0000-0000-0000-000000000000}"/>
  <bookViews>
    <workbookView xWindow="-120" yWindow="-120" windowWidth="20730" windowHeight="11160" firstSheet="2" activeTab="2" xr2:uid="{C43EBB1A-0E53-45E1-AF60-BAF2A9717DE6}"/>
  </bookViews>
  <sheets>
    <sheet name="BSInput" sheetId="1" r:id="rId1"/>
    <sheet name="ISMInput" sheetId="2" r:id="rId2"/>
    <sheet name="Index_Data" sheetId="48" r:id="rId3"/>
    <sheet name="Income_Statement" sheetId="3" r:id="rId4"/>
    <sheet name="Balance_Sheet" sheetId="4" r:id="rId5"/>
    <sheet name="CashFlow_Statement" sheetId="5" r:id="rId6"/>
    <sheet name="Ratios" sheetId="6" r:id="rId7"/>
    <sheet name="Earning__Per_Share" sheetId="7" r:id="rId8"/>
    <sheet name="Equity_Dividend_Per_Share" sheetId="8" r:id="rId9"/>
    <sheet name="Book_Value__Per_Share" sheetId="9" r:id="rId10"/>
    <sheet name="Dividend_Pay_Out_Ratio" sheetId="10" r:id="rId11"/>
    <sheet name="Dividend_Retention_Ratio" sheetId="11" r:id="rId12"/>
    <sheet name="Gross_Profit" sheetId="12" r:id="rId13"/>
    <sheet name="Net_Profit" sheetId="13" r:id="rId14"/>
    <sheet name="Return_On_Assets" sheetId="14" r:id="rId15"/>
    <sheet name="Return_On_Capital_Employeed" sheetId="15" r:id="rId16"/>
    <sheet name="Return_On_Equity" sheetId="16" r:id="rId17"/>
    <sheet name="Debt_Equity_Ratio" sheetId="17" r:id="rId18"/>
    <sheet name="Current_Ratio" sheetId="18" r:id="rId19"/>
    <sheet name="Quick_Ratio" sheetId="19" r:id="rId20"/>
    <sheet name="Interest_Coverage_Ratio" sheetId="20" r:id="rId21"/>
    <sheet name="Material_Consumed" sheetId="21" r:id="rId22"/>
    <sheet name="Defensive_Interval_Ratio" sheetId="22" r:id="rId23"/>
    <sheet name="Purchases_Per_Day" sheetId="23" r:id="rId24"/>
    <sheet name="Asset_TurnOver_Ratio" sheetId="24" r:id="rId25"/>
    <sheet name="Inventory_TurnOver_Ratio" sheetId="25" r:id="rId26"/>
    <sheet name="Debtors_TurnOver_Ratio" sheetId="26" r:id="rId27"/>
    <sheet name="Fixed_Assets_TurnOver_Ratio" sheetId="27" r:id="rId28"/>
    <sheet name="Payable_TurnOver_Ratio" sheetId="28" r:id="rId29"/>
    <sheet name="Inventory_Days" sheetId="29" r:id="rId30"/>
    <sheet name="Payable_Days" sheetId="30" r:id="rId31"/>
    <sheet name="Receivable_Days" sheetId="31" r:id="rId32"/>
    <sheet name="Operating_Cycle" sheetId="32" r:id="rId33"/>
    <sheet name="Cash_Conversion_Cycle_Days" sheetId="33" r:id="rId34"/>
    <sheet name="NetWorthVsTotalLiabilties" sheetId="34" r:id="rId35"/>
    <sheet name="PBDITvsPBIT" sheetId="35" r:id="rId36"/>
    <sheet name="CAvsCL" sheetId="36" r:id="rId37"/>
    <sheet name="Long_And_Short_Term_Provisions" sheetId="37" r:id="rId38"/>
    <sheet name="MaterialConsumed_DirectExpenses" sheetId="38" r:id="rId39"/>
    <sheet name="Gross_Sales_In_Total_Income" sheetId="39" r:id="rId40"/>
    <sheet name="Total_Debt_In_Liabilities" sheetId="40" r:id="rId41"/>
    <sheet name="Total_CL_In_Liabilities" sheetId="41" r:id="rId42"/>
    <sheet name="Total_NCA_In_Assets" sheetId="42" r:id="rId43"/>
    <sheet name="Total_CA_In_Assets" sheetId="43" r:id="rId44"/>
    <sheet name="TotalExpenditureVsTotalIncome" sheetId="44" r:id="rId45"/>
    <sheet name="Net_Profit_CF_To_Balance_Sheet" sheetId="45" r:id="rId46"/>
    <sheet name="BS_Backup" sheetId="46" r:id="rId47"/>
    <sheet name="ISM_Backup" sheetId="47" r:id="rId48"/>
  </sheets>
  <definedNames>
    <definedName name="AmountCFtoBalanceSheet">Income_Statement!$B$55:$G$55</definedName>
    <definedName name="AssetTurnOverRatio">Asset_TurnOver_Ratio!$B$8:$G$8</definedName>
    <definedName name="BookValuePerShare">Book_Value__Per_Share!$B$8:$G$8</definedName>
    <definedName name="CapitalWorkInProgress">Balance_Sheet!$B$52:$G$52</definedName>
    <definedName name="CashAndCashEquivalents">Balance_Sheet!$B$70:$G$70</definedName>
    <definedName name="CashCFtoBalanceSheet">CashFlow_Statement!$B$48:$G$48</definedName>
    <definedName name="CostOfMaterialsConsumed">Income_Statement!$B$17:$G$17</definedName>
    <definedName name="CurrentInvestments">Balance_Sheet!$B$50:$G$50</definedName>
    <definedName name="CurrentRatio">Current_Ratio!$B$8:$G$8</definedName>
    <definedName name="DebtEquityRatio">Debt_Equity_Ratio!$B$8:$G$8</definedName>
    <definedName name="DebtorsTurnOverRatio">Debtors_TurnOver_Ratio!$B$8:$G$8</definedName>
    <definedName name="DefensiveIntervalRatio">Defensive_Interval_Ratio!$B$8:$G$8</definedName>
    <definedName name="DeferredTaxAssetsNet">Balance_Sheet!$B$56:$G$56</definedName>
    <definedName name="DeferredTaxLiabilitiesNet">Balance_Sheet!$B$17:$G$17</definedName>
    <definedName name="Depreciation">Balance_Sheet!$B$44:$G$44</definedName>
    <definedName name="DepreciationAndAmortisationExpenses">Income_Statement!$B$31:$G$31</definedName>
    <definedName name="EarningPerShare">Earning__Per_Share!$B$8:$G$8</definedName>
    <definedName name="EmployeeBenefitExpenses">Income_Statement!$B$21:$G$21</definedName>
    <definedName name="EquityDividendPerShare">Equity_Dividend_Per_Share!$B$8:$G$8</definedName>
    <definedName name="EquityShareCapital">Balance_Sheet!$B$5:$G$5</definedName>
    <definedName name="EquityShareDividend">Income_Statement!$B$51:$G$51</definedName>
    <definedName name="ExceptionalItems">Income_Statement!$B$43:$G$43</definedName>
    <definedName name="ExciseDuty">Income_Statement!$B$7:$G$7</definedName>
    <definedName name="FinanceCosts">Income_Statement!$B$35:$G$35</definedName>
    <definedName name="GrossProfit">Gross_Profit!$B$8:$G$8</definedName>
    <definedName name="GrossSales">Income_Statement!$B$5:$G$5</definedName>
    <definedName name="IntangibleAssets">Balance_Sheet!$B$42:$G$42</definedName>
    <definedName name="InterestCoverageRatio">Interest_Coverage_Ratio!$B$8:$G$8</definedName>
    <definedName name="Inventories">Balance_Sheet!$B$66:$G$66</definedName>
    <definedName name="InventoryTurnOverRatio">Inventory_TurnOver_Ratio!$B$8:$G$8</definedName>
    <definedName name="LongTermBorrowings">Balance_Sheet!$B$15:$G$15</definedName>
    <definedName name="LongTermLoansAndAdvances">Balance_Sheet!$B$58:$G$58</definedName>
    <definedName name="LongTermProvisions">Balance_Sheet!$B$23:$G$23</definedName>
    <definedName name="MaterialConsumed">Material_Consumed!$B$8:$G$8</definedName>
    <definedName name="MinorityInterest">Balance_Sheet!$B$35:$G$35</definedName>
    <definedName name="NetAssets">Balance_Sheet!$B$46:$G$46</definedName>
    <definedName name="NetProfit">Net_Profit!$B$8:$G$8</definedName>
    <definedName name="NetSales">Income_Statement!$B$9:$G$9</definedName>
    <definedName name="NetWorth">Balance_Sheet!$B$13:$G$13</definedName>
    <definedName name="NonCurrentInvestments">Balance_Sheet!$B$48:$G$48</definedName>
    <definedName name="OperatingAndDirectExpenses">Income_Statement!$B$19:$G$19</definedName>
    <definedName name="OperatingProfit">Income_Statement!$B$27:$G$27</definedName>
    <definedName name="OtherCurrentAssets">Balance_Sheet!$B$64:$G$64</definedName>
    <definedName name="OtherCurrentLiabilities">Balance_Sheet!$B$31:$G$31</definedName>
    <definedName name="OtherExpenses">Income_Statement!$B$23:$G$23</definedName>
    <definedName name="OtherIncome">Income_Statement!$B$11:$G$11</definedName>
    <definedName name="OtherLongTermLiabilities">Balance_Sheet!$B$27:$G$27</definedName>
    <definedName name="OtherNonCurrentAssets">Balance_Sheet!$B$60:$G$60</definedName>
    <definedName name="PBDIT">Income_Statement!$B$29:$G$29</definedName>
    <definedName name="PBIT">Income_Statement!$B$33:$G$33</definedName>
    <definedName name="PBT">Income_Statement!$B$41:$G$41</definedName>
    <definedName name="PBTPostExtraOrdinaryItems">Income_Statement!$B$45:$G$45</definedName>
    <definedName name="PreferenceShareCapital">Balance_Sheet!$B$7:$G$7</definedName>
    <definedName name="ProfitBeforeshareofAssociates">Income_Statement!$B$37:$G$37</definedName>
    <definedName name="QuickRatio">Quick_Ratio!$B$9:$G$9</definedName>
    <definedName name="ReportedNetProfitPAT">Income_Statement!$B$49:$G$49</definedName>
    <definedName name="ReservesandSurplus">Balance_Sheet!$B$11:$G$11</definedName>
    <definedName name="ReturnOnAssets">Return_On_Assets!$B$8:$G$8</definedName>
    <definedName name="ReturnOnCapitalEmployeed">Return_On_Capital_Employeed!$B$9:$G$9</definedName>
    <definedName name="ReturnOnEquity">Return_On_Equity!$B$8:$G$8</definedName>
    <definedName name="ShareOfProfitLossOfAssociates">Income_Statement!$B$39:$G$39</definedName>
    <definedName name="SharesOutstanding">Income_Statement!$B$61:$G$61</definedName>
    <definedName name="ShortTermBorrowings">Balance_Sheet!$B$19:$G$19</definedName>
    <definedName name="ShortTermLoansAndAdvances">Balance_Sheet!$B$62:$G$62</definedName>
    <definedName name="ShortTermProvisions">Balance_Sheet!$B$25:$G$25</definedName>
    <definedName name="StockAdjustments">Income_Statement!$B$13:$G$13</definedName>
    <definedName name="TangibleAssets">Balance_Sheet!$B$40:$G$40</definedName>
    <definedName name="TaxOnDividend">Income_Statement!$B$53:$G$53</definedName>
    <definedName name="TotalAssets">Balance_Sheet!$B$74:$G$74</definedName>
    <definedName name="TotalCashFlowfromInvestmentActivities">CashFlow_Statement!$B$35:$G$35</definedName>
    <definedName name="TotalCashFromFinancingActivities">CashFlow_Statement!$B$47:$G$47</definedName>
    <definedName name="TotalCashfromOperatingActivities">CashFlow_Statement!$B$27:$G$27</definedName>
    <definedName name="TotalCurrentAssets">Balance_Sheet!$B$72:$G$72</definedName>
    <definedName name="TotalCurrentLiabilities">Balance_Sheet!$B$33:$G$33</definedName>
    <definedName name="TotalDebt">Balance_Sheet!$B$21:$G$21</definedName>
    <definedName name="TotalExpenditure">Income_Statement!$B$25:$G$25</definedName>
    <definedName name="TotalIncome">Income_Statement!$B$15:$G$15</definedName>
    <definedName name="TotalLiabilities">Balance_Sheet!$B$37:$G$37</definedName>
    <definedName name="TotalNonCashNonOperatingTransactions">CashFlow_Statement!$B$10:$G$10</definedName>
    <definedName name="TotalNonCurrentAssets">Balance_Sheet!$B$54:$G$54</definedName>
    <definedName name="TotalShareCapital">Balance_Sheet!$B$9:$G$9</definedName>
    <definedName name="TotalTaxExpenses">Income_Statement!$B$47:$G$47</definedName>
    <definedName name="TradePayables">Balance_Sheet!$B$29:$G$29</definedName>
    <definedName name="TradeReceivables">Balance_Sheet!$B$68:$G$68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4" l="1"/>
  <c r="J11" i="4"/>
  <c r="K11" i="4"/>
  <c r="L11" i="4"/>
  <c r="H11" i="4"/>
  <c r="I65" i="3"/>
  <c r="J65" i="3" s="1"/>
  <c r="K65" i="3" s="1"/>
  <c r="L65" i="3" s="1"/>
  <c r="H65" i="3"/>
  <c r="D65" i="3"/>
  <c r="E65" i="3"/>
  <c r="F65" i="3"/>
  <c r="G65" i="3"/>
  <c r="C65" i="3"/>
  <c r="H48" i="3"/>
  <c r="I48" i="3"/>
  <c r="J48" i="3"/>
  <c r="K48" i="3"/>
  <c r="L48" i="3"/>
  <c r="I47" i="3"/>
  <c r="J47" i="3"/>
  <c r="K47" i="3"/>
  <c r="L47" i="3"/>
  <c r="L26" i="5" s="1"/>
  <c r="H47" i="3"/>
  <c r="I64" i="3"/>
  <c r="J64" i="3" s="1"/>
  <c r="K64" i="3" s="1"/>
  <c r="L64" i="3" s="1"/>
  <c r="H64" i="3"/>
  <c r="D64" i="3"/>
  <c r="E64" i="3"/>
  <c r="F64" i="3"/>
  <c r="G64" i="3"/>
  <c r="C64" i="3"/>
  <c r="H36" i="3"/>
  <c r="I36" i="3"/>
  <c r="J36" i="3"/>
  <c r="K36" i="3"/>
  <c r="L36" i="3"/>
  <c r="I35" i="3"/>
  <c r="J35" i="3"/>
  <c r="K35" i="3"/>
  <c r="L35" i="3"/>
  <c r="H35" i="3"/>
  <c r="I63" i="3"/>
  <c r="J63" i="3"/>
  <c r="K63" i="3"/>
  <c r="L63" i="3"/>
  <c r="H63" i="3"/>
  <c r="D63" i="3"/>
  <c r="E63" i="3"/>
  <c r="F63" i="3"/>
  <c r="G63" i="3"/>
  <c r="C63" i="3"/>
  <c r="H32" i="3"/>
  <c r="I32" i="3"/>
  <c r="J32" i="3"/>
  <c r="K32" i="3"/>
  <c r="L32" i="3"/>
  <c r="I31" i="3"/>
  <c r="J31" i="3"/>
  <c r="K31" i="3"/>
  <c r="L31" i="3"/>
  <c r="H31" i="3"/>
  <c r="I62" i="3"/>
  <c r="J62" i="3" s="1"/>
  <c r="K62" i="3" s="1"/>
  <c r="L62" i="3" s="1"/>
  <c r="H62" i="3"/>
  <c r="D62" i="3"/>
  <c r="E62" i="3"/>
  <c r="F62" i="3"/>
  <c r="G62" i="3"/>
  <c r="C62" i="3"/>
  <c r="H44" i="4"/>
  <c r="I44" i="4" s="1"/>
  <c r="J44" i="4" s="1"/>
  <c r="K44" i="4" s="1"/>
  <c r="H46" i="5"/>
  <c r="H47" i="5" s="1"/>
  <c r="I46" i="5"/>
  <c r="I47" i="5" s="1"/>
  <c r="J46" i="5"/>
  <c r="J47" i="5" s="1"/>
  <c r="K46" i="5"/>
  <c r="K47" i="5" s="1"/>
  <c r="L46" i="5"/>
  <c r="L47" i="5" s="1"/>
  <c r="H45" i="5"/>
  <c r="I45" i="5"/>
  <c r="J45" i="5"/>
  <c r="K45" i="5"/>
  <c r="L45" i="5"/>
  <c r="H44" i="5"/>
  <c r="I44" i="5"/>
  <c r="J44" i="5"/>
  <c r="K44" i="5"/>
  <c r="L44" i="5"/>
  <c r="H42" i="5"/>
  <c r="I42" i="5"/>
  <c r="J42" i="5"/>
  <c r="K42" i="5"/>
  <c r="L42" i="5"/>
  <c r="H41" i="5"/>
  <c r="I41" i="5"/>
  <c r="J41" i="5"/>
  <c r="K41" i="5"/>
  <c r="L41" i="5"/>
  <c r="H40" i="5"/>
  <c r="I40" i="5"/>
  <c r="J40" i="5"/>
  <c r="K40" i="5"/>
  <c r="L40" i="5"/>
  <c r="H39" i="5"/>
  <c r="I39" i="5"/>
  <c r="J39" i="5"/>
  <c r="K39" i="5"/>
  <c r="L39" i="5"/>
  <c r="H38" i="5"/>
  <c r="I38" i="5"/>
  <c r="J38" i="5"/>
  <c r="K38" i="5"/>
  <c r="L38" i="5"/>
  <c r="H37" i="5"/>
  <c r="I37" i="5"/>
  <c r="J37" i="5"/>
  <c r="K37" i="5"/>
  <c r="L37" i="5"/>
  <c r="H35" i="5"/>
  <c r="I35" i="5"/>
  <c r="J35" i="5"/>
  <c r="K35" i="5"/>
  <c r="L35" i="5"/>
  <c r="H34" i="5"/>
  <c r="I34" i="5"/>
  <c r="J34" i="5"/>
  <c r="K34" i="5"/>
  <c r="L34" i="5"/>
  <c r="H33" i="5"/>
  <c r="I33" i="5"/>
  <c r="J33" i="5"/>
  <c r="K33" i="5"/>
  <c r="L33" i="5"/>
  <c r="H32" i="5"/>
  <c r="I32" i="5"/>
  <c r="J32" i="5"/>
  <c r="K32" i="5"/>
  <c r="L32" i="5"/>
  <c r="H31" i="5"/>
  <c r="I31" i="5"/>
  <c r="J31" i="5"/>
  <c r="K31" i="5"/>
  <c r="L31" i="5"/>
  <c r="H30" i="5"/>
  <c r="I30" i="5"/>
  <c r="J30" i="5"/>
  <c r="K30" i="5"/>
  <c r="L30" i="5"/>
  <c r="H29" i="5"/>
  <c r="I29" i="5"/>
  <c r="J29" i="5"/>
  <c r="K29" i="5"/>
  <c r="L29" i="5"/>
  <c r="H26" i="5"/>
  <c r="I26" i="5"/>
  <c r="J26" i="5"/>
  <c r="K26" i="5"/>
  <c r="H24" i="5"/>
  <c r="I24" i="5"/>
  <c r="J24" i="5"/>
  <c r="K24" i="5"/>
  <c r="L24" i="5"/>
  <c r="H23" i="5"/>
  <c r="I23" i="5"/>
  <c r="J23" i="5"/>
  <c r="K23" i="5"/>
  <c r="L23" i="5"/>
  <c r="H22" i="5"/>
  <c r="I22" i="5"/>
  <c r="J22" i="5"/>
  <c r="K22" i="5"/>
  <c r="L22" i="5"/>
  <c r="H21" i="5"/>
  <c r="I21" i="5"/>
  <c r="J21" i="5"/>
  <c r="K21" i="5"/>
  <c r="L21" i="5"/>
  <c r="H20" i="5"/>
  <c r="I20" i="5"/>
  <c r="J20" i="5"/>
  <c r="K20" i="5"/>
  <c r="L20" i="5"/>
  <c r="H18" i="5"/>
  <c r="I18" i="5"/>
  <c r="J18" i="5"/>
  <c r="K18" i="5"/>
  <c r="L18" i="5"/>
  <c r="H17" i="5"/>
  <c r="I17" i="5"/>
  <c r="J17" i="5"/>
  <c r="K17" i="5"/>
  <c r="L17" i="5"/>
  <c r="H16" i="5"/>
  <c r="I16" i="5"/>
  <c r="J16" i="5"/>
  <c r="K16" i="5"/>
  <c r="L16" i="5"/>
  <c r="H15" i="5"/>
  <c r="I15" i="5"/>
  <c r="J15" i="5"/>
  <c r="K15" i="5"/>
  <c r="L15" i="5"/>
  <c r="H14" i="5"/>
  <c r="I14" i="5"/>
  <c r="J14" i="5"/>
  <c r="K14" i="5"/>
  <c r="L14" i="5"/>
  <c r="H13" i="5"/>
  <c r="I13" i="5"/>
  <c r="J13" i="5"/>
  <c r="K13" i="5"/>
  <c r="L13" i="5"/>
  <c r="H12" i="5"/>
  <c r="I12" i="5"/>
  <c r="J12" i="5"/>
  <c r="K12" i="5"/>
  <c r="L12" i="5"/>
  <c r="H9" i="5"/>
  <c r="I9" i="5"/>
  <c r="J9" i="5"/>
  <c r="K9" i="5"/>
  <c r="L9" i="5"/>
  <c r="H8" i="5"/>
  <c r="I8" i="5"/>
  <c r="J8" i="5"/>
  <c r="K8" i="5"/>
  <c r="L8" i="5"/>
  <c r="H7" i="5"/>
  <c r="H10" i="5" s="1"/>
  <c r="I7" i="5"/>
  <c r="I10" i="5" s="1"/>
  <c r="J7" i="5"/>
  <c r="J10" i="5" s="1"/>
  <c r="K7" i="5"/>
  <c r="K10" i="5" s="1"/>
  <c r="L7" i="5"/>
  <c r="L10" i="5" s="1"/>
  <c r="L66" i="4"/>
  <c r="H66" i="4"/>
  <c r="I67" i="4"/>
  <c r="J67" i="4" s="1"/>
  <c r="K67" i="4" s="1"/>
  <c r="L67" i="4" s="1"/>
  <c r="H67" i="4"/>
  <c r="L64" i="4"/>
  <c r="H64" i="4"/>
  <c r="I65" i="4"/>
  <c r="J65" i="4" s="1"/>
  <c r="K65" i="4" s="1"/>
  <c r="L65" i="4" s="1"/>
  <c r="H65" i="4"/>
  <c r="H62" i="4"/>
  <c r="I63" i="4"/>
  <c r="I62" i="4" s="1"/>
  <c r="J63" i="4"/>
  <c r="J62" i="4" s="1"/>
  <c r="K63" i="4"/>
  <c r="L63" i="4" s="1"/>
  <c r="L62" i="4" s="1"/>
  <c r="H63" i="4"/>
  <c r="L58" i="4"/>
  <c r="H58" i="4"/>
  <c r="I59" i="4"/>
  <c r="J59" i="4" s="1"/>
  <c r="K59" i="4" s="1"/>
  <c r="L59" i="4" s="1"/>
  <c r="H59" i="4"/>
  <c r="L56" i="4"/>
  <c r="H56" i="4"/>
  <c r="I57" i="4"/>
  <c r="J57" i="4" s="1"/>
  <c r="K57" i="4" s="1"/>
  <c r="L57" i="4" s="1"/>
  <c r="H57" i="4"/>
  <c r="L52" i="4"/>
  <c r="H52" i="4"/>
  <c r="I53" i="4"/>
  <c r="J53" i="4" s="1"/>
  <c r="K53" i="4" s="1"/>
  <c r="L53" i="4" s="1"/>
  <c r="H53" i="4"/>
  <c r="L50" i="4"/>
  <c r="H50" i="4"/>
  <c r="I51" i="4"/>
  <c r="J51" i="4" s="1"/>
  <c r="K51" i="4" s="1"/>
  <c r="L51" i="4" s="1"/>
  <c r="H51" i="4"/>
  <c r="H48" i="4"/>
  <c r="I49" i="4"/>
  <c r="I48" i="4" s="1"/>
  <c r="H49" i="4"/>
  <c r="H42" i="4"/>
  <c r="I43" i="4"/>
  <c r="I42" i="4" s="1"/>
  <c r="H43" i="4"/>
  <c r="H40" i="4"/>
  <c r="H46" i="4" s="1"/>
  <c r="I41" i="4"/>
  <c r="I40" i="4" s="1"/>
  <c r="J41" i="4"/>
  <c r="J40" i="4" s="1"/>
  <c r="K41" i="4"/>
  <c r="L41" i="4" s="1"/>
  <c r="L40" i="4" s="1"/>
  <c r="H41" i="4"/>
  <c r="K35" i="4"/>
  <c r="L35" i="4"/>
  <c r="H35" i="4"/>
  <c r="I36" i="4"/>
  <c r="J36" i="4" s="1"/>
  <c r="K36" i="4" s="1"/>
  <c r="L36" i="4" s="1"/>
  <c r="H36" i="4"/>
  <c r="H33" i="4"/>
  <c r="H34" i="4" s="1"/>
  <c r="K31" i="4"/>
  <c r="L31" i="4"/>
  <c r="H31" i="4"/>
  <c r="I32" i="4"/>
  <c r="J32" i="4" s="1"/>
  <c r="K32" i="4" s="1"/>
  <c r="L32" i="4" s="1"/>
  <c r="H32" i="4"/>
  <c r="H29" i="4"/>
  <c r="I30" i="4"/>
  <c r="I29" i="4" s="1"/>
  <c r="H30" i="4"/>
  <c r="L27" i="4"/>
  <c r="H27" i="4"/>
  <c r="I28" i="4"/>
  <c r="J28" i="4" s="1"/>
  <c r="K28" i="4" s="1"/>
  <c r="L28" i="4" s="1"/>
  <c r="H28" i="4"/>
  <c r="L25" i="4"/>
  <c r="H25" i="4"/>
  <c r="I26" i="4"/>
  <c r="J26" i="4" s="1"/>
  <c r="K26" i="4" s="1"/>
  <c r="L26" i="4" s="1"/>
  <c r="H26" i="4"/>
  <c r="L23" i="4"/>
  <c r="H23" i="4"/>
  <c r="I24" i="4"/>
  <c r="J24" i="4" s="1"/>
  <c r="K24" i="4" s="1"/>
  <c r="L24" i="4" s="1"/>
  <c r="H24" i="4"/>
  <c r="L21" i="4"/>
  <c r="H21" i="4"/>
  <c r="I22" i="4"/>
  <c r="J22" i="4" s="1"/>
  <c r="K22" i="4" s="1"/>
  <c r="L22" i="4" s="1"/>
  <c r="H22" i="4"/>
  <c r="L19" i="4"/>
  <c r="H19" i="4"/>
  <c r="I20" i="4"/>
  <c r="J20" i="4" s="1"/>
  <c r="K20" i="4" s="1"/>
  <c r="L20" i="4" s="1"/>
  <c r="H20" i="4"/>
  <c r="L17" i="4"/>
  <c r="H17" i="4"/>
  <c r="I18" i="4"/>
  <c r="J18" i="4" s="1"/>
  <c r="K18" i="4" s="1"/>
  <c r="L18" i="4" s="1"/>
  <c r="H18" i="4"/>
  <c r="H15" i="4"/>
  <c r="I16" i="4"/>
  <c r="I15" i="4" s="1"/>
  <c r="H16" i="4"/>
  <c r="H13" i="4"/>
  <c r="H14" i="4" s="1"/>
  <c r="I13" i="4"/>
  <c r="J13" i="4"/>
  <c r="K13" i="4"/>
  <c r="K14" i="4" s="1"/>
  <c r="L13" i="4"/>
  <c r="L14" i="4" s="1"/>
  <c r="I14" i="4"/>
  <c r="J14" i="4"/>
  <c r="H9" i="4"/>
  <c r="I9" i="4"/>
  <c r="J9" i="4"/>
  <c r="K9" i="4"/>
  <c r="K10" i="4" s="1"/>
  <c r="L9" i="4"/>
  <c r="H10" i="4"/>
  <c r="I10" i="4"/>
  <c r="J10" i="4"/>
  <c r="L10" i="4"/>
  <c r="I7" i="4"/>
  <c r="J7" i="4" s="1"/>
  <c r="K7" i="4" s="1"/>
  <c r="L7" i="4" s="1"/>
  <c r="H7" i="4"/>
  <c r="I8" i="4"/>
  <c r="J8" i="4"/>
  <c r="K8" i="4" s="1"/>
  <c r="L8" i="4" s="1"/>
  <c r="H8" i="4"/>
  <c r="I5" i="4"/>
  <c r="J5" i="4" s="1"/>
  <c r="K5" i="4" s="1"/>
  <c r="L5" i="4" s="1"/>
  <c r="H5" i="4"/>
  <c r="I6" i="4"/>
  <c r="J6" i="4" s="1"/>
  <c r="K6" i="4" s="1"/>
  <c r="L6" i="4" s="1"/>
  <c r="H6" i="4"/>
  <c r="H75" i="4"/>
  <c r="I75" i="4"/>
  <c r="J75" i="4"/>
  <c r="K75" i="4"/>
  <c r="L75" i="4"/>
  <c r="I74" i="4"/>
  <c r="J74" i="4"/>
  <c r="K74" i="4"/>
  <c r="L74" i="4"/>
  <c r="H74" i="4"/>
  <c r="I80" i="4"/>
  <c r="J80" i="4" s="1"/>
  <c r="H80" i="4"/>
  <c r="D80" i="4"/>
  <c r="E80" i="4"/>
  <c r="F80" i="4"/>
  <c r="G80" i="4"/>
  <c r="C80" i="4"/>
  <c r="H68" i="4"/>
  <c r="I69" i="4"/>
  <c r="J69" i="4" s="1"/>
  <c r="K69" i="4" s="1"/>
  <c r="L69" i="4" s="1"/>
  <c r="L68" i="4" s="1"/>
  <c r="H69" i="4"/>
  <c r="K53" i="3"/>
  <c r="L53" i="3"/>
  <c r="H53" i="3"/>
  <c r="I54" i="3"/>
  <c r="J54" i="3" s="1"/>
  <c r="K54" i="3" s="1"/>
  <c r="L54" i="3" s="1"/>
  <c r="H54" i="3"/>
  <c r="H51" i="3"/>
  <c r="I52" i="3"/>
  <c r="I51" i="3" s="1"/>
  <c r="J52" i="3"/>
  <c r="J51" i="3" s="1"/>
  <c r="K52" i="3"/>
  <c r="L52" i="3" s="1"/>
  <c r="L51" i="3" s="1"/>
  <c r="H52" i="3"/>
  <c r="L43" i="3"/>
  <c r="H43" i="3"/>
  <c r="I44" i="3"/>
  <c r="J44" i="3" s="1"/>
  <c r="K44" i="3" s="1"/>
  <c r="L44" i="3" s="1"/>
  <c r="H44" i="3"/>
  <c r="K39" i="3"/>
  <c r="L39" i="3"/>
  <c r="H39" i="3"/>
  <c r="I40" i="3"/>
  <c r="J40" i="3" s="1"/>
  <c r="K40" i="3" s="1"/>
  <c r="L40" i="3" s="1"/>
  <c r="H40" i="3"/>
  <c r="H33" i="3"/>
  <c r="H37" i="3" s="1"/>
  <c r="I33" i="3"/>
  <c r="I37" i="3" s="1"/>
  <c r="J33" i="3"/>
  <c r="J37" i="3" s="1"/>
  <c r="K33" i="3"/>
  <c r="K34" i="3" s="1"/>
  <c r="L33" i="3"/>
  <c r="L37" i="3" s="1"/>
  <c r="H34" i="3"/>
  <c r="I34" i="3"/>
  <c r="J34" i="3"/>
  <c r="L34" i="3"/>
  <c r="H29" i="3"/>
  <c r="I29" i="3"/>
  <c r="J29" i="3"/>
  <c r="K29" i="3"/>
  <c r="K30" i="3" s="1"/>
  <c r="L29" i="3"/>
  <c r="H30" i="3"/>
  <c r="I30" i="3"/>
  <c r="J30" i="3"/>
  <c r="L30" i="3"/>
  <c r="H27" i="3"/>
  <c r="I27" i="3"/>
  <c r="J27" i="3"/>
  <c r="K27" i="3"/>
  <c r="K28" i="3" s="1"/>
  <c r="L27" i="3"/>
  <c r="H28" i="3"/>
  <c r="I28" i="3"/>
  <c r="J28" i="3"/>
  <c r="L28" i="3"/>
  <c r="H25" i="3"/>
  <c r="I25" i="3"/>
  <c r="J25" i="3"/>
  <c r="K25" i="3"/>
  <c r="K26" i="3" s="1"/>
  <c r="L25" i="3"/>
  <c r="H26" i="3"/>
  <c r="I26" i="3"/>
  <c r="J26" i="3"/>
  <c r="L26" i="3"/>
  <c r="K23" i="3"/>
  <c r="L23" i="3"/>
  <c r="H23" i="3"/>
  <c r="I24" i="3"/>
  <c r="J24" i="3" s="1"/>
  <c r="K24" i="3" s="1"/>
  <c r="L24" i="3" s="1"/>
  <c r="H24" i="3"/>
  <c r="L21" i="3"/>
  <c r="H21" i="3"/>
  <c r="I22" i="3"/>
  <c r="J22" i="3" s="1"/>
  <c r="K22" i="3" s="1"/>
  <c r="L22" i="3" s="1"/>
  <c r="H22" i="3"/>
  <c r="H19" i="3"/>
  <c r="I20" i="3"/>
  <c r="I19" i="3" s="1"/>
  <c r="H20" i="3"/>
  <c r="H17" i="3"/>
  <c r="I18" i="3"/>
  <c r="I17" i="3" s="1"/>
  <c r="H18" i="3"/>
  <c r="H15" i="3"/>
  <c r="I15" i="3"/>
  <c r="J15" i="3"/>
  <c r="K15" i="3"/>
  <c r="K16" i="3" s="1"/>
  <c r="L15" i="3"/>
  <c r="H16" i="3"/>
  <c r="I16" i="3"/>
  <c r="J16" i="3"/>
  <c r="L16" i="3"/>
  <c r="K13" i="3"/>
  <c r="L13" i="3"/>
  <c r="H13" i="3"/>
  <c r="I14" i="3"/>
  <c r="J14" i="3" s="1"/>
  <c r="K14" i="3" s="1"/>
  <c r="L14" i="3" s="1"/>
  <c r="H14" i="3"/>
  <c r="L11" i="3"/>
  <c r="H11" i="3"/>
  <c r="I12" i="3"/>
  <c r="J12" i="3" s="1"/>
  <c r="K12" i="3" s="1"/>
  <c r="L12" i="3" s="1"/>
  <c r="H12" i="3"/>
  <c r="H9" i="3"/>
  <c r="I9" i="3"/>
  <c r="J9" i="3"/>
  <c r="K9" i="3"/>
  <c r="K10" i="3" s="1"/>
  <c r="L9" i="3"/>
  <c r="H10" i="3"/>
  <c r="I10" i="3"/>
  <c r="J10" i="3"/>
  <c r="L10" i="3"/>
  <c r="H7" i="3"/>
  <c r="I8" i="3"/>
  <c r="I7" i="3" s="1"/>
  <c r="J8" i="3"/>
  <c r="J7" i="3" s="1"/>
  <c r="K8" i="3"/>
  <c r="L8" i="3" s="1"/>
  <c r="L7" i="3" s="1"/>
  <c r="H8" i="3"/>
  <c r="H6" i="3"/>
  <c r="J6" i="3"/>
  <c r="I5" i="3"/>
  <c r="J5" i="3" s="1"/>
  <c r="H5" i="3"/>
  <c r="D56" i="3"/>
  <c r="E56" i="3"/>
  <c r="F56" i="3"/>
  <c r="G56" i="3"/>
  <c r="C56" i="3"/>
  <c r="D54" i="3"/>
  <c r="E54" i="3"/>
  <c r="F54" i="3"/>
  <c r="G54" i="3"/>
  <c r="C54" i="3"/>
  <c r="D52" i="3"/>
  <c r="E52" i="3"/>
  <c r="F52" i="3"/>
  <c r="G52" i="3"/>
  <c r="C52" i="3"/>
  <c r="D48" i="3"/>
  <c r="E48" i="3"/>
  <c r="F48" i="3"/>
  <c r="G48" i="3"/>
  <c r="C48" i="3"/>
  <c r="D44" i="3"/>
  <c r="E44" i="3"/>
  <c r="F44" i="3"/>
  <c r="G44" i="3"/>
  <c r="C44" i="3"/>
  <c r="D40" i="3"/>
  <c r="E40" i="3"/>
  <c r="F40" i="3"/>
  <c r="G40" i="3"/>
  <c r="C40" i="3"/>
  <c r="D36" i="3"/>
  <c r="E36" i="3"/>
  <c r="F36" i="3"/>
  <c r="G36" i="3"/>
  <c r="C36" i="3"/>
  <c r="D32" i="3"/>
  <c r="E32" i="3"/>
  <c r="F32" i="3"/>
  <c r="G32" i="3"/>
  <c r="C32" i="3"/>
  <c r="D24" i="3"/>
  <c r="E24" i="3"/>
  <c r="F24" i="3"/>
  <c r="G24" i="3"/>
  <c r="C24" i="3"/>
  <c r="D22" i="3"/>
  <c r="E22" i="3"/>
  <c r="F22" i="3"/>
  <c r="G22" i="3"/>
  <c r="C22" i="3"/>
  <c r="D20" i="3"/>
  <c r="E20" i="3"/>
  <c r="F20" i="3"/>
  <c r="G20" i="3"/>
  <c r="C20" i="3"/>
  <c r="D18" i="3"/>
  <c r="E18" i="3"/>
  <c r="F18" i="3"/>
  <c r="G18" i="3"/>
  <c r="C18" i="3"/>
  <c r="D14" i="3"/>
  <c r="E14" i="3"/>
  <c r="F14" i="3"/>
  <c r="G14" i="3"/>
  <c r="C14" i="3"/>
  <c r="D12" i="3"/>
  <c r="E12" i="3"/>
  <c r="F12" i="3"/>
  <c r="G12" i="3"/>
  <c r="C12" i="3"/>
  <c r="D8" i="3"/>
  <c r="E8" i="3"/>
  <c r="F8" i="3"/>
  <c r="G8" i="3"/>
  <c r="C8" i="3"/>
  <c r="D6" i="3"/>
  <c r="E6" i="3"/>
  <c r="F6" i="3"/>
  <c r="G6" i="3"/>
  <c r="C6" i="3"/>
  <c r="G15" i="47"/>
  <c r="F15" i="47"/>
  <c r="E15" i="47"/>
  <c r="D15" i="47"/>
  <c r="C15" i="47"/>
  <c r="F10" i="47"/>
  <c r="F16" i="47" s="1"/>
  <c r="F17" i="47" s="1"/>
  <c r="F19" i="47" s="1"/>
  <c r="F21" i="47" s="1"/>
  <c r="F23" i="47" s="1"/>
  <c r="F25" i="47" s="1"/>
  <c r="F27" i="47" s="1"/>
  <c r="G7" i="47"/>
  <c r="G10" i="47" s="1"/>
  <c r="G16" i="47" s="1"/>
  <c r="G17" i="47" s="1"/>
  <c r="G19" i="47" s="1"/>
  <c r="G21" i="47" s="1"/>
  <c r="G23" i="47" s="1"/>
  <c r="G25" i="47" s="1"/>
  <c r="G27" i="47" s="1"/>
  <c r="F7" i="47"/>
  <c r="E7" i="47"/>
  <c r="E10" i="47" s="1"/>
  <c r="E16" i="47" s="1"/>
  <c r="E17" i="47" s="1"/>
  <c r="E19" i="47" s="1"/>
  <c r="E21" i="47" s="1"/>
  <c r="E23" i="47" s="1"/>
  <c r="E25" i="47" s="1"/>
  <c r="E27" i="47" s="1"/>
  <c r="D7" i="47"/>
  <c r="D10" i="47" s="1"/>
  <c r="D16" i="47" s="1"/>
  <c r="D17" i="47" s="1"/>
  <c r="D19" i="47" s="1"/>
  <c r="D21" i="47" s="1"/>
  <c r="D23" i="47" s="1"/>
  <c r="D25" i="47" s="1"/>
  <c r="D27" i="47" s="1"/>
  <c r="C7" i="47"/>
  <c r="C10" i="47" s="1"/>
  <c r="C16" i="47" s="1"/>
  <c r="C17" i="47" s="1"/>
  <c r="C19" i="47" s="1"/>
  <c r="C21" i="47" s="1"/>
  <c r="C23" i="47" s="1"/>
  <c r="C25" i="47" s="1"/>
  <c r="C27" i="47" s="1"/>
  <c r="C75" i="4"/>
  <c r="C39" i="46"/>
  <c r="C26" i="46"/>
  <c r="C30" i="46" s="1"/>
  <c r="C40" i="46" s="1"/>
  <c r="D25" i="46"/>
  <c r="D26" i="46" s="1"/>
  <c r="D30" i="46" s="1"/>
  <c r="G19" i="46"/>
  <c r="F19" i="46"/>
  <c r="E19" i="46"/>
  <c r="D19" i="46"/>
  <c r="C19" i="46"/>
  <c r="G13" i="46"/>
  <c r="F13" i="46"/>
  <c r="E13" i="46"/>
  <c r="D13" i="46"/>
  <c r="C13" i="46"/>
  <c r="C9" i="46"/>
  <c r="C21" i="46" s="1"/>
  <c r="G7" i="46"/>
  <c r="F7" i="46"/>
  <c r="E7" i="46"/>
  <c r="D7" i="46"/>
  <c r="C7" i="46"/>
  <c r="B6" i="45"/>
  <c r="B5" i="45"/>
  <c r="D4" i="45"/>
  <c r="E4" i="45"/>
  <c r="F4" i="45"/>
  <c r="G4" i="45"/>
  <c r="C4" i="45"/>
  <c r="B6" i="44"/>
  <c r="B5" i="44"/>
  <c r="D4" i="44"/>
  <c r="E4" i="44"/>
  <c r="F4" i="44"/>
  <c r="G4" i="44"/>
  <c r="C4" i="44"/>
  <c r="B6" i="43"/>
  <c r="B5" i="43"/>
  <c r="D4" i="43"/>
  <c r="E4" i="43"/>
  <c r="F4" i="43"/>
  <c r="G4" i="43"/>
  <c r="C4" i="43"/>
  <c r="B6" i="42"/>
  <c r="B5" i="42"/>
  <c r="D4" i="42"/>
  <c r="E4" i="42"/>
  <c r="F4" i="42"/>
  <c r="G4" i="42"/>
  <c r="C4" i="42"/>
  <c r="B6" i="41"/>
  <c r="B5" i="41"/>
  <c r="D4" i="41"/>
  <c r="E4" i="41"/>
  <c r="F4" i="41"/>
  <c r="G4" i="41"/>
  <c r="C4" i="41"/>
  <c r="B6" i="40"/>
  <c r="B5" i="40"/>
  <c r="D4" i="40"/>
  <c r="E4" i="40"/>
  <c r="F4" i="40"/>
  <c r="G4" i="40"/>
  <c r="C4" i="40"/>
  <c r="C5" i="39"/>
  <c r="D5" i="39"/>
  <c r="E5" i="39"/>
  <c r="F5" i="39"/>
  <c r="G5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B6" i="36"/>
  <c r="B5" i="36"/>
  <c r="D4" i="36"/>
  <c r="E4" i="36"/>
  <c r="F4" i="36"/>
  <c r="G4" i="36"/>
  <c r="C4" i="36"/>
  <c r="B6" i="35"/>
  <c r="B5" i="35"/>
  <c r="D4" i="35"/>
  <c r="E4" i="35"/>
  <c r="F4" i="35"/>
  <c r="G4" i="35"/>
  <c r="C4" i="35"/>
  <c r="B6" i="34"/>
  <c r="B5" i="34"/>
  <c r="D4" i="34"/>
  <c r="E4" i="34"/>
  <c r="F4" i="34"/>
  <c r="G4" i="34"/>
  <c r="C4" i="34"/>
  <c r="C13" i="33"/>
  <c r="D13" i="33"/>
  <c r="E13" i="33"/>
  <c r="F13" i="33"/>
  <c r="G13" i="33"/>
  <c r="B14" i="33"/>
  <c r="B13" i="33"/>
  <c r="C9" i="33"/>
  <c r="D9" i="33"/>
  <c r="E9" i="33"/>
  <c r="F9" i="33"/>
  <c r="G9" i="33"/>
  <c r="B10" i="33"/>
  <c r="B9" i="33"/>
  <c r="C6" i="33"/>
  <c r="D6" i="33"/>
  <c r="E6" i="33"/>
  <c r="F6" i="33"/>
  <c r="G6" i="33"/>
  <c r="C7" i="33"/>
  <c r="D7" i="33"/>
  <c r="E7" i="33"/>
  <c r="F7" i="33"/>
  <c r="G7" i="33"/>
  <c r="B7" i="33"/>
  <c r="B6" i="33"/>
  <c r="C9" i="32"/>
  <c r="D9" i="32"/>
  <c r="E9" i="32"/>
  <c r="F9" i="32"/>
  <c r="G9" i="32"/>
  <c r="B10" i="32"/>
  <c r="B9" i="32"/>
  <c r="C6" i="32"/>
  <c r="D6" i="32"/>
  <c r="E6" i="32"/>
  <c r="F6" i="32"/>
  <c r="G6" i="32"/>
  <c r="C7" i="32"/>
  <c r="D7" i="32"/>
  <c r="E7" i="32"/>
  <c r="F7" i="32"/>
  <c r="G7" i="32"/>
  <c r="B7" i="32"/>
  <c r="B6" i="32"/>
  <c r="C6" i="31"/>
  <c r="D6" i="31"/>
  <c r="E6" i="31"/>
  <c r="F6" i="31"/>
  <c r="G6" i="31"/>
  <c r="C7" i="31"/>
  <c r="D7" i="31"/>
  <c r="E7" i="31"/>
  <c r="F7" i="31"/>
  <c r="G7" i="31"/>
  <c r="B7" i="31"/>
  <c r="B6" i="31"/>
  <c r="C6" i="30"/>
  <c r="D6" i="30"/>
  <c r="E6" i="30"/>
  <c r="F6" i="30"/>
  <c r="G6" i="30"/>
  <c r="B7" i="30"/>
  <c r="B6" i="30"/>
  <c r="C6" i="29"/>
  <c r="D6" i="29"/>
  <c r="E6" i="29"/>
  <c r="F6" i="29"/>
  <c r="G6" i="29"/>
  <c r="C7" i="29"/>
  <c r="D7" i="29"/>
  <c r="E7" i="29"/>
  <c r="F7" i="29"/>
  <c r="G7" i="29"/>
  <c r="B7" i="29"/>
  <c r="B6" i="29"/>
  <c r="C6" i="28"/>
  <c r="D6" i="28"/>
  <c r="E6" i="28"/>
  <c r="F6" i="28"/>
  <c r="G6" i="28"/>
  <c r="B7" i="28"/>
  <c r="B6" i="28"/>
  <c r="C6" i="27"/>
  <c r="D6" i="27"/>
  <c r="E6" i="27"/>
  <c r="F6" i="27"/>
  <c r="G6" i="27"/>
  <c r="C7" i="27"/>
  <c r="D7" i="27"/>
  <c r="E7" i="27"/>
  <c r="F7" i="27"/>
  <c r="G7" i="27"/>
  <c r="B7" i="27"/>
  <c r="B6" i="27"/>
  <c r="C6" i="26"/>
  <c r="D6" i="26"/>
  <c r="E6" i="26"/>
  <c r="F6" i="26"/>
  <c r="G6" i="26"/>
  <c r="C7" i="26"/>
  <c r="D7" i="26"/>
  <c r="E7" i="26"/>
  <c r="F7" i="26"/>
  <c r="G7" i="26"/>
  <c r="B7" i="26"/>
  <c r="B6" i="26"/>
  <c r="C6" i="25"/>
  <c r="D6" i="25"/>
  <c r="E6" i="25"/>
  <c r="F6" i="25"/>
  <c r="G6" i="25"/>
  <c r="C7" i="25"/>
  <c r="D7" i="25"/>
  <c r="E7" i="25"/>
  <c r="F7" i="25"/>
  <c r="G7" i="25"/>
  <c r="B7" i="25"/>
  <c r="B6" i="25"/>
  <c r="C6" i="24"/>
  <c r="D6" i="24"/>
  <c r="E6" i="24"/>
  <c r="F6" i="24"/>
  <c r="G6" i="24"/>
  <c r="B7" i="24"/>
  <c r="B6" i="24"/>
  <c r="C6" i="23"/>
  <c r="C8" i="23" s="1"/>
  <c r="B6" i="23"/>
  <c r="C6" i="22"/>
  <c r="C7" i="22"/>
  <c r="D7" i="22"/>
  <c r="E7" i="22"/>
  <c r="F7" i="22"/>
  <c r="G7" i="22"/>
  <c r="B7" i="22"/>
  <c r="B6" i="22"/>
  <c r="C6" i="21"/>
  <c r="D6" i="21"/>
  <c r="E6" i="21"/>
  <c r="F6" i="21"/>
  <c r="G6" i="21"/>
  <c r="B7" i="21"/>
  <c r="B6" i="21"/>
  <c r="C7" i="20"/>
  <c r="D7" i="20"/>
  <c r="E7" i="20"/>
  <c r="F7" i="20"/>
  <c r="G7" i="20"/>
  <c r="B7" i="20"/>
  <c r="B6" i="20"/>
  <c r="C7" i="19"/>
  <c r="D7" i="19"/>
  <c r="E7" i="19"/>
  <c r="F7" i="19"/>
  <c r="G7" i="19"/>
  <c r="B8" i="19"/>
  <c r="B7" i="19"/>
  <c r="B6" i="19"/>
  <c r="B7" i="18"/>
  <c r="B6" i="18"/>
  <c r="B7" i="17"/>
  <c r="B6" i="17"/>
  <c r="B7" i="16"/>
  <c r="B6" i="16"/>
  <c r="B8" i="15"/>
  <c r="B7" i="15"/>
  <c r="B6" i="15"/>
  <c r="B7" i="14"/>
  <c r="B6" i="14"/>
  <c r="C6" i="13"/>
  <c r="D6" i="13"/>
  <c r="E6" i="13"/>
  <c r="F6" i="13"/>
  <c r="G6" i="13"/>
  <c r="B7" i="13"/>
  <c r="B6" i="13"/>
  <c r="C6" i="12"/>
  <c r="D6" i="12"/>
  <c r="E6" i="12"/>
  <c r="F6" i="12"/>
  <c r="G6" i="12"/>
  <c r="C7" i="12"/>
  <c r="D7" i="12"/>
  <c r="E7" i="12"/>
  <c r="F7" i="12"/>
  <c r="G7" i="12"/>
  <c r="B7" i="12"/>
  <c r="B6" i="12"/>
  <c r="C6" i="11"/>
  <c r="D6" i="11"/>
  <c r="E6" i="11"/>
  <c r="F6" i="11"/>
  <c r="G6" i="11"/>
  <c r="B7" i="11"/>
  <c r="B6" i="11"/>
  <c r="B10" i="10"/>
  <c r="B9" i="10"/>
  <c r="C6" i="10"/>
  <c r="D6" i="10"/>
  <c r="E6" i="10"/>
  <c r="F6" i="10"/>
  <c r="G6" i="10"/>
  <c r="B7" i="10"/>
  <c r="B6" i="10"/>
  <c r="B7" i="9"/>
  <c r="B6" i="9"/>
  <c r="C6" i="8"/>
  <c r="D6" i="8"/>
  <c r="E6" i="8"/>
  <c r="F6" i="8"/>
  <c r="G6" i="8"/>
  <c r="B7" i="8"/>
  <c r="B6" i="8"/>
  <c r="B7" i="7"/>
  <c r="B6" i="7"/>
  <c r="C154" i="6"/>
  <c r="D154" i="6"/>
  <c r="E154" i="6"/>
  <c r="F154" i="6"/>
  <c r="G154" i="6"/>
  <c r="B155" i="6"/>
  <c r="B154" i="6"/>
  <c r="C150" i="6"/>
  <c r="D150" i="6"/>
  <c r="E150" i="6"/>
  <c r="F150" i="6"/>
  <c r="G150" i="6"/>
  <c r="B151" i="6"/>
  <c r="B150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C141" i="6"/>
  <c r="D141" i="6"/>
  <c r="E141" i="6"/>
  <c r="F141" i="6"/>
  <c r="G141" i="6"/>
  <c r="B142" i="6"/>
  <c r="B141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C128" i="6"/>
  <c r="D128" i="6"/>
  <c r="E128" i="6"/>
  <c r="F128" i="6"/>
  <c r="G128" i="6"/>
  <c r="B129" i="6"/>
  <c r="B128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C118" i="6"/>
  <c r="D118" i="6"/>
  <c r="E118" i="6"/>
  <c r="F118" i="6"/>
  <c r="G118" i="6"/>
  <c r="B119" i="6"/>
  <c r="B118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C98" i="6"/>
  <c r="D98" i="6"/>
  <c r="E98" i="6"/>
  <c r="F98" i="6"/>
  <c r="G98" i="6"/>
  <c r="B99" i="6"/>
  <c r="B98" i="6"/>
  <c r="C93" i="6"/>
  <c r="C95" i="6" s="1"/>
  <c r="B93" i="6"/>
  <c r="C88" i="6"/>
  <c r="C89" i="6"/>
  <c r="D89" i="6"/>
  <c r="E89" i="6"/>
  <c r="F89" i="6"/>
  <c r="G89" i="6"/>
  <c r="B89" i="6"/>
  <c r="B88" i="6"/>
  <c r="C83" i="6"/>
  <c r="D83" i="6"/>
  <c r="E83" i="6"/>
  <c r="F83" i="6"/>
  <c r="G83" i="6"/>
  <c r="B84" i="6"/>
  <c r="B83" i="6"/>
  <c r="C79" i="6"/>
  <c r="D79" i="6"/>
  <c r="E79" i="6"/>
  <c r="F79" i="6"/>
  <c r="G79" i="6"/>
  <c r="B79" i="6"/>
  <c r="B78" i="6"/>
  <c r="C73" i="6"/>
  <c r="D73" i="6"/>
  <c r="E73" i="6"/>
  <c r="F73" i="6"/>
  <c r="G73" i="6"/>
  <c r="B74" i="6"/>
  <c r="B73" i="6"/>
  <c r="B72" i="6"/>
  <c r="B68" i="6"/>
  <c r="B67" i="6"/>
  <c r="B63" i="6"/>
  <c r="B62" i="6"/>
  <c r="B58" i="6"/>
  <c r="B57" i="6"/>
  <c r="B53" i="6"/>
  <c r="B52" i="6"/>
  <c r="B51" i="6"/>
  <c r="B47" i="6"/>
  <c r="B46" i="6"/>
  <c r="C41" i="6"/>
  <c r="D41" i="6"/>
  <c r="E41" i="6"/>
  <c r="F41" i="6"/>
  <c r="G41" i="6"/>
  <c r="B42" i="6"/>
  <c r="B41" i="6"/>
  <c r="C36" i="6"/>
  <c r="D36" i="6"/>
  <c r="E36" i="6"/>
  <c r="F36" i="6"/>
  <c r="G36" i="6"/>
  <c r="C37" i="6"/>
  <c r="D37" i="6"/>
  <c r="E37" i="6"/>
  <c r="F37" i="6"/>
  <c r="G37" i="6"/>
  <c r="B37" i="6"/>
  <c r="B36" i="6"/>
  <c r="C30" i="6"/>
  <c r="D30" i="6"/>
  <c r="E30" i="6"/>
  <c r="F30" i="6"/>
  <c r="G30" i="6"/>
  <c r="B31" i="6"/>
  <c r="B30" i="6"/>
  <c r="B25" i="6"/>
  <c r="B24" i="6"/>
  <c r="C21" i="6"/>
  <c r="D21" i="6"/>
  <c r="E21" i="6"/>
  <c r="F21" i="6"/>
  <c r="G21" i="6"/>
  <c r="B22" i="6"/>
  <c r="B21" i="6"/>
  <c r="B17" i="6"/>
  <c r="B16" i="6"/>
  <c r="C11" i="6"/>
  <c r="D11" i="6"/>
  <c r="E11" i="6"/>
  <c r="F11" i="6"/>
  <c r="G11" i="6"/>
  <c r="B12" i="6"/>
  <c r="B11" i="6"/>
  <c r="B7" i="6"/>
  <c r="B6" i="6"/>
  <c r="D44" i="4"/>
  <c r="E44" i="4" s="1"/>
  <c r="F44" i="4" s="1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9" i="5"/>
  <c r="F9" i="5"/>
  <c r="G9" i="5"/>
  <c r="D9" i="5"/>
  <c r="E8" i="5"/>
  <c r="F8" i="5"/>
  <c r="G8" i="5"/>
  <c r="D8" i="5"/>
  <c r="E7" i="5"/>
  <c r="E10" i="5" s="1"/>
  <c r="F7" i="5"/>
  <c r="F10" i="5" s="1"/>
  <c r="G7" i="5"/>
  <c r="D7" i="5"/>
  <c r="D10" i="5" s="1"/>
  <c r="D33" i="4"/>
  <c r="D7" i="28" s="1"/>
  <c r="D8" i="28" s="1"/>
  <c r="E33" i="4"/>
  <c r="E68" i="6" s="1"/>
  <c r="F33" i="4"/>
  <c r="F7" i="18" s="1"/>
  <c r="G33" i="4"/>
  <c r="G74" i="6" s="1"/>
  <c r="D21" i="4"/>
  <c r="D62" i="6" s="1"/>
  <c r="E21" i="4"/>
  <c r="E62" i="6" s="1"/>
  <c r="F21" i="4"/>
  <c r="G21" i="4"/>
  <c r="D9" i="4"/>
  <c r="E9" i="4"/>
  <c r="F9" i="4"/>
  <c r="G9" i="4"/>
  <c r="C72" i="4"/>
  <c r="C46" i="4"/>
  <c r="C54" i="4" s="1"/>
  <c r="C33" i="4"/>
  <c r="C74" i="6" s="1"/>
  <c r="C21" i="4"/>
  <c r="C9" i="4"/>
  <c r="C13" i="4" s="1"/>
  <c r="C16" i="6" s="1"/>
  <c r="D25" i="3"/>
  <c r="D5" i="44" s="1"/>
  <c r="E25" i="3"/>
  <c r="E5" i="44" s="1"/>
  <c r="F25" i="3"/>
  <c r="F26" i="3" s="1"/>
  <c r="G25" i="3"/>
  <c r="G26" i="3" s="1"/>
  <c r="D9" i="3"/>
  <c r="D84" i="6" s="1"/>
  <c r="E9" i="3"/>
  <c r="F9" i="3"/>
  <c r="F10" i="3" s="1"/>
  <c r="G9" i="3"/>
  <c r="G10" i="3" s="1"/>
  <c r="C25" i="3"/>
  <c r="C26" i="3" s="1"/>
  <c r="C9" i="3"/>
  <c r="C10" i="3" s="1"/>
  <c r="H37" i="4" l="1"/>
  <c r="H38" i="4" s="1"/>
  <c r="I41" i="3"/>
  <c r="I38" i="3"/>
  <c r="L38" i="3"/>
  <c r="L41" i="3"/>
  <c r="J41" i="3"/>
  <c r="J38" i="3"/>
  <c r="K37" i="3"/>
  <c r="L44" i="4"/>
  <c r="L45" i="4" s="1"/>
  <c r="K45" i="4"/>
  <c r="H38" i="3"/>
  <c r="H41" i="3"/>
  <c r="J45" i="4"/>
  <c r="I45" i="4"/>
  <c r="H45" i="4"/>
  <c r="I46" i="4"/>
  <c r="I47" i="4" s="1"/>
  <c r="H47" i="4"/>
  <c r="H54" i="4"/>
  <c r="H55" i="4" s="1"/>
  <c r="J68" i="4"/>
  <c r="I68" i="4"/>
  <c r="K68" i="4"/>
  <c r="K66" i="4"/>
  <c r="J66" i="4"/>
  <c r="I66" i="4"/>
  <c r="K64" i="4"/>
  <c r="J64" i="4"/>
  <c r="I64" i="4"/>
  <c r="K62" i="4"/>
  <c r="K58" i="4"/>
  <c r="J58" i="4"/>
  <c r="I58" i="4"/>
  <c r="K56" i="4"/>
  <c r="J56" i="4"/>
  <c r="I56" i="4"/>
  <c r="K52" i="4"/>
  <c r="J52" i="4"/>
  <c r="I52" i="4"/>
  <c r="K50" i="4"/>
  <c r="J50" i="4"/>
  <c r="I50" i="4"/>
  <c r="J49" i="4"/>
  <c r="J43" i="4"/>
  <c r="K40" i="4"/>
  <c r="J35" i="4"/>
  <c r="I35" i="4"/>
  <c r="J31" i="4"/>
  <c r="I31" i="4"/>
  <c r="J30" i="4"/>
  <c r="K27" i="4"/>
  <c r="J27" i="4"/>
  <c r="I27" i="4"/>
  <c r="K25" i="4"/>
  <c r="J25" i="4"/>
  <c r="I25" i="4"/>
  <c r="K23" i="4"/>
  <c r="J23" i="4"/>
  <c r="I23" i="4"/>
  <c r="I33" i="4" s="1"/>
  <c r="I34" i="4" s="1"/>
  <c r="K21" i="4"/>
  <c r="J21" i="4"/>
  <c r="I21" i="4"/>
  <c r="I37" i="4" s="1"/>
  <c r="I38" i="4" s="1"/>
  <c r="K19" i="4"/>
  <c r="J19" i="4"/>
  <c r="I19" i="4"/>
  <c r="K17" i="4"/>
  <c r="J17" i="4"/>
  <c r="I17" i="4"/>
  <c r="J16" i="4"/>
  <c r="K80" i="4"/>
  <c r="L80" i="4" s="1"/>
  <c r="J53" i="3"/>
  <c r="I53" i="3"/>
  <c r="K51" i="3"/>
  <c r="K43" i="3"/>
  <c r="J43" i="3"/>
  <c r="I43" i="3"/>
  <c r="J39" i="3"/>
  <c r="I39" i="3"/>
  <c r="J23" i="3"/>
  <c r="I23" i="3"/>
  <c r="K21" i="3"/>
  <c r="J21" i="3"/>
  <c r="I21" i="3"/>
  <c r="J20" i="3"/>
  <c r="J18" i="3"/>
  <c r="J13" i="3"/>
  <c r="I13" i="3"/>
  <c r="K11" i="3"/>
  <c r="J11" i="3"/>
  <c r="I11" i="3"/>
  <c r="K7" i="3"/>
  <c r="I6" i="3"/>
  <c r="K5" i="3"/>
  <c r="G10" i="5"/>
  <c r="E26" i="3"/>
  <c r="D26" i="3"/>
  <c r="C38" i="6"/>
  <c r="F8" i="12"/>
  <c r="C15" i="3"/>
  <c r="E10" i="3"/>
  <c r="E15" i="3" s="1"/>
  <c r="E16" i="3" s="1"/>
  <c r="G8" i="12"/>
  <c r="C8" i="12"/>
  <c r="D8" i="12"/>
  <c r="D8" i="25"/>
  <c r="D8" i="26"/>
  <c r="D8" i="27"/>
  <c r="G8" i="29"/>
  <c r="C8" i="29"/>
  <c r="F8" i="31"/>
  <c r="F8" i="32"/>
  <c r="E8" i="33"/>
  <c r="D10" i="3"/>
  <c r="D15" i="3" s="1"/>
  <c r="D16" i="3" s="1"/>
  <c r="D38" i="6"/>
  <c r="D105" i="6"/>
  <c r="D110" i="6"/>
  <c r="D115" i="6"/>
  <c r="G125" i="6"/>
  <c r="C125" i="6"/>
  <c r="F135" i="6"/>
  <c r="F140" i="6"/>
  <c r="E149" i="6"/>
  <c r="F38" i="6"/>
  <c r="E8" i="12"/>
  <c r="G8" i="31"/>
  <c r="C8" i="31"/>
  <c r="G8" i="32"/>
  <c r="F8" i="33"/>
  <c r="E38" i="6"/>
  <c r="G38" i="6"/>
  <c r="F105" i="6"/>
  <c r="F110" i="6"/>
  <c r="F115" i="6"/>
  <c r="E125" i="6"/>
  <c r="D135" i="6"/>
  <c r="D140" i="6"/>
  <c r="G149" i="6"/>
  <c r="C149" i="6"/>
  <c r="F8" i="25"/>
  <c r="F8" i="26"/>
  <c r="F8" i="27"/>
  <c r="E8" i="29"/>
  <c r="D8" i="31"/>
  <c r="D8" i="32"/>
  <c r="G8" i="33"/>
  <c r="C8" i="33"/>
  <c r="C5" i="44"/>
  <c r="C7" i="13"/>
  <c r="C8" i="13" s="1"/>
  <c r="C42" i="6"/>
  <c r="C43" i="6" s="1"/>
  <c r="D42" i="6"/>
  <c r="D43" i="6" s="1"/>
  <c r="D85" i="6"/>
  <c r="D7" i="13"/>
  <c r="D8" i="13" s="1"/>
  <c r="D7" i="21"/>
  <c r="D8" i="21" s="1"/>
  <c r="G7" i="21"/>
  <c r="G8" i="21" s="1"/>
  <c r="G84" i="6"/>
  <c r="G85" i="6" s="1"/>
  <c r="G15" i="3"/>
  <c r="G16" i="3" s="1"/>
  <c r="G5" i="44"/>
  <c r="G7" i="13"/>
  <c r="G8" i="13" s="1"/>
  <c r="G42" i="6"/>
  <c r="G43" i="6" s="1"/>
  <c r="C7" i="21"/>
  <c r="C8" i="21" s="1"/>
  <c r="C84" i="6"/>
  <c r="C85" i="6" s="1"/>
  <c r="F7" i="21"/>
  <c r="F8" i="21" s="1"/>
  <c r="F84" i="6"/>
  <c r="F85" i="6" s="1"/>
  <c r="F15" i="3"/>
  <c r="F16" i="3" s="1"/>
  <c r="F5" i="44"/>
  <c r="F7" i="13"/>
  <c r="F8" i="13" s="1"/>
  <c r="F42" i="6"/>
  <c r="F43" i="6" s="1"/>
  <c r="E7" i="21"/>
  <c r="E8" i="21" s="1"/>
  <c r="E84" i="6"/>
  <c r="E85" i="6" s="1"/>
  <c r="E7" i="13"/>
  <c r="E8" i="13" s="1"/>
  <c r="E42" i="6"/>
  <c r="E43" i="6" s="1"/>
  <c r="E105" i="6"/>
  <c r="E110" i="6"/>
  <c r="E115" i="6"/>
  <c r="D125" i="6"/>
  <c r="G135" i="6"/>
  <c r="C135" i="6"/>
  <c r="G140" i="6"/>
  <c r="C140" i="6"/>
  <c r="F149" i="6"/>
  <c r="E8" i="25"/>
  <c r="E8" i="26"/>
  <c r="E8" i="27"/>
  <c r="D8" i="29"/>
  <c r="C8" i="32"/>
  <c r="C90" i="6"/>
  <c r="G105" i="6"/>
  <c r="C105" i="6"/>
  <c r="G110" i="6"/>
  <c r="C110" i="6"/>
  <c r="G115" i="6"/>
  <c r="C115" i="6"/>
  <c r="F125" i="6"/>
  <c r="E135" i="6"/>
  <c r="E140" i="6"/>
  <c r="D149" i="6"/>
  <c r="C8" i="22"/>
  <c r="G8" i="25"/>
  <c r="C8" i="25"/>
  <c r="G8" i="26"/>
  <c r="C8" i="26"/>
  <c r="G8" i="27"/>
  <c r="C8" i="27"/>
  <c r="F8" i="29"/>
  <c r="E8" i="31"/>
  <c r="E8" i="32"/>
  <c r="D8" i="33"/>
  <c r="C35" i="47"/>
  <c r="C30" i="47"/>
  <c r="G35" i="47"/>
  <c r="G30" i="47"/>
  <c r="D30" i="47"/>
  <c r="D35" i="47"/>
  <c r="F35" i="47"/>
  <c r="F30" i="47"/>
  <c r="E35" i="47"/>
  <c r="E30" i="47"/>
  <c r="D46" i="4"/>
  <c r="F35" i="5"/>
  <c r="G44" i="4"/>
  <c r="F46" i="4"/>
  <c r="E35" i="5"/>
  <c r="G35" i="5"/>
  <c r="E47" i="5"/>
  <c r="D47" i="5"/>
  <c r="G142" i="6"/>
  <c r="G143" i="6" s="1"/>
  <c r="E151" i="6"/>
  <c r="E152" i="6" s="1"/>
  <c r="C74" i="4"/>
  <c r="C71" i="4" s="1"/>
  <c r="C6" i="42"/>
  <c r="F62" i="6"/>
  <c r="F6" i="40"/>
  <c r="F6" i="17"/>
  <c r="F52" i="6"/>
  <c r="F74" i="6"/>
  <c r="C119" i="6"/>
  <c r="C120" i="6" s="1"/>
  <c r="E129" i="6"/>
  <c r="E130" i="6" s="1"/>
  <c r="C142" i="6"/>
  <c r="C143" i="6" s="1"/>
  <c r="C6" i="41"/>
  <c r="F7" i="15"/>
  <c r="E6" i="40"/>
  <c r="E7" i="15"/>
  <c r="E6" i="17"/>
  <c r="E46" i="4"/>
  <c r="D35" i="5"/>
  <c r="C6" i="43"/>
  <c r="C6" i="19"/>
  <c r="C67" i="6"/>
  <c r="C5" i="36"/>
  <c r="C72" i="6"/>
  <c r="C75" i="6" s="1"/>
  <c r="D6" i="40"/>
  <c r="D7" i="15"/>
  <c r="D6" i="17"/>
  <c r="D52" i="6"/>
  <c r="D6" i="36"/>
  <c r="D142" i="6"/>
  <c r="D143" i="6" s="1"/>
  <c r="D14" i="33"/>
  <c r="D15" i="33" s="1"/>
  <c r="D7" i="30"/>
  <c r="D8" i="30" s="1"/>
  <c r="D7" i="18"/>
  <c r="D151" i="6"/>
  <c r="D152" i="6" s="1"/>
  <c r="D6" i="41"/>
  <c r="D10" i="32"/>
  <c r="D11" i="32" s="1"/>
  <c r="D119" i="6"/>
  <c r="D120" i="6" s="1"/>
  <c r="D74" i="6"/>
  <c r="D155" i="6"/>
  <c r="D156" i="6" s="1"/>
  <c r="G47" i="5"/>
  <c r="E52" i="6"/>
  <c r="D129" i="6"/>
  <c r="D130" i="6" s="1"/>
  <c r="F10" i="32"/>
  <c r="F11" i="32" s="1"/>
  <c r="F6" i="41"/>
  <c r="F10" i="33"/>
  <c r="F11" i="33" s="1"/>
  <c r="F7" i="28"/>
  <c r="F8" i="28" s="1"/>
  <c r="F8" i="19"/>
  <c r="F155" i="6"/>
  <c r="F156" i="6" s="1"/>
  <c r="F151" i="6"/>
  <c r="F152" i="6" s="1"/>
  <c r="F129" i="6"/>
  <c r="F130" i="6" s="1"/>
  <c r="F68" i="6"/>
  <c r="F6" i="36"/>
  <c r="F14" i="33"/>
  <c r="F15" i="33" s="1"/>
  <c r="F7" i="30"/>
  <c r="F8" i="30" s="1"/>
  <c r="F142" i="6"/>
  <c r="F143" i="6" s="1"/>
  <c r="F119" i="6"/>
  <c r="F120" i="6" s="1"/>
  <c r="C37" i="4"/>
  <c r="C38" i="4" s="1"/>
  <c r="C5" i="34"/>
  <c r="C8" i="15"/>
  <c r="C7" i="17"/>
  <c r="C6" i="9"/>
  <c r="C53" i="6"/>
  <c r="C7" i="16"/>
  <c r="E6" i="41"/>
  <c r="E10" i="33"/>
  <c r="E11" i="33" s="1"/>
  <c r="E7" i="28"/>
  <c r="E8" i="28" s="1"/>
  <c r="E8" i="19"/>
  <c r="E155" i="6"/>
  <c r="E156" i="6" s="1"/>
  <c r="E6" i="36"/>
  <c r="E14" i="33"/>
  <c r="E15" i="33" s="1"/>
  <c r="E7" i="30"/>
  <c r="E8" i="30" s="1"/>
  <c r="E142" i="6"/>
  <c r="E143" i="6" s="1"/>
  <c r="E10" i="32"/>
  <c r="E11" i="32" s="1"/>
  <c r="E12" i="32" s="1"/>
  <c r="E119" i="6"/>
  <c r="E120" i="6" s="1"/>
  <c r="E74" i="6"/>
  <c r="E7" i="18"/>
  <c r="C6" i="17"/>
  <c r="C6" i="40"/>
  <c r="C52" i="6"/>
  <c r="C62" i="6"/>
  <c r="C7" i="15"/>
  <c r="C14" i="33"/>
  <c r="C15" i="33" s="1"/>
  <c r="C7" i="30"/>
  <c r="C8" i="30" s="1"/>
  <c r="C7" i="18"/>
  <c r="C151" i="6"/>
  <c r="C152" i="6" s="1"/>
  <c r="C153" i="6" s="1"/>
  <c r="C10" i="32"/>
  <c r="C11" i="32" s="1"/>
  <c r="C6" i="36"/>
  <c r="C155" i="6"/>
  <c r="C156" i="6" s="1"/>
  <c r="C129" i="6"/>
  <c r="C130" i="6" s="1"/>
  <c r="C68" i="6"/>
  <c r="C10" i="33"/>
  <c r="C11" i="33" s="1"/>
  <c r="C7" i="28"/>
  <c r="C8" i="28" s="1"/>
  <c r="C8" i="19"/>
  <c r="G6" i="17"/>
  <c r="G7" i="15"/>
  <c r="G52" i="6"/>
  <c r="G62" i="6"/>
  <c r="G6" i="40"/>
  <c r="G14" i="33"/>
  <c r="G15" i="33" s="1"/>
  <c r="G7" i="30"/>
  <c r="G8" i="30" s="1"/>
  <c r="G7" i="18"/>
  <c r="G151" i="6"/>
  <c r="G152" i="6" s="1"/>
  <c r="G10" i="32"/>
  <c r="G11" i="32" s="1"/>
  <c r="G10" i="33"/>
  <c r="G11" i="33" s="1"/>
  <c r="G7" i="28"/>
  <c r="G8" i="28" s="1"/>
  <c r="G8" i="19"/>
  <c r="G6" i="41"/>
  <c r="G129" i="6"/>
  <c r="G130" i="6" s="1"/>
  <c r="G68" i="6"/>
  <c r="G6" i="36"/>
  <c r="G155" i="6"/>
  <c r="G156" i="6" s="1"/>
  <c r="F47" i="5"/>
  <c r="C58" i="6"/>
  <c r="C63" i="6"/>
  <c r="D68" i="6"/>
  <c r="G119" i="6"/>
  <c r="G120" i="6" s="1"/>
  <c r="C6" i="18"/>
  <c r="D8" i="19"/>
  <c r="D10" i="33"/>
  <c r="D11" i="33" s="1"/>
  <c r="E25" i="46"/>
  <c r="J42" i="3" l="1"/>
  <c r="J45" i="3"/>
  <c r="K38" i="3"/>
  <c r="K41" i="3"/>
  <c r="L42" i="3"/>
  <c r="L45" i="3"/>
  <c r="I45" i="3"/>
  <c r="I42" i="3"/>
  <c r="I54" i="4"/>
  <c r="I55" i="4" s="1"/>
  <c r="H42" i="3"/>
  <c r="H45" i="3"/>
  <c r="K49" i="4"/>
  <c r="J48" i="4"/>
  <c r="K43" i="4"/>
  <c r="J42" i="4"/>
  <c r="J46" i="4" s="1"/>
  <c r="J29" i="4"/>
  <c r="J33" i="4" s="1"/>
  <c r="K30" i="4"/>
  <c r="J15" i="4"/>
  <c r="K16" i="4"/>
  <c r="J19" i="3"/>
  <c r="K20" i="3"/>
  <c r="J17" i="3"/>
  <c r="K18" i="3"/>
  <c r="L5" i="3"/>
  <c r="L6" i="3" s="1"/>
  <c r="K6" i="3"/>
  <c r="E153" i="6"/>
  <c r="C12" i="33"/>
  <c r="G12" i="32"/>
  <c r="F12" i="32"/>
  <c r="C6" i="44"/>
  <c r="C16" i="3"/>
  <c r="C12" i="32"/>
  <c r="G153" i="6"/>
  <c r="G157" i="6" s="1"/>
  <c r="E27" i="3"/>
  <c r="E6" i="39"/>
  <c r="E6" i="44"/>
  <c r="D153" i="6"/>
  <c r="D157" i="6" s="1"/>
  <c r="D144" i="6"/>
  <c r="E12" i="33"/>
  <c r="E16" i="33" s="1"/>
  <c r="F153" i="6"/>
  <c r="F157" i="6" s="1"/>
  <c r="F12" i="33"/>
  <c r="F16" i="33" s="1"/>
  <c r="C6" i="39"/>
  <c r="C27" i="3"/>
  <c r="G12" i="33"/>
  <c r="G16" i="33" s="1"/>
  <c r="F144" i="6"/>
  <c r="E144" i="6"/>
  <c r="E157" i="6"/>
  <c r="D12" i="32"/>
  <c r="C144" i="6"/>
  <c r="D12" i="33"/>
  <c r="D16" i="33" s="1"/>
  <c r="F6" i="44"/>
  <c r="F6" i="39"/>
  <c r="F27" i="3"/>
  <c r="D6" i="39"/>
  <c r="D6" i="44"/>
  <c r="D27" i="3"/>
  <c r="G6" i="44"/>
  <c r="G6" i="39"/>
  <c r="G27" i="3"/>
  <c r="G144" i="6"/>
  <c r="C73" i="4"/>
  <c r="C67" i="4"/>
  <c r="C69" i="4"/>
  <c r="C63" i="4"/>
  <c r="C65" i="4"/>
  <c r="C59" i="4"/>
  <c r="C61" i="4"/>
  <c r="C55" i="4"/>
  <c r="C57" i="4"/>
  <c r="C51" i="4"/>
  <c r="C53" i="4"/>
  <c r="C47" i="4"/>
  <c r="C49" i="4"/>
  <c r="F54" i="4"/>
  <c r="E54" i="4"/>
  <c r="D54" i="4"/>
  <c r="G46" i="4"/>
  <c r="C43" i="4"/>
  <c r="C45" i="4"/>
  <c r="C36" i="4"/>
  <c r="C41" i="4"/>
  <c r="C34" i="4"/>
  <c r="C30" i="4"/>
  <c r="C32" i="4"/>
  <c r="C26" i="4"/>
  <c r="C28" i="4"/>
  <c r="C22" i="4"/>
  <c r="C24" i="4"/>
  <c r="C18" i="4"/>
  <c r="C20" i="4"/>
  <c r="C12" i="4"/>
  <c r="C16" i="4"/>
  <c r="C14" i="4"/>
  <c r="C10" i="4"/>
  <c r="C6" i="4"/>
  <c r="C8" i="4"/>
  <c r="C8" i="18"/>
  <c r="C8" i="17"/>
  <c r="C16" i="33"/>
  <c r="C157" i="6"/>
  <c r="C64" i="6"/>
  <c r="C69" i="6"/>
  <c r="C5" i="41"/>
  <c r="C6" i="34"/>
  <c r="C5" i="40"/>
  <c r="C9" i="19"/>
  <c r="C5" i="42"/>
  <c r="C7" i="14"/>
  <c r="C5" i="43"/>
  <c r="C7" i="24"/>
  <c r="C8" i="24" s="1"/>
  <c r="C47" i="6"/>
  <c r="C99" i="6"/>
  <c r="C100" i="6" s="1"/>
  <c r="E26" i="46"/>
  <c r="E30" i="46" s="1"/>
  <c r="F25" i="46"/>
  <c r="K42" i="3" l="1"/>
  <c r="K45" i="3"/>
  <c r="I49" i="3"/>
  <c r="I46" i="3"/>
  <c r="I5" i="5"/>
  <c r="I27" i="5" s="1"/>
  <c r="I48" i="5" s="1"/>
  <c r="L5" i="5"/>
  <c r="L27" i="5" s="1"/>
  <c r="L48" i="5" s="1"/>
  <c r="L46" i="3"/>
  <c r="L49" i="3"/>
  <c r="J5" i="5"/>
  <c r="J27" i="5" s="1"/>
  <c r="J48" i="5" s="1"/>
  <c r="J49" i="3"/>
  <c r="J46" i="3"/>
  <c r="H5" i="5"/>
  <c r="H27" i="5" s="1"/>
  <c r="H48" i="5" s="1"/>
  <c r="H70" i="4" s="1"/>
  <c r="H49" i="3"/>
  <c r="H46" i="3"/>
  <c r="J34" i="4"/>
  <c r="J37" i="4"/>
  <c r="J38" i="4" s="1"/>
  <c r="J54" i="4"/>
  <c r="J55" i="4" s="1"/>
  <c r="J47" i="4"/>
  <c r="L49" i="4"/>
  <c r="L48" i="4" s="1"/>
  <c r="K48" i="4"/>
  <c r="L43" i="4"/>
  <c r="L42" i="4" s="1"/>
  <c r="L46" i="4" s="1"/>
  <c r="K42" i="4"/>
  <c r="K46" i="4" s="1"/>
  <c r="L30" i="4"/>
  <c r="L29" i="4" s="1"/>
  <c r="L33" i="4" s="1"/>
  <c r="K29" i="4"/>
  <c r="K33" i="4" s="1"/>
  <c r="L16" i="4"/>
  <c r="L15" i="4" s="1"/>
  <c r="K15" i="4"/>
  <c r="L20" i="3"/>
  <c r="L19" i="3" s="1"/>
  <c r="K19" i="3"/>
  <c r="L18" i="3"/>
  <c r="L17" i="3" s="1"/>
  <c r="K17" i="3"/>
  <c r="E29" i="3"/>
  <c r="E30" i="3" s="1"/>
  <c r="E28" i="3"/>
  <c r="G29" i="3"/>
  <c r="G33" i="3" s="1"/>
  <c r="G34" i="3" s="1"/>
  <c r="G28" i="3"/>
  <c r="F29" i="3"/>
  <c r="F30" i="3" s="1"/>
  <c r="F28" i="3"/>
  <c r="C29" i="3"/>
  <c r="C28" i="3"/>
  <c r="D29" i="3"/>
  <c r="D30" i="3" s="1"/>
  <c r="D28" i="3"/>
  <c r="C33" i="3"/>
  <c r="C6" i="15" s="1"/>
  <c r="C9" i="15" s="1"/>
  <c r="D5" i="35"/>
  <c r="F5" i="35"/>
  <c r="D6" i="42"/>
  <c r="E6" i="42"/>
  <c r="F6" i="42"/>
  <c r="G54" i="4"/>
  <c r="F26" i="46"/>
  <c r="F30" i="46" s="1"/>
  <c r="G25" i="46"/>
  <c r="G26" i="46" s="1"/>
  <c r="G30" i="46" s="1"/>
  <c r="L55" i="3" l="1"/>
  <c r="L56" i="3" s="1"/>
  <c r="L50" i="3"/>
  <c r="I50" i="3"/>
  <c r="I55" i="3"/>
  <c r="I56" i="3" s="1"/>
  <c r="J55" i="3"/>
  <c r="J56" i="3" s="1"/>
  <c r="J50" i="3"/>
  <c r="K46" i="3"/>
  <c r="K5" i="5"/>
  <c r="K27" i="5" s="1"/>
  <c r="K48" i="5" s="1"/>
  <c r="K49" i="3"/>
  <c r="H55" i="3"/>
  <c r="H56" i="3" s="1"/>
  <c r="H50" i="3"/>
  <c r="I70" i="4"/>
  <c r="H71" i="4"/>
  <c r="H72" i="4"/>
  <c r="H73" i="4" s="1"/>
  <c r="L47" i="4"/>
  <c r="L54" i="4"/>
  <c r="L55" i="4" s="1"/>
  <c r="K34" i="4"/>
  <c r="K37" i="4"/>
  <c r="K38" i="4" s="1"/>
  <c r="K47" i="4"/>
  <c r="K54" i="4"/>
  <c r="K55" i="4" s="1"/>
  <c r="L34" i="4"/>
  <c r="L37" i="4"/>
  <c r="L38" i="4" s="1"/>
  <c r="F33" i="3"/>
  <c r="F34" i="3" s="1"/>
  <c r="D33" i="3"/>
  <c r="D34" i="3" s="1"/>
  <c r="C6" i="20"/>
  <c r="C8" i="20" s="1"/>
  <c r="C34" i="3"/>
  <c r="C51" i="6"/>
  <c r="C54" i="6" s="1"/>
  <c r="C37" i="3"/>
  <c r="C5" i="35"/>
  <c r="C30" i="3"/>
  <c r="G5" i="35"/>
  <c r="G30" i="3"/>
  <c r="C78" i="6"/>
  <c r="C80" i="6" s="1"/>
  <c r="C6" i="35"/>
  <c r="E5" i="35"/>
  <c r="E33" i="3"/>
  <c r="E34" i="3" s="1"/>
  <c r="F6" i="35"/>
  <c r="F6" i="15"/>
  <c r="F9" i="15" s="1"/>
  <c r="F51" i="6"/>
  <c r="F54" i="6" s="1"/>
  <c r="F6" i="20"/>
  <c r="F8" i="20" s="1"/>
  <c r="F78" i="6"/>
  <c r="F80" i="6" s="1"/>
  <c r="F37" i="3"/>
  <c r="D6" i="35"/>
  <c r="D6" i="15"/>
  <c r="D9" i="15" s="1"/>
  <c r="D51" i="6"/>
  <c r="D54" i="6" s="1"/>
  <c r="D37" i="3"/>
  <c r="D6" i="20"/>
  <c r="D8" i="20" s="1"/>
  <c r="D78" i="6"/>
  <c r="D80" i="6" s="1"/>
  <c r="G6" i="35"/>
  <c r="G6" i="15"/>
  <c r="G9" i="15" s="1"/>
  <c r="G51" i="6"/>
  <c r="G54" i="6" s="1"/>
  <c r="G6" i="20"/>
  <c r="G8" i="20" s="1"/>
  <c r="G78" i="6"/>
  <c r="G80" i="6" s="1"/>
  <c r="G37" i="3"/>
  <c r="G6" i="42"/>
  <c r="K50" i="3" l="1"/>
  <c r="K55" i="3"/>
  <c r="K56" i="3" s="1"/>
  <c r="J70" i="4"/>
  <c r="I71" i="4"/>
  <c r="I72" i="4"/>
  <c r="I73" i="4" s="1"/>
  <c r="D41" i="3"/>
  <c r="D38" i="3"/>
  <c r="F41" i="3"/>
  <c r="F38" i="3"/>
  <c r="G41" i="3"/>
  <c r="G38" i="3"/>
  <c r="C41" i="3"/>
  <c r="C38" i="3"/>
  <c r="E78" i="6"/>
  <c r="E80" i="6" s="1"/>
  <c r="E51" i="6"/>
  <c r="E54" i="6" s="1"/>
  <c r="E6" i="20"/>
  <c r="E8" i="20" s="1"/>
  <c r="E37" i="3"/>
  <c r="E6" i="35"/>
  <c r="E6" i="15"/>
  <c r="E9" i="15" s="1"/>
  <c r="K70" i="4" l="1"/>
  <c r="J71" i="4"/>
  <c r="J72" i="4"/>
  <c r="J73" i="4" s="1"/>
  <c r="C45" i="3"/>
  <c r="C42" i="3"/>
  <c r="F45" i="3"/>
  <c r="F46" i="3" s="1"/>
  <c r="F42" i="3"/>
  <c r="G45" i="3"/>
  <c r="G46" i="3" s="1"/>
  <c r="G42" i="3"/>
  <c r="D45" i="3"/>
  <c r="D46" i="3" s="1"/>
  <c r="D42" i="3"/>
  <c r="E41" i="3"/>
  <c r="E38" i="3"/>
  <c r="L70" i="4" l="1"/>
  <c r="K71" i="4"/>
  <c r="K72" i="4"/>
  <c r="K73" i="4" s="1"/>
  <c r="C49" i="3"/>
  <c r="C50" i="3" s="1"/>
  <c r="C46" i="3"/>
  <c r="D49" i="3"/>
  <c r="D50" i="3" s="1"/>
  <c r="D5" i="5"/>
  <c r="D27" i="5" s="1"/>
  <c r="D48" i="5" s="1"/>
  <c r="F49" i="3"/>
  <c r="F50" i="3" s="1"/>
  <c r="F5" i="5"/>
  <c r="F27" i="5" s="1"/>
  <c r="F48" i="5" s="1"/>
  <c r="E45" i="3"/>
  <c r="E46" i="3" s="1"/>
  <c r="E42" i="3"/>
  <c r="G5" i="5"/>
  <c r="G27" i="5" s="1"/>
  <c r="G48" i="5" s="1"/>
  <c r="G49" i="3"/>
  <c r="G50" i="3" s="1"/>
  <c r="C6" i="7"/>
  <c r="C57" i="6"/>
  <c r="C59" i="6" s="1"/>
  <c r="L71" i="4" l="1"/>
  <c r="L72" i="4"/>
  <c r="L73" i="4" s="1"/>
  <c r="C24" i="6"/>
  <c r="C9" i="10"/>
  <c r="C6" i="6"/>
  <c r="C61" i="3"/>
  <c r="C6" i="45"/>
  <c r="C6" i="14"/>
  <c r="C8" i="14" s="1"/>
  <c r="C46" i="6"/>
  <c r="C48" i="6" s="1"/>
  <c r="C6" i="16"/>
  <c r="C8" i="16" s="1"/>
  <c r="C55" i="3"/>
  <c r="C5" i="45" s="1"/>
  <c r="F6" i="16"/>
  <c r="F61" i="3"/>
  <c r="F6" i="7"/>
  <c r="F57" i="6"/>
  <c r="F6" i="45"/>
  <c r="F9" i="10"/>
  <c r="F46" i="6"/>
  <c r="F24" i="6"/>
  <c r="F6" i="14"/>
  <c r="F55" i="3"/>
  <c r="F5" i="45" s="1"/>
  <c r="F6" i="6"/>
  <c r="D70" i="4"/>
  <c r="D38" i="46"/>
  <c r="D39" i="46" s="1"/>
  <c r="D40" i="46" s="1"/>
  <c r="G6" i="7"/>
  <c r="G6" i="16"/>
  <c r="G6" i="6"/>
  <c r="G57" i="6"/>
  <c r="G6" i="45"/>
  <c r="G9" i="10"/>
  <c r="G61" i="3"/>
  <c r="G55" i="3"/>
  <c r="G5" i="45" s="1"/>
  <c r="G6" i="14"/>
  <c r="G46" i="6"/>
  <c r="G24" i="6"/>
  <c r="E5" i="5"/>
  <c r="E27" i="5" s="1"/>
  <c r="E48" i="5" s="1"/>
  <c r="E49" i="3"/>
  <c r="E50" i="3" s="1"/>
  <c r="D6" i="7"/>
  <c r="D9" i="10"/>
  <c r="D6" i="6"/>
  <c r="D24" i="6"/>
  <c r="D6" i="16"/>
  <c r="D46" i="6"/>
  <c r="D6" i="45"/>
  <c r="D61" i="3"/>
  <c r="D6" i="14"/>
  <c r="D57" i="6"/>
  <c r="D55" i="3"/>
  <c r="C7" i="11" l="1"/>
  <c r="C8" i="11" s="1"/>
  <c r="C9" i="11" s="1"/>
  <c r="C7" i="7"/>
  <c r="C8" i="7" s="1"/>
  <c r="C17" i="6"/>
  <c r="C18" i="6" s="1"/>
  <c r="C7" i="8"/>
  <c r="C8" i="8" s="1"/>
  <c r="C10" i="10"/>
  <c r="C11" i="10" s="1"/>
  <c r="C12" i="6"/>
  <c r="C13" i="6" s="1"/>
  <c r="C31" i="6"/>
  <c r="C32" i="6" s="1"/>
  <c r="C33" i="6" s="1"/>
  <c r="C7" i="9"/>
  <c r="C8" i="9" s="1"/>
  <c r="C25" i="6"/>
  <c r="C26" i="6" s="1"/>
  <c r="C7" i="6"/>
  <c r="C8" i="6" s="1"/>
  <c r="C22" i="6"/>
  <c r="C23" i="6" s="1"/>
  <c r="C27" i="6" s="1"/>
  <c r="C7" i="10"/>
  <c r="C8" i="10" s="1"/>
  <c r="C12" i="10" s="1"/>
  <c r="G7" i="11"/>
  <c r="G8" i="11" s="1"/>
  <c r="G9" i="11" s="1"/>
  <c r="G25" i="6"/>
  <c r="G26" i="6" s="1"/>
  <c r="G7" i="6"/>
  <c r="G8" i="6" s="1"/>
  <c r="G22" i="6"/>
  <c r="G23" i="6" s="1"/>
  <c r="G27" i="6" s="1"/>
  <c r="G7" i="9"/>
  <c r="G7" i="8"/>
  <c r="G8" i="8" s="1"/>
  <c r="G7" i="7"/>
  <c r="G8" i="7" s="1"/>
  <c r="G10" i="10"/>
  <c r="G11" i="10" s="1"/>
  <c r="G7" i="10"/>
  <c r="G8" i="10" s="1"/>
  <c r="G17" i="6"/>
  <c r="G12" i="6"/>
  <c r="G13" i="6" s="1"/>
  <c r="G31" i="6"/>
  <c r="G32" i="6" s="1"/>
  <c r="G33" i="6" s="1"/>
  <c r="D72" i="4"/>
  <c r="D88" i="6"/>
  <c r="D90" i="6" s="1"/>
  <c r="D6" i="22"/>
  <c r="D8" i="22" s="1"/>
  <c r="D6" i="23"/>
  <c r="D8" i="23" s="1"/>
  <c r="D93" i="6"/>
  <c r="D95" i="6" s="1"/>
  <c r="D25" i="6"/>
  <c r="D26" i="6" s="1"/>
  <c r="D7" i="7"/>
  <c r="D8" i="7" s="1"/>
  <c r="D12" i="6"/>
  <c r="D13" i="6" s="1"/>
  <c r="D31" i="6"/>
  <c r="D32" i="6" s="1"/>
  <c r="D33" i="6" s="1"/>
  <c r="D7" i="11"/>
  <c r="D8" i="11" s="1"/>
  <c r="D9" i="11" s="1"/>
  <c r="D7" i="10"/>
  <c r="D8" i="10" s="1"/>
  <c r="D12" i="10" s="1"/>
  <c r="D22" i="6"/>
  <c r="D23" i="6" s="1"/>
  <c r="D27" i="6" s="1"/>
  <c r="D7" i="6"/>
  <c r="D8" i="6" s="1"/>
  <c r="D10" i="10"/>
  <c r="D11" i="10" s="1"/>
  <c r="D7" i="8"/>
  <c r="D8" i="8" s="1"/>
  <c r="D17" i="6"/>
  <c r="D7" i="9"/>
  <c r="E6" i="16"/>
  <c r="E46" i="6"/>
  <c r="E6" i="45"/>
  <c r="E57" i="6"/>
  <c r="E6" i="7"/>
  <c r="E6" i="6"/>
  <c r="E61" i="3"/>
  <c r="E24" i="6"/>
  <c r="E6" i="14"/>
  <c r="E55" i="3"/>
  <c r="E9" i="10"/>
  <c r="F31" i="6"/>
  <c r="F32" i="6" s="1"/>
  <c r="F33" i="6" s="1"/>
  <c r="F7" i="8"/>
  <c r="F8" i="8" s="1"/>
  <c r="F7" i="10"/>
  <c r="F8" i="10" s="1"/>
  <c r="F22" i="6"/>
  <c r="F23" i="6" s="1"/>
  <c r="F27" i="6" s="1"/>
  <c r="F17" i="6"/>
  <c r="F25" i="6"/>
  <c r="F26" i="6" s="1"/>
  <c r="F10" i="10"/>
  <c r="F11" i="10" s="1"/>
  <c r="F7" i="6"/>
  <c r="F8" i="6" s="1"/>
  <c r="F7" i="11"/>
  <c r="F8" i="11" s="1"/>
  <c r="F9" i="11" s="1"/>
  <c r="F7" i="9"/>
  <c r="F12" i="6"/>
  <c r="F13" i="6" s="1"/>
  <c r="F7" i="7"/>
  <c r="F8" i="7" s="1"/>
  <c r="D8" i="46"/>
  <c r="D9" i="46" s="1"/>
  <c r="D21" i="46" s="1"/>
  <c r="D11" i="4"/>
  <c r="D13" i="4" s="1"/>
  <c r="D53" i="6" s="1"/>
  <c r="D5" i="45"/>
  <c r="E38" i="46"/>
  <c r="E70" i="4"/>
  <c r="D58" i="6"/>
  <c r="D59" i="6" s="1"/>
  <c r="D5" i="34"/>
  <c r="D7" i="16"/>
  <c r="D8" i="16" s="1"/>
  <c r="D16" i="6" l="1"/>
  <c r="D18" i="6" s="1"/>
  <c r="D6" i="9"/>
  <c r="D8" i="9" s="1"/>
  <c r="E7" i="7"/>
  <c r="E8" i="7" s="1"/>
  <c r="E17" i="6"/>
  <c r="E7" i="11"/>
  <c r="E8" i="11" s="1"/>
  <c r="E9" i="11" s="1"/>
  <c r="E7" i="9"/>
  <c r="E22" i="6"/>
  <c r="E23" i="6" s="1"/>
  <c r="E25" i="6"/>
  <c r="E26" i="6" s="1"/>
  <c r="E7" i="6"/>
  <c r="E8" i="6" s="1"/>
  <c r="E7" i="8"/>
  <c r="E8" i="8" s="1"/>
  <c r="E12" i="6"/>
  <c r="E13" i="6" s="1"/>
  <c r="E10" i="10"/>
  <c r="E11" i="10" s="1"/>
  <c r="E7" i="10"/>
  <c r="E8" i="10" s="1"/>
  <c r="E31" i="6"/>
  <c r="E32" i="6" s="1"/>
  <c r="E33" i="6" s="1"/>
  <c r="F12" i="10"/>
  <c r="E5" i="45"/>
  <c r="E8" i="46"/>
  <c r="E11" i="4"/>
  <c r="D37" i="4"/>
  <c r="D5" i="40" s="1"/>
  <c r="D7" i="17"/>
  <c r="D8" i="17" s="1"/>
  <c r="E6" i="22"/>
  <c r="E8" i="22" s="1"/>
  <c r="E6" i="23"/>
  <c r="E8" i="23" s="1"/>
  <c r="E88" i="6"/>
  <c r="E90" i="6" s="1"/>
  <c r="F70" i="4"/>
  <c r="E72" i="4"/>
  <c r="E93" i="6"/>
  <c r="E95" i="6" s="1"/>
  <c r="D8" i="15"/>
  <c r="D63" i="6"/>
  <c r="D64" i="6" s="1"/>
  <c r="F38" i="46"/>
  <c r="E39" i="46"/>
  <c r="E40" i="46" s="1"/>
  <c r="D6" i="19"/>
  <c r="D9" i="19" s="1"/>
  <c r="D5" i="36"/>
  <c r="D6" i="18"/>
  <c r="D8" i="18" s="1"/>
  <c r="D72" i="6"/>
  <c r="D75" i="6" s="1"/>
  <c r="D67" i="6"/>
  <c r="D69" i="6" s="1"/>
  <c r="D74" i="4"/>
  <c r="D6" i="43"/>
  <c r="G12" i="10"/>
  <c r="D6" i="34"/>
  <c r="D5" i="41"/>
  <c r="E27" i="6" l="1"/>
  <c r="D38" i="4"/>
  <c r="E12" i="10"/>
  <c r="G38" i="46"/>
  <c r="G39" i="46" s="1"/>
  <c r="G40" i="46" s="1"/>
  <c r="F39" i="46"/>
  <c r="F40" i="46" s="1"/>
  <c r="D12" i="4"/>
  <c r="D73" i="4"/>
  <c r="D67" i="4"/>
  <c r="D28" i="4"/>
  <c r="D41" i="4"/>
  <c r="D43" i="4"/>
  <c r="D8" i="4"/>
  <c r="D51" i="4"/>
  <c r="D10" i="4"/>
  <c r="D20" i="4"/>
  <c r="D47" i="4"/>
  <c r="D49" i="4"/>
  <c r="D69" i="4"/>
  <c r="D32" i="4"/>
  <c r="D30" i="4"/>
  <c r="D16" i="4"/>
  <c r="D63" i="4"/>
  <c r="D61" i="4"/>
  <c r="D6" i="4"/>
  <c r="D7" i="14"/>
  <c r="D8" i="14" s="1"/>
  <c r="D36" i="4"/>
  <c r="D99" i="6"/>
  <c r="D100" i="6" s="1"/>
  <c r="D45" i="4"/>
  <c r="D47" i="6"/>
  <c r="D48" i="6" s="1"/>
  <c r="D5" i="43"/>
  <c r="D22" i="4"/>
  <c r="D71" i="4"/>
  <c r="D5" i="42"/>
  <c r="D24" i="4"/>
  <c r="D59" i="4"/>
  <c r="D55" i="4"/>
  <c r="D75" i="4"/>
  <c r="D57" i="4"/>
  <c r="D26" i="4"/>
  <c r="D53" i="4"/>
  <c r="D7" i="24"/>
  <c r="D8" i="24" s="1"/>
  <c r="D65" i="4"/>
  <c r="D34" i="4"/>
  <c r="D18" i="4"/>
  <c r="F93" i="6"/>
  <c r="F95" i="6" s="1"/>
  <c r="F6" i="22"/>
  <c r="F8" i="22" s="1"/>
  <c r="F6" i="23"/>
  <c r="F8" i="23" s="1"/>
  <c r="G70" i="4"/>
  <c r="F72" i="4"/>
  <c r="F88" i="6"/>
  <c r="F90" i="6" s="1"/>
  <c r="F8" i="46"/>
  <c r="E9" i="46"/>
  <c r="E21" i="46" s="1"/>
  <c r="E72" i="6"/>
  <c r="E75" i="6" s="1"/>
  <c r="E6" i="43"/>
  <c r="E5" i="36"/>
  <c r="E6" i="19"/>
  <c r="E9" i="19" s="1"/>
  <c r="E67" i="6"/>
  <c r="E69" i="6" s="1"/>
  <c r="E6" i="18"/>
  <c r="E8" i="18" s="1"/>
  <c r="E74" i="4"/>
  <c r="E73" i="4" s="1"/>
  <c r="F11" i="4"/>
  <c r="E13" i="4"/>
  <c r="D14" i="4"/>
  <c r="F9" i="46" l="1"/>
  <c r="F21" i="46" s="1"/>
  <c r="G8" i="46"/>
  <c r="G9" i="46" s="1"/>
  <c r="G21" i="46" s="1"/>
  <c r="E63" i="6"/>
  <c r="E64" i="6" s="1"/>
  <c r="E53" i="6"/>
  <c r="E16" i="6"/>
  <c r="E18" i="6" s="1"/>
  <c r="E14" i="4"/>
  <c r="E37" i="4"/>
  <c r="E6" i="9"/>
  <c r="E8" i="9" s="1"/>
  <c r="E8" i="15"/>
  <c r="E58" i="6"/>
  <c r="E59" i="6" s="1"/>
  <c r="E7" i="17"/>
  <c r="E8" i="17" s="1"/>
  <c r="E5" i="34"/>
  <c r="E7" i="16"/>
  <c r="E8" i="16" s="1"/>
  <c r="F67" i="6"/>
  <c r="F69" i="6" s="1"/>
  <c r="F72" i="6"/>
  <c r="F75" i="6" s="1"/>
  <c r="F6" i="19"/>
  <c r="F9" i="19" s="1"/>
  <c r="F6" i="18"/>
  <c r="F8" i="18" s="1"/>
  <c r="F74" i="4"/>
  <c r="F73" i="4" s="1"/>
  <c r="F5" i="36"/>
  <c r="F6" i="43"/>
  <c r="E12" i="4"/>
  <c r="E65" i="4"/>
  <c r="E32" i="4"/>
  <c r="E67" i="4"/>
  <c r="E34" i="4"/>
  <c r="E7" i="24"/>
  <c r="E8" i="24" s="1"/>
  <c r="E69" i="4"/>
  <c r="E36" i="4"/>
  <c r="E55" i="4"/>
  <c r="E6" i="4"/>
  <c r="E53" i="4"/>
  <c r="E16" i="4"/>
  <c r="E99" i="6"/>
  <c r="E100" i="6" s="1"/>
  <c r="E10" i="4"/>
  <c r="E22" i="4"/>
  <c r="E57" i="4"/>
  <c r="E24" i="4"/>
  <c r="E59" i="4"/>
  <c r="E26" i="4"/>
  <c r="E47" i="6"/>
  <c r="E48" i="6" s="1"/>
  <c r="E61" i="4"/>
  <c r="E28" i="4"/>
  <c r="E47" i="4"/>
  <c r="E5" i="43"/>
  <c r="E49" i="4"/>
  <c r="E51" i="4"/>
  <c r="E20" i="4"/>
  <c r="E5" i="42"/>
  <c r="E75" i="4"/>
  <c r="E43" i="4"/>
  <c r="E7" i="14"/>
  <c r="E8" i="14" s="1"/>
  <c r="E63" i="4"/>
  <c r="E71" i="4"/>
  <c r="E8" i="4"/>
  <c r="E18" i="4"/>
  <c r="E30" i="4"/>
  <c r="E41" i="4"/>
  <c r="E45" i="4"/>
  <c r="G11" i="4"/>
  <c r="G13" i="4" s="1"/>
  <c r="G6" i="9" s="1"/>
  <c r="G8" i="9" s="1"/>
  <c r="F13" i="4"/>
  <c r="G6" i="23"/>
  <c r="G8" i="23" s="1"/>
  <c r="G72" i="4"/>
  <c r="G88" i="6"/>
  <c r="G90" i="6" s="1"/>
  <c r="G6" i="22"/>
  <c r="G8" i="22" s="1"/>
  <c r="G93" i="6"/>
  <c r="G95" i="6" s="1"/>
  <c r="G58" i="6" l="1"/>
  <c r="G59" i="6" s="1"/>
  <c r="G37" i="4"/>
  <c r="G16" i="6"/>
  <c r="G18" i="6" s="1"/>
  <c r="G7" i="17"/>
  <c r="G8" i="17" s="1"/>
  <c r="G6" i="19"/>
  <c r="G9" i="19" s="1"/>
  <c r="G6" i="43"/>
  <c r="G5" i="36"/>
  <c r="G6" i="18"/>
  <c r="G8" i="18" s="1"/>
  <c r="G72" i="6"/>
  <c r="G75" i="6" s="1"/>
  <c r="G67" i="6"/>
  <c r="G69" i="6" s="1"/>
  <c r="G74" i="4"/>
  <c r="E38" i="4"/>
  <c r="E5" i="41"/>
  <c r="E5" i="40"/>
  <c r="E6" i="34"/>
  <c r="G53" i="6"/>
  <c r="G63" i="6"/>
  <c r="G64" i="6" s="1"/>
  <c r="F71" i="4"/>
  <c r="F49" i="4"/>
  <c r="F16" i="4"/>
  <c r="F30" i="4"/>
  <c r="F43" i="4"/>
  <c r="F10" i="4"/>
  <c r="F53" i="4"/>
  <c r="F7" i="14"/>
  <c r="F8" i="14" s="1"/>
  <c r="F36" i="4"/>
  <c r="F47" i="6"/>
  <c r="F48" i="6" s="1"/>
  <c r="F12" i="4"/>
  <c r="F41" i="4"/>
  <c r="F8" i="4"/>
  <c r="F34" i="4"/>
  <c r="F7" i="24"/>
  <c r="F8" i="24" s="1"/>
  <c r="F47" i="4"/>
  <c r="F57" i="4"/>
  <c r="F24" i="4"/>
  <c r="F18" i="4"/>
  <c r="F20" i="4"/>
  <c r="F75" i="4"/>
  <c r="F67" i="4"/>
  <c r="F45" i="4"/>
  <c r="F5" i="42"/>
  <c r="F51" i="4"/>
  <c r="F69" i="4"/>
  <c r="F6" i="4"/>
  <c r="F65" i="4"/>
  <c r="F32" i="4"/>
  <c r="F99" i="6"/>
  <c r="F100" i="6" s="1"/>
  <c r="F59" i="4"/>
  <c r="F26" i="4"/>
  <c r="F5" i="43"/>
  <c r="F28" i="4"/>
  <c r="F22" i="4"/>
  <c r="F55" i="4"/>
  <c r="F63" i="4"/>
  <c r="F61" i="4"/>
  <c r="G5" i="34"/>
  <c r="G7" i="16"/>
  <c r="G8" i="16" s="1"/>
  <c r="G8" i="15"/>
  <c r="F53" i="6"/>
  <c r="F7" i="17"/>
  <c r="F8" i="17" s="1"/>
  <c r="F14" i="4"/>
  <c r="F37" i="4"/>
  <c r="F16" i="6"/>
  <c r="F18" i="6" s="1"/>
  <c r="F5" i="34"/>
  <c r="F8" i="15"/>
  <c r="F58" i="6"/>
  <c r="F59" i="6" s="1"/>
  <c r="F63" i="6"/>
  <c r="F64" i="6" s="1"/>
  <c r="F7" i="16"/>
  <c r="F8" i="16" s="1"/>
  <c r="F6" i="9"/>
  <c r="F8" i="9" s="1"/>
  <c r="G5" i="40"/>
  <c r="G6" i="34"/>
  <c r="G5" i="41"/>
  <c r="G38" i="4"/>
  <c r="G12" i="4" l="1"/>
  <c r="G69" i="4"/>
  <c r="G36" i="4"/>
  <c r="G47" i="6"/>
  <c r="G48" i="6" s="1"/>
  <c r="G34" i="4"/>
  <c r="G55" i="4"/>
  <c r="G6" i="4"/>
  <c r="G49" i="4"/>
  <c r="G16" i="4"/>
  <c r="G26" i="4"/>
  <c r="G30" i="4"/>
  <c r="G99" i="6"/>
  <c r="G100" i="6" s="1"/>
  <c r="G45" i="4"/>
  <c r="G43" i="4"/>
  <c r="G24" i="4"/>
  <c r="G61" i="4"/>
  <c r="G28" i="4"/>
  <c r="G67" i="4"/>
  <c r="G18" i="4"/>
  <c r="G47" i="4"/>
  <c r="G7" i="24"/>
  <c r="G8" i="24" s="1"/>
  <c r="G41" i="4"/>
  <c r="G8" i="4"/>
  <c r="G10" i="4"/>
  <c r="G53" i="4"/>
  <c r="G20" i="4"/>
  <c r="G7" i="14"/>
  <c r="G8" i="14" s="1"/>
  <c r="G32" i="4"/>
  <c r="G73" i="4"/>
  <c r="G63" i="4"/>
  <c r="G51" i="4"/>
  <c r="G71" i="4"/>
  <c r="G59" i="4"/>
  <c r="G65" i="4"/>
  <c r="G5" i="42"/>
  <c r="G5" i="43"/>
  <c r="G22" i="4"/>
  <c r="G75" i="4"/>
  <c r="G57" i="4"/>
  <c r="F5" i="41"/>
  <c r="F6" i="34"/>
  <c r="F5" i="40"/>
  <c r="F38" i="4"/>
  <c r="G14" i="4"/>
</calcChain>
</file>

<file path=xl/sharedStrings.xml><?xml version="1.0" encoding="utf-8"?>
<sst xmlns="http://schemas.openxmlformats.org/spreadsheetml/2006/main" count="720" uniqueCount="288">
  <si>
    <t>Balance Sheet of Power Grid Corporation of India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</si>
  <si>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</si>
  <si>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</si>
  <si>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</si>
  <si>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</si>
  <si>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</si>
  <si>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</si>
  <si>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</si>
  <si>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</si>
  <si>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</si>
  <si>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</si>
  <si>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</si>
  <si>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</si>
  <si>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</si>
  <si>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</si>
  <si>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</si>
  <si>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</si>
  <si>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</si>
  <si>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</si>
  <si>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</si>
  <si>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</si>
  <si>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</si>
  <si>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</si>
  <si>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</si>
  <si>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</si>
  <si>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</si>
  <si>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</si>
  <si>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</si>
  <si>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</si>
  <si>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</si>
  <si>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</si>
  <si>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</si>
  <si>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</si>
  <si>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</si>
  <si>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</si>
  <si>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</si>
  <si>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</si>
  <si>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</si>
  <si>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</si>
  <si>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</si>
  <si>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</si>
  <si>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</si>
  <si>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</si>
  <si>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</si>
  <si>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</si>
  <si>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</si>
  <si>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</si>
  <si>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</si>
  <si>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</si>
  <si>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</si>
  <si>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</si>
  <si>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</si>
  <si>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</si>
  <si>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</si>
  <si>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</si>
  <si>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Power Grid Corporation of India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</si>
  <si>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</si>
  <si>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</si>
  <si>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</si>
  <si>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</si>
  <si>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</si>
  <si>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</si>
  <si>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</si>
  <si>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</si>
  <si>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</si>
  <si>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</si>
  <si>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</si>
  <si>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</si>
  <si>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</si>
  <si>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</si>
  <si>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</si>
  <si>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</si>
  <si>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</si>
  <si>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</si>
  <si>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</si>
  <si>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</si>
  <si>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</si>
  <si>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</si>
  <si>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</si>
  <si>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</si>
  <si>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</si>
  <si>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</si>
  <si>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</si>
  <si>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</si>
  <si>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</si>
  <si>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</si>
  <si>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</si>
  <si>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</si>
  <si>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</si>
  <si>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</si>
  <si>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</si>
  <si>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</si>
  <si>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</si>
  <si>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</si>
  <si>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</si>
  <si>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</si>
  <si>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</si>
  <si>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</si>
  <si>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</si>
  <si>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</si>
  <si>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</si>
  <si>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</si>
  <si>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</si>
  <si>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</si>
  <si>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</si>
  <si>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</si>
  <si>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</si>
  <si>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</si>
  <si>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</si>
  <si>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</si>
  <si>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</si>
  <si>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</si>
  <si>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</si>
  <si>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</si>
  <si>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</si>
  <si>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</si>
  <si>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</si>
  <si>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</si>
  <si>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</si>
  <si>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</si>
  <si>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</si>
  <si>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</si>
  <si>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</si>
  <si>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</si>
  <si>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</si>
  <si>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</si>
  <si>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</si>
  <si>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</si>
  <si>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</si>
  <si>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</si>
  <si>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</si>
  <si>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</si>
  <si>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</si>
  <si>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</si>
  <si>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</si>
  <si>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</si>
  <si>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</si>
  <si>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</si>
  <si>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</si>
  <si>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</si>
  <si>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</si>
  <si>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</si>
  <si>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</si>
  <si>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</si>
  <si>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</si>
  <si>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</si>
  <si>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</si>
  <si>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</si>
  <si>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</si>
  <si>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</si>
  <si>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</si>
  <si>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</si>
  <si>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</si>
  <si>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</si>
  <si>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</si>
  <si>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</si>
  <si>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</si>
  <si>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</si>
  <si>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</si>
  <si>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</si>
  <si>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</si>
  <si>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</si>
  <si>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</si>
  <si>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</si>
  <si>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</si>
  <si>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</si>
  <si>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</si>
  <si>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</si>
  <si>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</si>
  <si>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</si>
  <si>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</si>
  <si>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</si>
  <si>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</si>
  <si>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</si>
  <si>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</si>
  <si>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</si>
  <si>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</si>
  <si>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</si>
  <si>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</si>
  <si>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</si>
  <si>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</si>
  <si>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</si>
  <si>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</si>
  <si>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</si>
  <si>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</si>
  <si>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</si>
  <si>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</si>
  <si>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</si>
  <si>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</si>
  <si>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</si>
  <si>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</si>
  <si>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</si>
  <si>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</si>
  <si>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</si>
  <si>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</si>
  <si>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</si>
  <si>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</si>
  <si>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</si>
  <si>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</si>
  <si>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</si>
  <si>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</si>
  <si>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</si>
  <si>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</si>
  <si>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</si>
  <si>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</si>
  <si>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</si>
  <si>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</si>
  <si>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</si>
  <si>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</si>
  <si>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</si>
  <si>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</si>
  <si>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</si>
  <si>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</si>
  <si>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</si>
  <si>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</si>
  <si>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</si>
  <si>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</si>
  <si>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</si>
  <si>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</si>
  <si>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</si>
  <si>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</si>
  <si>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</si>
  <si>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</si>
  <si>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</si>
  <si>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</si>
  <si>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</si>
  <si>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</si>
  <si>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</si>
  <si>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</si>
  <si>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</si>
  <si>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</si>
  <si>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</si>
  <si>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</si>
  <si>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</si>
  <si>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</si>
  <si>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</si>
  <si>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</si>
  <si>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</si>
  <si>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</si>
  <si>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</si>
  <si>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</si>
  <si>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</si>
  <si>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</si>
  <si>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</si>
  <si>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</si>
  <si>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</si>
  <si>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</si>
  <si>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</si>
  <si>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</si>
  <si>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</si>
  <si>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</si>
  <si>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</si>
  <si>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</si>
  <si>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</si>
  <si>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</si>
  <si>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</si>
  <si>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</si>
  <si>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</si>
  <si>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</si>
  <si>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</si>
  <si>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</si>
  <si>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</si>
  <si>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</si>
  <si>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</si>
  <si>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 xml:space="preserve">      ForeCasting</t>
  </si>
  <si>
    <t>TotalAssets TurnOver</t>
  </si>
  <si>
    <t>DepreciationForeCasting</t>
  </si>
  <si>
    <t>InterestForeCasting</t>
  </si>
  <si>
    <t>TaxRateForeCasting</t>
  </si>
  <si>
    <t>DividendTaxRateForeCasting</t>
  </si>
  <si>
    <t>BSInput</t>
  </si>
  <si>
    <t>Back To Index</t>
  </si>
  <si>
    <t>ISMInput</t>
  </si>
  <si>
    <t>Ratios</t>
  </si>
  <si>
    <t>NetWorthVsTotalLiabilties</t>
  </si>
  <si>
    <t>PBDITvsPBIT</t>
  </si>
  <si>
    <t>CAvsCL</t>
  </si>
  <si>
    <t>TotalExpenditureVsTotalIncome</t>
  </si>
  <si>
    <t>Long And Short Term Provisions</t>
  </si>
  <si>
    <t>MaterialConsumed DirectExpenses</t>
  </si>
  <si>
    <t>Gross Sales In Total Income</t>
  </si>
  <si>
    <t>Total Debt In Liabilities</t>
  </si>
  <si>
    <t>Total CL In Liabilities</t>
  </si>
  <si>
    <t>Total NCA In Assets</t>
  </si>
  <si>
    <t>Total CA In Assets</t>
  </si>
  <si>
    <t>Net Profit CF To Balance Sheet</t>
  </si>
  <si>
    <t>BS Backup</t>
  </si>
  <si>
    <t>ISM Backup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</si>
</sst>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3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  <font>
      <u/>
      <sz val="11"/>
      <color theme="10"/>
      <name val="Calibri"/>
      <family val="2"/>
      <scheme val="minor"/>
    </font>
    <font>
      <sz val="11"/>
      <color indexed="3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8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0" fontId="7" fillId="0" borderId="0" xfId="0" applyNumberFormat="1" applyFont="1"/>
    <xf numFmtId="164" fontId="7" fillId="0" borderId="0" xfId="0" applyNumberFormat="1" applyFont="1"/>
    <xf numFmtId="0" fontId="8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0" fontId="10" fillId="0" borderId="0" xfId="0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3" fillId="6" borderId="0" xfId="0" applyFont="1" applyFill="1" applyAlignment="1">
      <alignment horizontal="center"/>
    </xf>
    <xf numFmtId="10" fontId="0" fillId="0" borderId="0" xfId="0" applyNumberFormat="1"/>
    <xf numFmtId="4" fontId="1" fillId="8" borderId="0" xfId="0" applyNumberFormat="1" applyFont="1" applyFill="1" applyAlignment="1">
      <alignment horizontal="right"/>
    </xf>
    <xf numFmtId="10" fontId="8" fillId="8" borderId="0" xfId="0" applyNumberFormat="1" applyFont="1" applyFill="1" applyAlignment="1">
      <alignment horizontal="right"/>
    </xf>
    <xf numFmtId="0" fontId="1" fillId="8" borderId="0" xfId="0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10" fontId="10" fillId="8" borderId="0" xfId="0" applyNumberFormat="1" applyFont="1" applyFill="1" applyAlignment="1">
      <alignment horizontal="right"/>
    </xf>
    <xf numFmtId="10" fontId="9" fillId="8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5" borderId="0" xfId="0" applyFont="1" applyFill="1" applyAlignment="1">
      <alignment horizontal="center" vertical="center"/>
    </xf>
    <xf numFmtId="0" fontId="11" fillId="0" borderId="0" xfId="1"/>
    <xf numFmtId="0" fontId="0" fillId="0" borderId="0" xfId="0" applyFont="1"/>
    <xf numFmtId="0" fontId="12" fillId="0" borderId="0" xfId="1" applyFont="1"/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101-4D2C-88FD-3F3A53F695AF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101-4D2C-88FD-3F3A53F695AF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101-4D2C-88FD-3F3A53F695A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101-4D2C-88FD-3F3A53F695A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Earning__Per_Share!$C$3:$G$3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Earning__Per_Share!$C$8:$G$8</c:f>
              <c:numCache>
                <c:formatCode>General</c:formatCode>
                <c:ptCount val="5"/>
                <c:pt idx="0">
                  <c:v>16</c:v>
                </c:pt>
                <c:pt idx="1">
                  <c:v>19</c:v>
                </c:pt>
                <c:pt idx="2">
                  <c:v>21</c:v>
                </c:pt>
                <c:pt idx="3">
                  <c:v>23</c:v>
                </c:pt>
                <c:pt idx="4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01-4D2C-88FD-3F3A53F69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1736"/>
        <c:axId val="449430264"/>
      </c:lineChart>
      <c:catAx>
        <c:axId val="449421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0264"/>
        <c:crosses val="autoZero"/>
        <c:auto val="0"/>
        <c:lblAlgn val="ctr"/>
        <c:lblOffset val="100"/>
        <c:noMultiLvlLbl val="0"/>
      </c:catAx>
      <c:valAx>
        <c:axId val="449430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17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A9B-4FF8-8BB1-E225C8770D6D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A9B-4FF8-8BB1-E225C8770D6D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A9B-4FF8-8BB1-E225C8770D6D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EA9B-4FF8-8BB1-E225C8770D6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Return_On_Equity!$C$3:$G$3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Return_On_Equity!$C$8:$G$8</c:f>
              <c:numCache>
                <c:formatCode>0.00%</c:formatCode>
                <c:ptCount val="5"/>
                <c:pt idx="0">
                  <c:v>7.0000000000000007E-2</c:v>
                </c:pt>
                <c:pt idx="1">
                  <c:v>0.08</c:v>
                </c:pt>
                <c:pt idx="2">
                  <c:v>0.08</c:v>
                </c:pt>
                <c:pt idx="3">
                  <c:v>0.08</c:v>
                </c:pt>
                <c:pt idx="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A9B-4FF8-8BB1-E225C8770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670120"/>
        <c:axId val="558670448"/>
      </c:lineChart>
      <c:catAx>
        <c:axId val="558670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670448"/>
        <c:crosses val="autoZero"/>
        <c:auto val="0"/>
        <c:lblAlgn val="ctr"/>
        <c:lblOffset val="100"/>
        <c:noMultiLvlLbl val="0"/>
      </c:catAx>
      <c:valAx>
        <c:axId val="5586704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86701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Debt_Equity_Ratio!$C$3:$G$3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Debt_Equity_Ratio!$C$8:$G$8</c:f>
              <c:numCache>
                <c:formatCode>General</c:formatCode>
                <c:ptCount val="5"/>
                <c:pt idx="0">
                  <c:v>2.52</c:v>
                </c:pt>
                <c:pt idx="1">
                  <c:v>2.48</c:v>
                </c:pt>
                <c:pt idx="2">
                  <c:v>2.31</c:v>
                </c:pt>
                <c:pt idx="3">
                  <c:v>2.0499999999999998</c:v>
                </c:pt>
                <c:pt idx="4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02C-469F-8312-F6744FE89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779256"/>
        <c:axId val="627777616"/>
      </c:lineChart>
      <c:catAx>
        <c:axId val="627779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777616"/>
        <c:crosses val="autoZero"/>
        <c:auto val="0"/>
        <c:lblAlgn val="ctr"/>
        <c:lblOffset val="100"/>
        <c:noMultiLvlLbl val="0"/>
      </c:catAx>
      <c:valAx>
        <c:axId val="6277776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77792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38A-4966-9D69-53FFDDBD0533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38A-4966-9D69-53FFDDBD0533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38A-4966-9D69-53FFDDBD0533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438A-4966-9D69-53FFDDBD053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Current_Ratio!$C$3:$G$3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Current_Ratio!$C$8:$G$8</c:f>
              <c:numCache>
                <c:formatCode>General</c:formatCode>
                <c:ptCount val="5"/>
                <c:pt idx="0">
                  <c:v>0.9</c:v>
                </c:pt>
                <c:pt idx="1">
                  <c:v>1.08</c:v>
                </c:pt>
                <c:pt idx="2">
                  <c:v>1.45</c:v>
                </c:pt>
                <c:pt idx="3">
                  <c:v>1.85</c:v>
                </c:pt>
                <c:pt idx="4">
                  <c:v>3.53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38A-4966-9D69-53FFDDBD0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378304"/>
        <c:axId val="451378632"/>
      </c:lineChart>
      <c:catAx>
        <c:axId val="4513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378632"/>
        <c:crosses val="autoZero"/>
        <c:auto val="0"/>
        <c:lblAlgn val="ctr"/>
        <c:lblOffset val="100"/>
        <c:noMultiLvlLbl val="0"/>
      </c:catAx>
      <c:valAx>
        <c:axId val="451378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3783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247-4310-8E40-5A73919183AC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247-4310-8E40-5A73919183AC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D247-4310-8E40-5A73919183A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247-4310-8E40-5A73919183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Quick_Ratio!$C$3:$G$3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Quick_Ratio!$C$9:$G$9</c:f>
              <c:numCache>
                <c:formatCode>General</c:formatCode>
                <c:ptCount val="5"/>
                <c:pt idx="0">
                  <c:v>0.87</c:v>
                </c:pt>
                <c:pt idx="1">
                  <c:v>1.05</c:v>
                </c:pt>
                <c:pt idx="2">
                  <c:v>1.42</c:v>
                </c:pt>
                <c:pt idx="3">
                  <c:v>1.82</c:v>
                </c:pt>
                <c:pt idx="4">
                  <c:v>3.49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247-4310-8E40-5A7391918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025480"/>
        <c:axId val="448025152"/>
      </c:lineChart>
      <c:catAx>
        <c:axId val="448025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025152"/>
        <c:crosses val="autoZero"/>
        <c:auto val="0"/>
        <c:lblAlgn val="ctr"/>
        <c:lblOffset val="100"/>
        <c:noMultiLvlLbl val="0"/>
      </c:catAx>
      <c:valAx>
        <c:axId val="448025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0254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06D-40F2-8CAB-C0FF374EBE8B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06D-40F2-8CAB-C0FF374EBE8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Interest_Coverage_Ratio!$C$3:$G$3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Interest_Coverage_Ratio!$C$8:$G$8</c:f>
              <c:numCache>
                <c:formatCode>General</c:formatCode>
                <c:ptCount val="5"/>
                <c:pt idx="0">
                  <c:v>2.36</c:v>
                </c:pt>
                <c:pt idx="1">
                  <c:v>2.2999999999999998</c:v>
                </c:pt>
                <c:pt idx="2">
                  <c:v>2.2400000000000002</c:v>
                </c:pt>
                <c:pt idx="3">
                  <c:v>2.93</c:v>
                </c:pt>
                <c:pt idx="4">
                  <c:v>3.08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06D-40F2-8CAB-C0FF374EB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894408"/>
        <c:axId val="559894736"/>
      </c:lineChart>
      <c:catAx>
        <c:axId val="559894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894736"/>
        <c:crosses val="autoZero"/>
        <c:auto val="0"/>
        <c:lblAlgn val="ctr"/>
        <c:lblOffset val="100"/>
        <c:noMultiLvlLbl val="0"/>
      </c:catAx>
      <c:valAx>
        <c:axId val="559894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8944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73D-476F-B8C3-B32B85AE6137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73D-476F-B8C3-B32B85AE613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73D-476F-B8C3-B32B85AE613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373D-476F-B8C3-B32B85AE61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Material_Consumed!$C$3:$G$3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Material_Consumed!$C$8:$G$8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3D-476F-B8C3-B32B85AE61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025808"/>
        <c:axId val="442857376"/>
      </c:lineChart>
      <c:catAx>
        <c:axId val="448025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857376"/>
        <c:crosses val="autoZero"/>
        <c:auto val="0"/>
        <c:lblAlgn val="ctr"/>
        <c:lblOffset val="100"/>
        <c:noMultiLvlLbl val="0"/>
      </c:catAx>
      <c:valAx>
        <c:axId val="442857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0258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949-4EA7-8924-6AFD429FB4ED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949-4EA7-8924-6AFD429FB4ED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949-4EA7-8924-6AFD429FB4ED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5949-4EA7-8924-6AFD429FB4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Defensive_Interval_Ratio!$C$3:$G$3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Defensive_Interval_Ratio!$C$8:$G$8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49-4EA7-8924-6AFD429FB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3376"/>
        <c:axId val="449425672"/>
      </c:lineChart>
      <c:catAx>
        <c:axId val="449423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5672"/>
        <c:crosses val="autoZero"/>
        <c:auto val="0"/>
        <c:lblAlgn val="ctr"/>
        <c:lblOffset val="100"/>
        <c:noMultiLvlLbl val="0"/>
      </c:catAx>
      <c:valAx>
        <c:axId val="449425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33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611-4A9B-93A8-B8214612E2C2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611-4A9B-93A8-B8214612E2C2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7611-4A9B-93A8-B8214612E2C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611-4A9B-93A8-B8214612E2C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Purchases_Per_Day!$C$3:$G$3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Purchases_Per_Day!$C$8:$G$8</c:f>
              <c:numCache>
                <c:formatCode>General</c:formatCode>
                <c:ptCount val="5"/>
                <c:pt idx="0">
                  <c:v>2189.02</c:v>
                </c:pt>
                <c:pt idx="1">
                  <c:v>14680.19</c:v>
                </c:pt>
                <c:pt idx="2">
                  <c:v>28018.92</c:v>
                </c:pt>
                <c:pt idx="3">
                  <c:v>39283.96</c:v>
                </c:pt>
                <c:pt idx="4">
                  <c:v>63866.53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11-4A9B-93A8-B8214612E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4728"/>
        <c:axId val="364046696"/>
      </c:lineChart>
      <c:catAx>
        <c:axId val="36404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6696"/>
        <c:crosses val="autoZero"/>
        <c:auto val="0"/>
        <c:lblAlgn val="ctr"/>
        <c:lblOffset val="100"/>
        <c:noMultiLvlLbl val="0"/>
      </c:catAx>
      <c:valAx>
        <c:axId val="364046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4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F69-4F64-844A-B7616ADDD245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F69-4F64-844A-B7616ADDD245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F69-4F64-844A-B7616ADDD24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FF69-4F64-844A-B7616ADDD2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Asset_TurnOver_Ratio!$C$3:$G$3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Asset_TurnOver_Ratio!$C$8:$G$8</c:f>
              <c:numCache>
                <c:formatCode>General</c:formatCode>
                <c:ptCount val="5"/>
                <c:pt idx="0">
                  <c:v>0.13</c:v>
                </c:pt>
                <c:pt idx="1">
                  <c:v>0.14000000000000001</c:v>
                </c:pt>
                <c:pt idx="2">
                  <c:v>0.14000000000000001</c:v>
                </c:pt>
                <c:pt idx="3">
                  <c:v>0.15</c:v>
                </c:pt>
                <c:pt idx="4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F69-4F64-844A-B7616ADDD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1576"/>
        <c:axId val="449433872"/>
      </c:lineChart>
      <c:catAx>
        <c:axId val="449431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3872"/>
        <c:crosses val="autoZero"/>
        <c:auto val="0"/>
        <c:lblAlgn val="ctr"/>
        <c:lblOffset val="100"/>
        <c:noMultiLvlLbl val="0"/>
      </c:catAx>
      <c:valAx>
        <c:axId val="4494338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31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4E2-47ED-8252-63E36E404539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4E2-47ED-8252-63E36E40453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Inventory_TurnOver_Ratio!$C$8:$G$8</c:f>
              <c:numCache>
                <c:formatCode>General</c:formatCode>
                <c:ptCount val="5"/>
                <c:pt idx="0">
                  <c:v>28.5</c:v>
                </c:pt>
                <c:pt idx="1">
                  <c:v>27.93</c:v>
                </c:pt>
                <c:pt idx="2">
                  <c:v>25.67</c:v>
                </c:pt>
                <c:pt idx="3">
                  <c:v>28.75</c:v>
                </c:pt>
                <c:pt idx="4">
                  <c:v>30.66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4E2-47ED-8252-63E36E404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855736"/>
        <c:axId val="442856064"/>
      </c:lineChart>
      <c:catAx>
        <c:axId val="442855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856064"/>
        <c:crosses val="autoZero"/>
        <c:auto val="0"/>
        <c:lblAlgn val="ctr"/>
        <c:lblOffset val="100"/>
        <c:noMultiLvlLbl val="0"/>
      </c:catAx>
      <c:valAx>
        <c:axId val="4428560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28557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097-483D-93C2-8F67C6A099F4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097-483D-93C2-8F67C6A099F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Equity_Dividend_Per_Share!$C$3:$G$3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Equity_Dividend_Per_Share!$C$8:$G$8</c:f>
              <c:numCache>
                <c:formatCode>General</c:formatCode>
                <c:ptCount val="5"/>
                <c:pt idx="0">
                  <c:v>6.06</c:v>
                </c:pt>
                <c:pt idx="1">
                  <c:v>8.86</c:v>
                </c:pt>
                <c:pt idx="2">
                  <c:v>6.57</c:v>
                </c:pt>
                <c:pt idx="3">
                  <c:v>13.66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097-483D-93C2-8F67C6A09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2392"/>
        <c:axId val="449427312"/>
      </c:lineChart>
      <c:catAx>
        <c:axId val="449422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7312"/>
        <c:crosses val="autoZero"/>
        <c:auto val="0"/>
        <c:lblAlgn val="ctr"/>
        <c:lblOffset val="100"/>
        <c:noMultiLvlLbl val="0"/>
      </c:catAx>
      <c:valAx>
        <c:axId val="449427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23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AC7-422B-A3C1-805A85DFF68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Debtors_TurnOver_Ratio!$C$3:$G$3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Debtors_TurnOver_Ratio!$C$8:$G$8</c:f>
              <c:numCache>
                <c:formatCode>General</c:formatCode>
                <c:ptCount val="5"/>
                <c:pt idx="0">
                  <c:v>8.2200000000000006</c:v>
                </c:pt>
                <c:pt idx="1">
                  <c:v>7.37</c:v>
                </c:pt>
                <c:pt idx="2">
                  <c:v>7.3</c:v>
                </c:pt>
                <c:pt idx="3">
                  <c:v>10.69</c:v>
                </c:pt>
                <c:pt idx="4">
                  <c:v>4.3899999999999997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C7-422B-A3C1-805A85DFF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6576"/>
        <c:axId val="104319400"/>
      </c:lineChart>
      <c:catAx>
        <c:axId val="44076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19400"/>
        <c:crosses val="autoZero"/>
        <c:auto val="0"/>
        <c:lblAlgn val="ctr"/>
        <c:lblOffset val="100"/>
        <c:noMultiLvlLbl val="0"/>
      </c:catAx>
      <c:valAx>
        <c:axId val="104319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0766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8D7-4EC2-9B37-D6FCAD6C1AD0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8D7-4EC2-9B37-D6FCAD6C1AD0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38D7-4EC2-9B37-D6FCAD6C1AD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Fixed_Assets_TurnOver_Ratio!$C$3:$G$3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Fixed_Assets_TurnOver_Ratio!$C$8:$G$8</c:f>
              <c:numCache>
                <c:formatCode>General</c:formatCode>
                <c:ptCount val="5"/>
                <c:pt idx="0">
                  <c:v>0.19</c:v>
                </c:pt>
                <c:pt idx="1">
                  <c:v>0.2</c:v>
                </c:pt>
                <c:pt idx="2">
                  <c:v>0.21</c:v>
                </c:pt>
                <c:pt idx="3">
                  <c:v>0.22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D7-4EC2-9B37-D6FCAD6C1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4095208"/>
        <c:axId val="274096520"/>
      </c:lineChart>
      <c:catAx>
        <c:axId val="274095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74096520"/>
        <c:crosses val="autoZero"/>
        <c:auto val="0"/>
        <c:lblAlgn val="ctr"/>
        <c:lblOffset val="100"/>
        <c:noMultiLvlLbl val="0"/>
      </c:catAx>
      <c:valAx>
        <c:axId val="274096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740952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8D4-4A27-A451-B60F92BE2166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8D4-4A27-A451-B60F92BE2166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98D4-4A27-A451-B60F92BE2166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8D4-4A27-A451-B60F92BE21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Payable_TurnOver_Ratio!$C$8:$G$8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D4-4A27-A451-B60F92BE2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778928"/>
        <c:axId val="627780568"/>
      </c:lineChart>
      <c:catAx>
        <c:axId val="62777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780568"/>
        <c:crosses val="autoZero"/>
        <c:auto val="0"/>
        <c:lblAlgn val="ctr"/>
        <c:lblOffset val="100"/>
        <c:noMultiLvlLbl val="0"/>
      </c:catAx>
      <c:valAx>
        <c:axId val="627780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77789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D46-4223-9C12-4C02397024DB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D46-4223-9C12-4C02397024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Inventory_Days!$C$8:$G$8</c:f>
              <c:numCache>
                <c:formatCode>General</c:formatCode>
                <c:ptCount val="5"/>
                <c:pt idx="0">
                  <c:v>12.81</c:v>
                </c:pt>
                <c:pt idx="1">
                  <c:v>13.07</c:v>
                </c:pt>
                <c:pt idx="2">
                  <c:v>14.22</c:v>
                </c:pt>
                <c:pt idx="3">
                  <c:v>12.7</c:v>
                </c:pt>
                <c:pt idx="4">
                  <c:v>11.9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46-4223-9C12-4C0239702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1248"/>
        <c:axId val="449431904"/>
      </c:lineChart>
      <c:catAx>
        <c:axId val="44943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1904"/>
        <c:crosses val="autoZero"/>
        <c:auto val="0"/>
        <c:lblAlgn val="ctr"/>
        <c:lblOffset val="100"/>
        <c:noMultiLvlLbl val="0"/>
      </c:catAx>
      <c:valAx>
        <c:axId val="4494319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312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741-4C2B-81CF-19974CDD966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741-4C2B-81CF-19974CDD966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5741-4C2B-81CF-19974CDD966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741-4C2B-81CF-19974CDD9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Payable_Days!$C$8:$G$8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41-4C2B-81CF-19974CDD9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668048"/>
        <c:axId val="546671328"/>
      </c:lineChart>
      <c:catAx>
        <c:axId val="54666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71328"/>
        <c:crosses val="autoZero"/>
        <c:auto val="0"/>
        <c:lblAlgn val="ctr"/>
        <c:lblOffset val="100"/>
        <c:noMultiLvlLbl val="0"/>
      </c:catAx>
      <c:valAx>
        <c:axId val="5466713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6668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C0A-48E3-B0F1-539C2D103F0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C0A-48E3-B0F1-539C2D103F0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7C0A-48E3-B0F1-539C2D103F0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Receivable_Days!$C$3:$G$3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Receivable_Days!$C$8:$G$8</c:f>
              <c:numCache>
                <c:formatCode>General</c:formatCode>
                <c:ptCount val="5"/>
                <c:pt idx="0">
                  <c:v>44.43</c:v>
                </c:pt>
                <c:pt idx="1">
                  <c:v>49.55</c:v>
                </c:pt>
                <c:pt idx="2">
                  <c:v>50</c:v>
                </c:pt>
                <c:pt idx="3">
                  <c:v>34.14</c:v>
                </c:pt>
                <c:pt idx="4">
                  <c:v>83.1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0A-48E3-B0F1-539C2D103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665752"/>
        <c:axId val="546666408"/>
      </c:lineChart>
      <c:catAx>
        <c:axId val="546665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66408"/>
        <c:crosses val="autoZero"/>
        <c:auto val="0"/>
        <c:lblAlgn val="ctr"/>
        <c:lblOffset val="100"/>
        <c:noMultiLvlLbl val="0"/>
      </c:catAx>
      <c:valAx>
        <c:axId val="546666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66657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AA4-4243-9544-169E4FDFB7C6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AA4-4243-9544-169E4FDFB7C6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3AA4-4243-9544-169E4FDFB7C6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AA4-4243-9544-169E4FDFB7C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Operating_Cycle!$C$3:$G$3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Operating_Cycle!$C$12:$G$12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A4-4243-9544-169E4FDFB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825320"/>
        <c:axId val="448826304"/>
      </c:lineChart>
      <c:catAx>
        <c:axId val="448825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826304"/>
        <c:crosses val="autoZero"/>
        <c:auto val="0"/>
        <c:lblAlgn val="ctr"/>
        <c:lblOffset val="100"/>
        <c:noMultiLvlLbl val="0"/>
      </c:catAx>
      <c:valAx>
        <c:axId val="4488263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88253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368-4F28-BD41-97F95C6DD53E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368-4F28-BD41-97F95C6DD53E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5368-4F28-BD41-97F95C6DD53E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368-4F28-BD41-97F95C6DD53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Cash_Conversion_Cycle_Days!$C$3:$G$3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Cash_Conversion_Cycle_Days!$C$16:$G$16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68-4F28-BD41-97F95C6DD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669032"/>
        <c:axId val="546669360"/>
      </c:lineChart>
      <c:catAx>
        <c:axId val="546669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69360"/>
        <c:crosses val="autoZero"/>
        <c:auto val="0"/>
        <c:lblAlgn val="ctr"/>
        <c:lblOffset val="100"/>
        <c:noMultiLvlLbl val="0"/>
      </c:catAx>
      <c:valAx>
        <c:axId val="5466693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66690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54425.990000000005</c:v>
                </c:pt>
                <c:pt idx="1">
                  <c:v>58648.387289112026</c:v>
                </c:pt>
                <c:pt idx="2">
                  <c:v>64854.312490653421</c:v>
                </c:pt>
                <c:pt idx="3">
                  <c:v>69516.152610627993</c:v>
                </c:pt>
                <c:pt idx="4">
                  <c:v>88006.638599458325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B5-4061-A43D-C4C8857B8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679528"/>
        <c:axId val="546675592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225316.05000000005</c:v>
                </c:pt>
                <c:pt idx="1">
                  <c:v>246917.58728911204</c:v>
                </c:pt>
                <c:pt idx="2">
                  <c:v>256812.18249065342</c:v>
                </c:pt>
                <c:pt idx="3">
                  <c:v>255329.20261062798</c:v>
                </c:pt>
                <c:pt idx="4">
                  <c:v>262702.93859945831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7B5-4061-A43D-C4C8857B8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679528"/>
        <c:axId val="546675592"/>
      </c:lineChart>
      <c:catAx>
        <c:axId val="546679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75592"/>
        <c:crosses val="autoZero"/>
        <c:auto val="1"/>
        <c:lblAlgn val="ctr"/>
        <c:lblOffset val="100"/>
        <c:noMultiLvlLbl val="0"/>
      </c:catAx>
      <c:valAx>
        <c:axId val="546675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7952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26546.105947856136</c:v>
                </c:pt>
                <c:pt idx="1">
                  <c:v>30595.807289112017</c:v>
                </c:pt>
                <c:pt idx="2">
                  <c:v>32925.275201541401</c:v>
                </c:pt>
                <c:pt idx="3">
                  <c:v>35838.920119974566</c:v>
                </c:pt>
                <c:pt idx="4">
                  <c:v>37649.48598883034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07-44F1-90AA-11CB6A33ABC1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17315.115947856139</c:v>
                </c:pt>
                <c:pt idx="1">
                  <c:v>20054.857289112017</c:v>
                </c:pt>
                <c:pt idx="2">
                  <c:v>21318.2352015414</c:v>
                </c:pt>
                <c:pt idx="3">
                  <c:v>23799.730119974563</c:v>
                </c:pt>
                <c:pt idx="4">
                  <c:v>24777.82598883034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07-44F1-90AA-11CB6A33A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972152"/>
        <c:axId val="451971496"/>
      </c:barChart>
      <c:catAx>
        <c:axId val="451972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971496"/>
        <c:crosses val="autoZero"/>
        <c:auto val="1"/>
        <c:lblAlgn val="ctr"/>
        <c:lblOffset val="100"/>
        <c:noMultiLvlLbl val="0"/>
      </c:catAx>
      <c:valAx>
        <c:axId val="451971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97215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3C7-4D25-BE4D-AFB610E0BD54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3C7-4D25-BE4D-AFB610E0BD54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3C7-4D25-BE4D-AFB610E0BD5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Book_Value__Per_Share!$C$3:$G$3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Book_Value__Per_Share!$C$8:$G$8</c:f>
              <c:numCache>
                <c:formatCode>General</c:formatCode>
                <c:ptCount val="5"/>
                <c:pt idx="0">
                  <c:v>108.74</c:v>
                </c:pt>
                <c:pt idx="1">
                  <c:v>115.14</c:v>
                </c:pt>
                <c:pt idx="2">
                  <c:v>136.72</c:v>
                </c:pt>
                <c:pt idx="3">
                  <c:v>139.22999999999999</c:v>
                </c:pt>
                <c:pt idx="4">
                  <c:v>126.12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C7-4D25-BE4D-AFB610E0B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3952"/>
        <c:axId val="553596248"/>
      </c:lineChart>
      <c:catAx>
        <c:axId val="55359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6248"/>
        <c:crosses val="autoZero"/>
        <c:auto val="0"/>
        <c:lblAlgn val="ctr"/>
        <c:lblOffset val="100"/>
        <c:noMultiLvlLbl val="0"/>
      </c:catAx>
      <c:valAx>
        <c:axId val="553596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39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30225.239999999998</c:v>
                </c:pt>
                <c:pt idx="1">
                  <c:v>46034.027289112026</c:v>
                </c:pt>
                <c:pt idx="2">
                  <c:v>61512.55249065339</c:v>
                </c:pt>
                <c:pt idx="3">
                  <c:v>79625.062610627996</c:v>
                </c:pt>
                <c:pt idx="4">
                  <c:v>101347.69859945832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5B-47B4-8881-6BAEECD27869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33706.89</c:v>
                </c:pt>
                <c:pt idx="1">
                  <c:v>42621.210000000006</c:v>
                </c:pt>
                <c:pt idx="2">
                  <c:v>42307.979999999996</c:v>
                </c:pt>
                <c:pt idx="3">
                  <c:v>43001.64</c:v>
                </c:pt>
                <c:pt idx="4">
                  <c:v>28674.050000000003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5B-47B4-8881-6BAEECD27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676248"/>
        <c:axId val="546676904"/>
      </c:barChart>
      <c:catAx>
        <c:axId val="546676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76904"/>
        <c:crosses val="autoZero"/>
        <c:auto val="1"/>
        <c:lblAlgn val="ctr"/>
        <c:lblOffset val="100"/>
        <c:noMultiLvlLbl val="0"/>
      </c:catAx>
      <c:valAx>
        <c:axId val="5466769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762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Long_And_Short_Term_Provisions!$C$4:$G$4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Long_And_Short_Term_Provisions!$C$5:$G$5</c:f>
              <c:numCache>
                <c:formatCode>.00</c:formatCode>
                <c:ptCount val="5"/>
                <c:pt idx="0">
                  <c:v>716.87</c:v>
                </c:pt>
                <c:pt idx="1">
                  <c:v>368.15</c:v>
                </c:pt>
                <c:pt idx="2">
                  <c:v>424.71</c:v>
                </c:pt>
                <c:pt idx="3">
                  <c:v>462.02</c:v>
                </c:pt>
                <c:pt idx="4">
                  <c:v>517.14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D8-43D4-B47D-2FB246220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756056"/>
        <c:axId val="546756384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Long_And_Short_Term_Provisions!$C$6:$G$6</c:f>
              <c:numCache>
                <c:formatCode>.00</c:formatCode>
                <c:ptCount val="5"/>
                <c:pt idx="0">
                  <c:v>1059.5999999999999</c:v>
                </c:pt>
                <c:pt idx="1">
                  <c:v>701.14</c:v>
                </c:pt>
                <c:pt idx="2">
                  <c:v>742.04</c:v>
                </c:pt>
                <c:pt idx="3">
                  <c:v>845.12</c:v>
                </c:pt>
                <c:pt idx="4">
                  <c:v>1167.1199999999999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2D8-43D4-B47D-2FB246220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757368"/>
        <c:axId val="546759664"/>
      </c:lineChart>
      <c:catAx>
        <c:axId val="546756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6756384"/>
        <c:crosses val="autoZero"/>
        <c:auto val="1"/>
        <c:lblAlgn val="ctr"/>
        <c:lblOffset val="100"/>
        <c:noMultiLvlLbl val="0"/>
      </c:catAx>
      <c:valAx>
        <c:axId val="546756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756056"/>
        <c:crosses val="autoZero"/>
        <c:crossBetween val="between"/>
      </c:valAx>
      <c:valAx>
        <c:axId val="54675966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6757368"/>
        <c:crosses val="max"/>
        <c:crossBetween val="between"/>
      </c:valAx>
      <c:catAx>
        <c:axId val="546757368"/>
        <c:scaling>
          <c:orientation val="minMax"/>
        </c:scaling>
        <c:delete val="1"/>
        <c:axPos val="b"/>
        <c:majorTickMark val="out"/>
        <c:minorTickMark val="none"/>
        <c:tickLblPos val="nextTo"/>
        <c:crossAx val="546759664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4B-4004-9125-F4AE45677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824992"/>
        <c:axId val="448800448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4B-4004-9125-F4AE45677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801104"/>
        <c:axId val="448803728"/>
      </c:lineChart>
      <c:catAx>
        <c:axId val="44882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8800448"/>
        <c:crosses val="autoZero"/>
        <c:auto val="1"/>
        <c:lblAlgn val="ctr"/>
        <c:lblOffset val="100"/>
        <c:noMultiLvlLbl val="0"/>
      </c:catAx>
      <c:valAx>
        <c:axId val="4488004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824992"/>
        <c:crosses val="autoZero"/>
        <c:crossBetween val="between"/>
      </c:valAx>
      <c:valAx>
        <c:axId val="44880372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8801104"/>
        <c:crosses val="max"/>
        <c:crossBetween val="between"/>
      </c:valAx>
      <c:catAx>
        <c:axId val="448801104"/>
        <c:scaling>
          <c:orientation val="minMax"/>
        </c:scaling>
        <c:delete val="1"/>
        <c:axPos val="b"/>
        <c:majorTickMark val="out"/>
        <c:minorTickMark val="none"/>
        <c:tickLblPos val="nextTo"/>
        <c:crossAx val="44880372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Gross_Sales_In_Total_Income!$C$4:$G$4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Gross_Sales_In_Total_Income!$C$5:$G$5</c:f>
              <c:numCache>
                <c:formatCode>.00</c:formatCode>
                <c:ptCount val="5"/>
                <c:pt idx="0">
                  <c:v>29904.959999999999</c:v>
                </c:pt>
                <c:pt idx="1">
                  <c:v>34831.17</c:v>
                </c:pt>
                <c:pt idx="2">
                  <c:v>36800.129999999997</c:v>
                </c:pt>
                <c:pt idx="3">
                  <c:v>39300.83</c:v>
                </c:pt>
                <c:pt idx="4">
                  <c:v>41616.339999999997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BB-4864-8DCD-726DFD179D14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Gross_Sales_In_Total_Income!$C$6:$G$6</c:f>
              <c:numCache>
                <c:formatCode>.00</c:formatCode>
                <c:ptCount val="5"/>
                <c:pt idx="0">
                  <c:v>30382.895947856137</c:v>
                </c:pt>
                <c:pt idx="1">
                  <c:v>35434.387289112019</c:v>
                </c:pt>
                <c:pt idx="2">
                  <c:v>37728.575201541404</c:v>
                </c:pt>
                <c:pt idx="3">
                  <c:v>40485.600119974566</c:v>
                </c:pt>
                <c:pt idx="4">
                  <c:v>42698.925988830342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BB-4864-8DCD-726DFD179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2962080"/>
        <c:axId val="442964376"/>
      </c:barChart>
      <c:catAx>
        <c:axId val="44296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964376"/>
        <c:crosses val="autoZero"/>
        <c:auto val="1"/>
        <c:lblAlgn val="ctr"/>
        <c:lblOffset val="100"/>
        <c:noMultiLvlLbl val="0"/>
      </c:catAx>
      <c:valAx>
        <c:axId val="442964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96208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225316.05000000005</c:v>
                </c:pt>
                <c:pt idx="1">
                  <c:v>246917.58728911204</c:v>
                </c:pt>
                <c:pt idx="2">
                  <c:v>256812.18249065342</c:v>
                </c:pt>
                <c:pt idx="3">
                  <c:v>255329.20261062798</c:v>
                </c:pt>
                <c:pt idx="4">
                  <c:v>262702.93859945831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19-45F0-8C6A-8606911521E4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137183.17000000001</c:v>
                </c:pt>
                <c:pt idx="1">
                  <c:v>145647.99000000002</c:v>
                </c:pt>
                <c:pt idx="2">
                  <c:v>149649.88999999998</c:v>
                </c:pt>
                <c:pt idx="3">
                  <c:v>142811.41</c:v>
                </c:pt>
                <c:pt idx="4">
                  <c:v>146022.25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19-45F0-8C6A-860691152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1495200"/>
        <c:axId val="441494544"/>
      </c:barChart>
      <c:catAx>
        <c:axId val="44149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494544"/>
        <c:crosses val="autoZero"/>
        <c:auto val="1"/>
        <c:lblAlgn val="ctr"/>
        <c:lblOffset val="100"/>
        <c:noMultiLvlLbl val="0"/>
      </c:catAx>
      <c:valAx>
        <c:axId val="441494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49520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225316.05000000005</c:v>
                </c:pt>
                <c:pt idx="1">
                  <c:v>246917.58728911204</c:v>
                </c:pt>
                <c:pt idx="2">
                  <c:v>256812.18249065342</c:v>
                </c:pt>
                <c:pt idx="3">
                  <c:v>255329.20261062798</c:v>
                </c:pt>
                <c:pt idx="4">
                  <c:v>262702.93859945831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8-4D23-9CA7-511BEEBF56BD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33706.89</c:v>
                </c:pt>
                <c:pt idx="1">
                  <c:v>42621.210000000006</c:v>
                </c:pt>
                <c:pt idx="2">
                  <c:v>42307.979999999996</c:v>
                </c:pt>
                <c:pt idx="3">
                  <c:v>43001.64</c:v>
                </c:pt>
                <c:pt idx="4">
                  <c:v>28674.050000000003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8-4D23-9CA7-511BEEBF5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1224872"/>
        <c:axId val="551226512"/>
      </c:barChart>
      <c:catAx>
        <c:axId val="55122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226512"/>
        <c:crosses val="autoZero"/>
        <c:auto val="1"/>
        <c:lblAlgn val="ctr"/>
        <c:lblOffset val="100"/>
        <c:noMultiLvlLbl val="0"/>
      </c:catAx>
      <c:valAx>
        <c:axId val="551226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22487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225316.05</c:v>
                </c:pt>
                <c:pt idx="1">
                  <c:v>246917.58728911204</c:v>
                </c:pt>
                <c:pt idx="2">
                  <c:v>256812.18249065339</c:v>
                </c:pt>
                <c:pt idx="3">
                  <c:v>255329.20261062798</c:v>
                </c:pt>
                <c:pt idx="4">
                  <c:v>262702.93859945831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83-4E79-AB3C-8865A67C72DD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195090.81</c:v>
                </c:pt>
                <c:pt idx="1">
                  <c:v>200883.56</c:v>
                </c:pt>
                <c:pt idx="2">
                  <c:v>195299.63</c:v>
                </c:pt>
                <c:pt idx="3">
                  <c:v>175704.13999999998</c:v>
                </c:pt>
                <c:pt idx="4">
                  <c:v>161355.24000000002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83-4E79-AB3C-8865A67C7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8804056"/>
        <c:axId val="448797496"/>
      </c:barChart>
      <c:catAx>
        <c:axId val="448804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797496"/>
        <c:crosses val="autoZero"/>
        <c:auto val="1"/>
        <c:lblAlgn val="ctr"/>
        <c:lblOffset val="100"/>
        <c:noMultiLvlLbl val="0"/>
      </c:catAx>
      <c:valAx>
        <c:axId val="448797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80405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225316.05</c:v>
                </c:pt>
                <c:pt idx="1">
                  <c:v>246917.58728911204</c:v>
                </c:pt>
                <c:pt idx="2">
                  <c:v>256812.18249065339</c:v>
                </c:pt>
                <c:pt idx="3">
                  <c:v>255329.20261062798</c:v>
                </c:pt>
                <c:pt idx="4">
                  <c:v>262702.93859945831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43-4347-A9CD-AE4AB4F7C495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30225.239999999998</c:v>
                </c:pt>
                <c:pt idx="1">
                  <c:v>46034.027289112026</c:v>
                </c:pt>
                <c:pt idx="2">
                  <c:v>61512.55249065339</c:v>
                </c:pt>
                <c:pt idx="3">
                  <c:v>79625.062610627996</c:v>
                </c:pt>
                <c:pt idx="4">
                  <c:v>101347.69859945832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43-4347-A9CD-AE4AB4F7C4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9763424"/>
        <c:axId val="559759160"/>
      </c:barChart>
      <c:catAx>
        <c:axId val="55976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759160"/>
        <c:crosses val="autoZero"/>
        <c:auto val="1"/>
        <c:lblAlgn val="ctr"/>
        <c:lblOffset val="100"/>
        <c:noMultiLvlLbl val="0"/>
      </c:catAx>
      <c:valAx>
        <c:axId val="5597591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76342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3836.79</c:v>
                </c:pt>
                <c:pt idx="1">
                  <c:v>4838.58</c:v>
                </c:pt>
                <c:pt idx="2">
                  <c:v>4803.3</c:v>
                </c:pt>
                <c:pt idx="3">
                  <c:v>4646.68</c:v>
                </c:pt>
                <c:pt idx="4">
                  <c:v>5049.4400000000005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DE-440B-A1B2-D04F7990F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4786096"/>
        <c:axId val="624787408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30382.895947856137</c:v>
                </c:pt>
                <c:pt idx="1">
                  <c:v>35434.387289112019</c:v>
                </c:pt>
                <c:pt idx="2">
                  <c:v>37728.575201541404</c:v>
                </c:pt>
                <c:pt idx="3">
                  <c:v>40485.600119974566</c:v>
                </c:pt>
                <c:pt idx="4">
                  <c:v>42698.925988830342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FDE-440B-A1B2-D04F7990F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4790688"/>
        <c:axId val="624788392"/>
      </c:lineChart>
      <c:catAx>
        <c:axId val="62478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787408"/>
        <c:crosses val="autoZero"/>
        <c:auto val="1"/>
        <c:lblAlgn val="ctr"/>
        <c:lblOffset val="100"/>
        <c:noMultiLvlLbl val="0"/>
      </c:catAx>
      <c:valAx>
        <c:axId val="624787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786096"/>
        <c:crosses val="autoZero"/>
        <c:crossBetween val="between"/>
      </c:valAx>
      <c:valAx>
        <c:axId val="62478839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4790688"/>
        <c:crosses val="max"/>
        <c:crossBetween val="between"/>
      </c:valAx>
      <c:catAx>
        <c:axId val="624790688"/>
        <c:scaling>
          <c:orientation val="minMax"/>
        </c:scaling>
        <c:delete val="1"/>
        <c:axPos val="b"/>
        <c:majorTickMark val="out"/>
        <c:minorTickMark val="none"/>
        <c:tickLblPos val="nextTo"/>
        <c:crossAx val="624788392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Net_Profit_CF_To_Balance_Sheet!$C$4:$G$4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Net_Profit_CF_To_Balance_Sheet!$C$5:$G$5</c:f>
              <c:numCache>
                <c:formatCode>.00</c:formatCode>
                <c:ptCount val="5"/>
                <c:pt idx="0">
                  <c:v>4348.6359478561399</c:v>
                </c:pt>
                <c:pt idx="1">
                  <c:v>4222.3972891120184</c:v>
                </c:pt>
                <c:pt idx="2">
                  <c:v>6205.9252015413986</c:v>
                </c:pt>
                <c:pt idx="3">
                  <c:v>4661.8401199745658</c:v>
                </c:pt>
                <c:pt idx="4">
                  <c:v>16746.625988830339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87-4852-B940-F6E865561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019560"/>
        <c:axId val="558016936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Net_Profit_CF_To_Balance_Sheet!$C$6:$G$6</c:f>
              <c:numCache>
                <c:formatCode>.00</c:formatCode>
                <c:ptCount val="5"/>
                <c:pt idx="0">
                  <c:v>8008.4159478561396</c:v>
                </c:pt>
                <c:pt idx="1">
                  <c:v>9677.7672891120183</c:v>
                </c:pt>
                <c:pt idx="2">
                  <c:v>9961.8852015413995</c:v>
                </c:pt>
                <c:pt idx="3">
                  <c:v>11483.830119974566</c:v>
                </c:pt>
                <c:pt idx="4">
                  <c:v>16746.625988830339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87-4852-B940-F6E865561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017592"/>
        <c:axId val="558014968"/>
      </c:lineChart>
      <c:catAx>
        <c:axId val="558019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016936"/>
        <c:crosses val="autoZero"/>
        <c:auto val="1"/>
        <c:lblAlgn val="ctr"/>
        <c:lblOffset val="100"/>
        <c:noMultiLvlLbl val="0"/>
      </c:catAx>
      <c:valAx>
        <c:axId val="558016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019560"/>
        <c:crosses val="autoZero"/>
        <c:crossBetween val="between"/>
      </c:valAx>
      <c:valAx>
        <c:axId val="55801496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8017592"/>
        <c:crosses val="max"/>
        <c:crossBetween val="between"/>
      </c:valAx>
      <c:catAx>
        <c:axId val="558017592"/>
        <c:scaling>
          <c:orientation val="minMax"/>
        </c:scaling>
        <c:delete val="1"/>
        <c:axPos val="b"/>
        <c:majorTickMark val="out"/>
        <c:minorTickMark val="none"/>
        <c:tickLblPos val="nextTo"/>
        <c:crossAx val="55801496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D0A-4358-B7F1-8120A5BCFB1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D0A-4358-B7F1-8120A5BCFB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Dividend_Pay_Out_Ratio!$C$3:$G$3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Dividend_Pay_Out_Ratio!$C$12:$G$12</c:f>
              <c:numCache>
                <c:formatCode>General</c:formatCode>
                <c:ptCount val="5"/>
                <c:pt idx="0">
                  <c:v>0.38</c:v>
                </c:pt>
                <c:pt idx="1">
                  <c:v>0.47</c:v>
                </c:pt>
                <c:pt idx="2">
                  <c:v>0.31</c:v>
                </c:pt>
                <c:pt idx="3">
                  <c:v>0.59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D0A-4358-B7F1-8120A5BCF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6552"/>
        <c:axId val="553816224"/>
      </c:lineChart>
      <c:catAx>
        <c:axId val="553816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6224"/>
        <c:crosses val="autoZero"/>
        <c:auto val="0"/>
        <c:lblAlgn val="ctr"/>
        <c:lblOffset val="100"/>
        <c:noMultiLvlLbl val="0"/>
      </c:catAx>
      <c:valAx>
        <c:axId val="553816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65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9B0-43FD-A14A-FCD898D20671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9B0-43FD-A14A-FCD898D2067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Dividend_Retention_Ratio!$C$3:$G$3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Dividend_Retention_Ratio!$C$9:$G$9</c:f>
              <c:numCache>
                <c:formatCode>0.00%</c:formatCode>
                <c:ptCount val="5"/>
                <c:pt idx="0">
                  <c:v>-5.0599999999999996</c:v>
                </c:pt>
                <c:pt idx="1">
                  <c:v>-7.8599999999999994</c:v>
                </c:pt>
                <c:pt idx="2">
                  <c:v>-5.57</c:v>
                </c:pt>
                <c:pt idx="3">
                  <c:v>-12.66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9B0-43FD-A14A-FCD898D20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1368"/>
        <c:axId val="548322152"/>
      </c:lineChart>
      <c:catAx>
        <c:axId val="549541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2152"/>
        <c:crosses val="autoZero"/>
        <c:auto val="0"/>
        <c:lblAlgn val="ctr"/>
        <c:lblOffset val="100"/>
        <c:noMultiLvlLbl val="0"/>
      </c:catAx>
      <c:valAx>
        <c:axId val="548322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495413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2EE-4472-A32B-D26F8636B555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2EE-4472-A32B-D26F8636B555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2EE-4472-A32B-D26F8636B55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2EE-4472-A32B-D26F8636B55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Gross_Profit!$C$8:$G$8</c:f>
              <c:numCache>
                <c:formatCode>.00</c:formatCode>
                <c:ptCount val="5"/>
                <c:pt idx="0">
                  <c:v>29904.959999999999</c:v>
                </c:pt>
                <c:pt idx="1">
                  <c:v>34831.17</c:v>
                </c:pt>
                <c:pt idx="2">
                  <c:v>36800.129999999997</c:v>
                </c:pt>
                <c:pt idx="3">
                  <c:v>39300.83</c:v>
                </c:pt>
                <c:pt idx="4">
                  <c:v>41616.339999999997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EE-4472-A32B-D26F8636B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9848"/>
        <c:axId val="553646240"/>
      </c:lineChart>
      <c:catAx>
        <c:axId val="553649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6240"/>
        <c:crosses val="autoZero"/>
        <c:auto val="0"/>
        <c:lblAlgn val="ctr"/>
        <c:lblOffset val="100"/>
        <c:noMultiLvlLbl val="0"/>
      </c:catAx>
      <c:valAx>
        <c:axId val="553646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36498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876-4121-B9B1-E0C5098DFE3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876-4121-B9B1-E0C5098DFE3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876-4121-B9B1-E0C5098DFE3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C876-4121-B9B1-E0C5098DFE3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Net_Profit!$C$8:$G$8</c:f>
              <c:numCache>
                <c:formatCode>.00</c:formatCode>
                <c:ptCount val="5"/>
                <c:pt idx="0">
                  <c:v>26068.17</c:v>
                </c:pt>
                <c:pt idx="1">
                  <c:v>29992.59</c:v>
                </c:pt>
                <c:pt idx="2">
                  <c:v>31996.83</c:v>
                </c:pt>
                <c:pt idx="3">
                  <c:v>34654.15</c:v>
                </c:pt>
                <c:pt idx="4">
                  <c:v>36566.9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876-4121-B9B1-E0C5098DF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2352"/>
        <c:axId val="548324776"/>
      </c:lineChart>
      <c:catAx>
        <c:axId val="54954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4776"/>
        <c:crosses val="autoZero"/>
        <c:auto val="0"/>
        <c:lblAlgn val="ctr"/>
        <c:lblOffset val="100"/>
        <c:noMultiLvlLbl val="0"/>
      </c:catAx>
      <c:valAx>
        <c:axId val="5483247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95423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988-410B-91AF-A10C88738A50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988-410B-91AF-A10C88738A50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988-410B-91AF-A10C88738A50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B988-410B-91AF-A10C88738A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Return_On_Assets!$C$3:$G$3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Return_On_Assets!$C$8:$G$8</c:f>
              <c:numCache>
                <c:formatCode>0.00%</c:formatCode>
                <c:ptCount val="5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88-410B-91AF-A10C88738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262800"/>
        <c:axId val="450261488"/>
      </c:lineChart>
      <c:catAx>
        <c:axId val="45026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261488"/>
        <c:crosses val="autoZero"/>
        <c:auto val="0"/>
        <c:lblAlgn val="ctr"/>
        <c:lblOffset val="100"/>
        <c:noMultiLvlLbl val="0"/>
      </c:catAx>
      <c:valAx>
        <c:axId val="4502614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502628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3FE-4F90-8E26-9EA647CF2691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3FE-4F90-8E26-9EA647CF2691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33FE-4F90-8E26-9EA647CF2691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3FE-4F90-8E26-9EA647CF26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Return_On_Capital_Employeed!$C$3:$G$3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Return_On_Capital_Employeed!$C$9:$G$9</c:f>
              <c:numCache>
                <c:formatCode>0.00%</c:formatCode>
                <c:ptCount val="5"/>
                <c:pt idx="0">
                  <c:v>0.06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3FE-4F90-8E26-9EA647CF2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8624"/>
        <c:axId val="449428952"/>
      </c:lineChart>
      <c:catAx>
        <c:axId val="44942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8952"/>
        <c:crosses val="autoZero"/>
        <c:auto val="0"/>
        <c:lblAlgn val="ctr"/>
        <c:lblOffset val="100"/>
        <c:noMultiLvlLbl val="0"/>
      </c:catAx>
      <c:valAx>
        <c:axId val="449428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86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77DDA3-B962-505F-D095-5C63CC2AF1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F1E10E-CA76-B2ED-E1A7-F04CDC9D14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099339-18F8-448F-3822-2820C47BCB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D4AC87-7255-6679-C302-CDB87D940B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86BCDC-B76C-9363-5026-55A9710291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44AE46-1C6C-CBBB-C3B1-F370E20D3C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320F17-F5EA-4942-6F47-EB354F86C3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6ABA57-C7D4-F48E-316E-C4B35CCE3C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9F1C57-646D-379E-433C-F92390C10D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61E1B3-55C1-42F9-407D-1A9E4EDE6C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246830-435B-FC60-F0A1-46313BC251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443F80-EDE2-675E-29EC-E402B76D8D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C2EA50-A34C-D270-F88E-A461268CC3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C942D6-5D05-4B08-DE26-AB1D3EA4F7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05E1C8-8051-D724-F9C8-BB266BF474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8C24DD-DEDD-A457-C725-20EFFDCCC0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B92C35-6109-5B6B-FAE3-93EB1C2E85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9D8AA3-26A6-AED6-FE85-7E18AB18AF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A693BE-712D-5A18-FB26-2D50411306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E414C2-4A15-519B-9C36-0B28BA3F37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E4CC5C05-3270-A178-41CD-0A2F1141F0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2B27C5AC-C2B0-BC2A-A3AF-D21EA1A399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41BFBC-F5FC-8CBE-73B8-DF3F7461DC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0F319845-25C9-D616-F117-9884A1CCFF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0209ED46-54B6-EE0E-C3A9-AFE146CCAD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FE7D3CB9-5F69-52E2-BA5D-CFDBEF2B7F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B8D958AB-5D42-006B-2F69-D7C8FAE7CA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D40CB019-6847-F1BA-D28B-3691C5A6EF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0820733B-54DD-CA0E-7679-88B3A9B4F6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12CF86A1-7BF1-F1F8-6E6E-05F7379369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488E8669-90E0-98AD-C770-3D291A0B09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2A27ECEC-78FA-191E-715D-D0C098CFAA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ED41D901-86D4-6A34-D90D-C0D9D76B46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A1DF26-D0DD-F5A1-0BB8-AFFB6EBA4C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7ED47A-A9E0-EE0C-2A87-82397052F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91F436-7BCD-E7AD-6311-A9DF7B0EAA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284E16-175C-9AF2-36F2-A5D48E17B8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3B2107-5B56-C549-464E-B291A3B34C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95B452-8433-13C8-4D20-16C176F2E3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37795-8475-49EF-A5B8-CB328BA3AB54}">
  <dimension ref="A1:O55"/>
  <sheetViews>
    <sheetView topLeftCell="A45" workbookViewId="0">
      <selection activeCell="A55" sqref="A55"/>
    </sheetView>
  </sheetViews>
  <sheetFormatPr defaultRowHeight="15" x14ac:dyDescent="0.25"/>
  <sheetData>
    <row r="1" spans="1:15" x14ac:dyDescent="0.25">
      <c r="F1" s="44" t="s">
        <v>271</v>
      </c>
      <c r="O1" s="45"/>
    </row>
    <row r="2" spans="1:15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3</v>
      </c>
      <c r="H4" t="s">
        <v>1</v>
      </c>
    </row>
    <row r="5" spans="1:15" x14ac:dyDescent="0.25">
      <c r="B5" t="s">
        <v>4</v>
      </c>
      <c r="H5" t="s">
        <v>1</v>
      </c>
    </row>
    <row r="6" spans="1:15" x14ac:dyDescent="0.25">
      <c r="A6" t="s">
        <v>5</v>
      </c>
      <c r="B6" t="s">
        <v>5</v>
      </c>
      <c r="C6" s="2">
        <v>5231.59</v>
      </c>
      <c r="D6" s="2">
        <v>5231.59</v>
      </c>
      <c r="E6" s="2">
        <v>5231.59</v>
      </c>
      <c r="F6" s="2">
        <v>5231.59</v>
      </c>
      <c r="G6" s="2">
        <v>6975.45</v>
      </c>
      <c r="H6" t="s">
        <v>1</v>
      </c>
    </row>
    <row r="7" spans="1:15" x14ac:dyDescent="0.25">
      <c r="B7" t="s">
        <v>6</v>
      </c>
      <c r="C7" s="2">
        <v>5231.59</v>
      </c>
      <c r="D7" s="2">
        <v>5231.59</v>
      </c>
      <c r="E7" s="2">
        <v>5231.59</v>
      </c>
      <c r="F7" s="2">
        <v>5231.59</v>
      </c>
      <c r="G7" s="2">
        <v>6975.45</v>
      </c>
      <c r="H7" t="s">
        <v>1</v>
      </c>
    </row>
    <row r="8" spans="1:15" x14ac:dyDescent="0.25">
      <c r="A8" t="s">
        <v>90</v>
      </c>
      <c r="B8" t="s">
        <v>7</v>
      </c>
      <c r="C8" s="2">
        <v>49194.400000000001</v>
      </c>
      <c r="D8" s="2">
        <v>53856.800000000003</v>
      </c>
      <c r="E8" s="2">
        <v>59463.76</v>
      </c>
      <c r="F8" s="2">
        <v>64704.480000000003</v>
      </c>
      <c r="G8" s="2">
        <v>69271.679999999993</v>
      </c>
      <c r="H8" t="s">
        <v>1</v>
      </c>
    </row>
    <row r="9" spans="1:15" x14ac:dyDescent="0.25">
      <c r="B9" t="s">
        <v>8</v>
      </c>
      <c r="C9" s="2">
        <v>49194.400000000001</v>
      </c>
      <c r="D9" s="2">
        <v>53856.800000000003</v>
      </c>
      <c r="E9" s="2">
        <v>59463.76</v>
      </c>
      <c r="F9" s="2">
        <v>64704.480000000003</v>
      </c>
      <c r="G9" s="2">
        <v>69271.679999999993</v>
      </c>
      <c r="H9" t="s">
        <v>1</v>
      </c>
    </row>
    <row r="10" spans="1:15" x14ac:dyDescent="0.25">
      <c r="B10" t="s">
        <v>9</v>
      </c>
      <c r="C10" s="2">
        <v>54425.99</v>
      </c>
      <c r="D10" s="2">
        <v>59088.39</v>
      </c>
      <c r="E10" s="2">
        <v>64695.35</v>
      </c>
      <c r="F10" s="2">
        <v>69936.070000000007</v>
      </c>
      <c r="G10" s="2">
        <v>76247.13</v>
      </c>
      <c r="H10" t="s">
        <v>1</v>
      </c>
    </row>
    <row r="11" spans="1:15" x14ac:dyDescent="0.25">
      <c r="A11" t="s">
        <v>10</v>
      </c>
      <c r="B11" t="s">
        <v>10</v>
      </c>
      <c r="C11">
        <v>0</v>
      </c>
      <c r="D11">
        <v>0</v>
      </c>
      <c r="E11">
        <v>0</v>
      </c>
      <c r="F11">
        <v>0</v>
      </c>
      <c r="G11">
        <v>0</v>
      </c>
      <c r="H11" t="s">
        <v>1</v>
      </c>
    </row>
    <row r="12" spans="1:15" x14ac:dyDescent="0.25">
      <c r="B12" t="s">
        <v>11</v>
      </c>
      <c r="H12" t="s">
        <v>1</v>
      </c>
    </row>
    <row r="13" spans="1:15" x14ac:dyDescent="0.25">
      <c r="A13" t="s">
        <v>91</v>
      </c>
      <c r="B13" t="s">
        <v>12</v>
      </c>
      <c r="C13" s="2">
        <v>122710.32</v>
      </c>
      <c r="D13" s="2">
        <v>131329.51</v>
      </c>
      <c r="E13" s="2">
        <v>135421.10999999999</v>
      </c>
      <c r="F13" s="2">
        <v>129174.79</v>
      </c>
      <c r="G13" s="2">
        <v>114199.4</v>
      </c>
      <c r="H13" t="s">
        <v>1</v>
      </c>
    </row>
    <row r="14" spans="1:15" x14ac:dyDescent="0.25">
      <c r="A14" t="s">
        <v>91</v>
      </c>
      <c r="B14" t="s">
        <v>13</v>
      </c>
      <c r="C14" s="2">
        <v>13472.85</v>
      </c>
      <c r="D14" s="2">
        <v>10018.48</v>
      </c>
      <c r="E14" s="2">
        <v>11228.78</v>
      </c>
      <c r="F14" s="2">
        <v>11836.62</v>
      </c>
      <c r="G14" s="2">
        <v>11356.98</v>
      </c>
      <c r="H14" t="s">
        <v>1</v>
      </c>
    </row>
    <row r="15" spans="1:15" x14ac:dyDescent="0.25">
      <c r="A15" t="s">
        <v>92</v>
      </c>
      <c r="B15" t="s">
        <v>14</v>
      </c>
      <c r="C15" s="2">
        <v>916.76</v>
      </c>
      <c r="D15" s="2">
        <v>4481.1000000000004</v>
      </c>
      <c r="E15" s="2">
        <v>3885.67</v>
      </c>
      <c r="F15" s="2">
        <v>3972.24</v>
      </c>
      <c r="G15">
        <v>13308.01</v>
      </c>
      <c r="H15" t="s">
        <v>1</v>
      </c>
    </row>
    <row r="16" spans="1:15" x14ac:dyDescent="0.25">
      <c r="A16" t="s">
        <v>93</v>
      </c>
      <c r="B16" t="s">
        <v>15</v>
      </c>
      <c r="C16">
        <v>716.87</v>
      </c>
      <c r="D16">
        <v>368.15</v>
      </c>
      <c r="E16">
        <v>424.71</v>
      </c>
      <c r="F16">
        <v>462.02</v>
      </c>
      <c r="G16">
        <v>517.14</v>
      </c>
      <c r="H16" t="s">
        <v>1</v>
      </c>
    </row>
    <row r="17" spans="1:8" x14ac:dyDescent="0.25">
      <c r="B17" t="s">
        <v>16</v>
      </c>
      <c r="C17" s="2">
        <v>137816.79999999999</v>
      </c>
      <c r="D17" s="2">
        <v>146197.24</v>
      </c>
      <c r="E17" s="2">
        <v>150960.26999999999</v>
      </c>
      <c r="F17" s="2">
        <v>145445.67000000001</v>
      </c>
      <c r="G17" s="2">
        <v>139381.53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1000</v>
      </c>
      <c r="D19" s="2">
        <v>4300</v>
      </c>
      <c r="E19" s="2">
        <v>3000</v>
      </c>
      <c r="F19" s="2">
        <v>1800</v>
      </c>
      <c r="G19" s="2">
        <v>20465.87</v>
      </c>
      <c r="H19" t="s">
        <v>1</v>
      </c>
    </row>
    <row r="20" spans="1:8" x14ac:dyDescent="0.25">
      <c r="A20" t="s">
        <v>92</v>
      </c>
      <c r="B20" t="s">
        <v>19</v>
      </c>
      <c r="C20">
        <v>240.44</v>
      </c>
      <c r="D20">
        <v>365.13</v>
      </c>
      <c r="E20">
        <v>226.54</v>
      </c>
      <c r="F20">
        <v>187.48</v>
      </c>
      <c r="G20">
        <v>267.10000000000002</v>
      </c>
      <c r="H20" t="s">
        <v>1</v>
      </c>
    </row>
    <row r="21" spans="1:8" x14ac:dyDescent="0.25">
      <c r="A21" t="s">
        <v>92</v>
      </c>
      <c r="B21" t="s">
        <v>20</v>
      </c>
      <c r="C21" s="2">
        <v>30773.22</v>
      </c>
      <c r="D21" s="2">
        <v>36705.69</v>
      </c>
      <c r="E21" s="2">
        <v>37029.019999999997</v>
      </c>
      <c r="F21" s="2">
        <v>37534.78</v>
      </c>
      <c r="G21" s="2">
        <v>13414.68</v>
      </c>
      <c r="H21" t="s">
        <v>1</v>
      </c>
    </row>
    <row r="22" spans="1:8" x14ac:dyDescent="0.25">
      <c r="A22" t="s">
        <v>93</v>
      </c>
      <c r="B22" t="s">
        <v>21</v>
      </c>
      <c r="C22" s="2">
        <v>1059.5999999999999</v>
      </c>
      <c r="D22">
        <v>701.14</v>
      </c>
      <c r="E22">
        <v>742.04</v>
      </c>
      <c r="F22">
        <v>845.12</v>
      </c>
      <c r="G22" s="2">
        <v>1167.1199999999999</v>
      </c>
      <c r="H22" t="s">
        <v>1</v>
      </c>
    </row>
    <row r="23" spans="1:8" x14ac:dyDescent="0.25">
      <c r="B23" t="s">
        <v>22</v>
      </c>
      <c r="C23" s="2">
        <v>33073.26</v>
      </c>
      <c r="D23" s="2">
        <v>42071.96</v>
      </c>
      <c r="E23" s="2">
        <v>40997.599999999999</v>
      </c>
      <c r="F23" s="2">
        <v>40367.379999999997</v>
      </c>
      <c r="G23" s="2">
        <v>35314.769999999997</v>
      </c>
      <c r="H23" t="s">
        <v>1</v>
      </c>
    </row>
    <row r="24" spans="1:8" x14ac:dyDescent="0.25">
      <c r="B24" t="s">
        <v>23</v>
      </c>
      <c r="C24" s="2">
        <v>225316.05</v>
      </c>
      <c r="D24" s="2">
        <v>247357.59</v>
      </c>
      <c r="E24" s="2">
        <v>256653.22</v>
      </c>
      <c r="F24" s="2">
        <v>255749.12</v>
      </c>
      <c r="G24" s="2">
        <v>250943.43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154831.41</v>
      </c>
      <c r="D27" s="2">
        <v>171058.02</v>
      </c>
      <c r="E27" s="2">
        <v>179449.85</v>
      </c>
      <c r="F27" s="2">
        <v>182109.02</v>
      </c>
      <c r="G27" s="2">
        <v>204626.44</v>
      </c>
      <c r="H27" t="s">
        <v>1</v>
      </c>
    </row>
    <row r="28" spans="1:8" x14ac:dyDescent="0.25">
      <c r="A28" t="s">
        <v>29</v>
      </c>
      <c r="B28" t="s">
        <v>27</v>
      </c>
      <c r="C28">
        <v>1366.86</v>
      </c>
      <c r="D28" s="2">
        <v>1681.6</v>
      </c>
      <c r="E28" s="2">
        <v>1662.28</v>
      </c>
      <c r="F28" s="2">
        <v>1616.95</v>
      </c>
      <c r="G28" s="2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37603.9</v>
      </c>
      <c r="D29" s="2">
        <v>37388.47</v>
      </c>
      <c r="E29" s="2">
        <v>34904.410000000003</v>
      </c>
      <c r="F29" s="2">
        <v>24679.8</v>
      </c>
      <c r="G29" s="2">
        <v>0</v>
      </c>
      <c r="H29" t="s">
        <v>1</v>
      </c>
    </row>
    <row r="30" spans="1:8" x14ac:dyDescent="0.25">
      <c r="B30" t="s">
        <v>29</v>
      </c>
      <c r="C30" s="2">
        <v>193866.84</v>
      </c>
      <c r="D30" s="2">
        <v>210370.68</v>
      </c>
      <c r="E30" s="2">
        <v>216289.54</v>
      </c>
      <c r="F30" s="2">
        <v>208563.76</v>
      </c>
      <c r="G30" s="2">
        <v>204626.44</v>
      </c>
      <c r="H30" t="s">
        <v>1</v>
      </c>
    </row>
    <row r="31" spans="1:8" x14ac:dyDescent="0.25">
      <c r="A31" t="s">
        <v>94</v>
      </c>
      <c r="B31" t="s">
        <v>30</v>
      </c>
      <c r="C31" s="2">
        <v>1223.97</v>
      </c>
      <c r="D31" s="2">
        <v>1296.42</v>
      </c>
      <c r="E31" s="2">
        <v>1431.08</v>
      </c>
      <c r="F31" s="2">
        <v>1485.55</v>
      </c>
      <c r="G31" s="2">
        <v>3787.64</v>
      </c>
      <c r="H31" t="s">
        <v>1</v>
      </c>
    </row>
    <row r="32" spans="1:8" x14ac:dyDescent="0.25">
      <c r="A32" t="s">
        <v>95</v>
      </c>
      <c r="B32" t="s">
        <v>31</v>
      </c>
      <c r="C32">
        <v>0</v>
      </c>
      <c r="D32">
        <v>0</v>
      </c>
      <c r="E32">
        <v>0</v>
      </c>
      <c r="F32">
        <v>0</v>
      </c>
      <c r="G32">
        <v>0</v>
      </c>
      <c r="H32" t="s">
        <v>1</v>
      </c>
    </row>
    <row r="33" spans="1:8" x14ac:dyDescent="0.25">
      <c r="A33" t="s">
        <v>95</v>
      </c>
      <c r="B33" t="s">
        <v>32</v>
      </c>
      <c r="C33">
        <v>139.99</v>
      </c>
      <c r="D33">
        <v>188.13</v>
      </c>
      <c r="E33">
        <v>271.58</v>
      </c>
      <c r="F33">
        <v>322.58</v>
      </c>
      <c r="G33">
        <v>406.45</v>
      </c>
      <c r="H33" t="s">
        <v>1</v>
      </c>
    </row>
    <row r="34" spans="1:8" x14ac:dyDescent="0.25">
      <c r="A34" t="s">
        <v>95</v>
      </c>
      <c r="B34" t="s">
        <v>33</v>
      </c>
      <c r="C34" s="2">
        <v>6614.03</v>
      </c>
      <c r="D34" s="2">
        <v>9757.2000000000007</v>
      </c>
      <c r="E34" s="2">
        <v>10426.030000000001</v>
      </c>
      <c r="F34" s="2">
        <v>9359.16</v>
      </c>
      <c r="G34" s="2">
        <v>9568.82</v>
      </c>
      <c r="H34" t="s">
        <v>1</v>
      </c>
    </row>
    <row r="35" spans="1:8" x14ac:dyDescent="0.25">
      <c r="B35" t="s">
        <v>34</v>
      </c>
      <c r="C35" s="2">
        <v>201844.83</v>
      </c>
      <c r="D35" s="2">
        <v>221612.43</v>
      </c>
      <c r="E35" s="2">
        <v>228418.23</v>
      </c>
      <c r="F35" s="2">
        <v>219731.05</v>
      </c>
      <c r="G35" s="2">
        <v>218389.35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>
        <v>0</v>
      </c>
      <c r="D37">
        <v>0</v>
      </c>
      <c r="E37">
        <v>0</v>
      </c>
      <c r="F37">
        <v>0</v>
      </c>
      <c r="G37">
        <v>0</v>
      </c>
      <c r="H37" t="s">
        <v>1</v>
      </c>
    </row>
    <row r="38" spans="1:8" x14ac:dyDescent="0.25">
      <c r="A38" t="s">
        <v>96</v>
      </c>
      <c r="B38" t="s">
        <v>37</v>
      </c>
      <c r="C38" s="2">
        <v>1049.3499999999999</v>
      </c>
      <c r="D38" s="2">
        <v>1247.25</v>
      </c>
      <c r="E38" s="2">
        <v>1433.46</v>
      </c>
      <c r="F38" s="2">
        <v>1366.94</v>
      </c>
      <c r="G38" s="2">
        <v>1357.17</v>
      </c>
      <c r="H38" t="s">
        <v>1</v>
      </c>
    </row>
    <row r="39" spans="1:8" x14ac:dyDescent="0.25">
      <c r="A39" t="s">
        <v>96</v>
      </c>
      <c r="B39" t="s">
        <v>38</v>
      </c>
      <c r="C39" s="2">
        <v>3640.02</v>
      </c>
      <c r="D39" s="2">
        <v>4728.1000000000004</v>
      </c>
      <c r="E39" s="2">
        <v>5040.71</v>
      </c>
      <c r="F39" s="2">
        <v>3675.53</v>
      </c>
      <c r="G39" s="2">
        <v>9475.07</v>
      </c>
      <c r="H39" t="s">
        <v>1</v>
      </c>
    </row>
    <row r="40" spans="1:8" x14ac:dyDescent="0.25">
      <c r="A40" t="s">
        <v>96</v>
      </c>
      <c r="B40" t="s">
        <v>39</v>
      </c>
      <c r="C40" s="2">
        <v>2189.02</v>
      </c>
      <c r="D40" s="2">
        <v>4336.6499999999996</v>
      </c>
      <c r="E40" s="2">
        <v>5438.97</v>
      </c>
      <c r="F40" s="2">
        <v>5358.71</v>
      </c>
      <c r="G40" s="2">
        <v>5048.18</v>
      </c>
      <c r="H40" t="s">
        <v>1</v>
      </c>
    </row>
    <row r="41" spans="1:8" x14ac:dyDescent="0.25">
      <c r="A41" t="s">
        <v>95</v>
      </c>
      <c r="B41" t="s">
        <v>40</v>
      </c>
      <c r="C41">
        <v>46.88</v>
      </c>
      <c r="D41">
        <v>130.99</v>
      </c>
      <c r="E41">
        <v>152.37</v>
      </c>
      <c r="F41">
        <v>127.05</v>
      </c>
      <c r="G41">
        <v>98.59</v>
      </c>
      <c r="H41" t="s">
        <v>1</v>
      </c>
    </row>
    <row r="42" spans="1:8" x14ac:dyDescent="0.25">
      <c r="A42" t="s">
        <v>95</v>
      </c>
      <c r="B42" t="s">
        <v>41</v>
      </c>
      <c r="C42" s="2">
        <v>16545.95</v>
      </c>
      <c r="D42" s="2">
        <v>15302.17</v>
      </c>
      <c r="E42" s="2">
        <v>16169.48</v>
      </c>
      <c r="F42" s="2">
        <v>25489.84</v>
      </c>
      <c r="G42" s="2">
        <v>16575.07</v>
      </c>
      <c r="H42" t="s">
        <v>1</v>
      </c>
    </row>
    <row r="43" spans="1:8" x14ac:dyDescent="0.25">
      <c r="B43" t="s">
        <v>42</v>
      </c>
      <c r="C43" s="2">
        <v>23471.22</v>
      </c>
      <c r="D43" s="2">
        <v>25745.16</v>
      </c>
      <c r="E43" s="2">
        <v>28234.99</v>
      </c>
      <c r="F43" s="2">
        <v>36018.07</v>
      </c>
      <c r="G43" s="2">
        <v>32554.080000000002</v>
      </c>
      <c r="H43" t="s">
        <v>1</v>
      </c>
    </row>
    <row r="44" spans="1:8" x14ac:dyDescent="0.25">
      <c r="B44" t="s">
        <v>43</v>
      </c>
      <c r="C44" s="2">
        <v>225316.05</v>
      </c>
      <c r="D44" s="2">
        <v>247357.59</v>
      </c>
      <c r="E44" s="2">
        <v>256653.22</v>
      </c>
      <c r="F44" s="2">
        <v>255749.12</v>
      </c>
      <c r="G44" s="2">
        <v>250943.43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33954.58</v>
      </c>
      <c r="D47" s="2">
        <v>19742.73</v>
      </c>
      <c r="E47" s="2">
        <v>21917.51</v>
      </c>
      <c r="F47" s="2">
        <v>15311.58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0</v>
      </c>
      <c r="D49">
        <v>0</v>
      </c>
      <c r="E49">
        <v>0</v>
      </c>
      <c r="F49">
        <v>0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104.88</v>
      </c>
      <c r="D51">
        <v>88.14</v>
      </c>
      <c r="E51">
        <v>46.5</v>
      </c>
      <c r="F51">
        <v>93.3</v>
      </c>
      <c r="G51">
        <v>0</v>
      </c>
      <c r="H51" t="s">
        <v>1</v>
      </c>
    </row>
    <row r="52" spans="2:8" x14ac:dyDescent="0.25">
      <c r="B52" t="s">
        <v>51</v>
      </c>
      <c r="C52">
        <v>23.9</v>
      </c>
      <c r="D52">
        <v>41.7</v>
      </c>
      <c r="E52">
        <v>52.4</v>
      </c>
      <c r="F52">
        <v>45.4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0</v>
      </c>
      <c r="D55">
        <v>0</v>
      </c>
      <c r="E55">
        <v>0</v>
      </c>
      <c r="F55">
        <v>0</v>
      </c>
      <c r="G55">
        <v>0</v>
      </c>
      <c r="H55" t="s">
        <v>1</v>
      </c>
    </row>
  </sheetData>
  <hyperlinks>
    <hyperlink ref="F1" location="Index_Data!A1" tooltip="Hi click here To return Index page" display="Index_Data!A1" xr:uid="{B39D87BF-B316-4CF9-A8EE-263915E45604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B5FDC-FF65-4313-AA2E-A4F124F7523D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149</v>
      </c>
      <c r="C5" s="43"/>
      <c r="D5" s="43"/>
      <c r="E5" s="43"/>
      <c r="F5" s="43"/>
      <c r="G5" s="43"/>
    </row>
    <row r="6" spans="2:15" ht="18.75" x14ac:dyDescent="0.25">
      <c r="B6" s="12" t="str">
        <f>Balance_Sheet!B13</f>
        <v>Net Worth</v>
      </c>
      <c r="C6" s="13">
        <f>Balance_Sheet!C13</f>
        <v>54425.990000000005</v>
      </c>
      <c r="D6" s="13">
        <f>Balance_Sheet!D13</f>
        <v>58648.387289112026</v>
      </c>
      <c r="E6" s="13">
        <f>Balance_Sheet!E13</f>
        <v>64854.312490653421</v>
      </c>
      <c r="F6" s="13">
        <f>Balance_Sheet!F13</f>
        <v>69516.152610627993</v>
      </c>
      <c r="G6" s="13">
        <f>Balance_Sheet!G13</f>
        <v>88006.638599458325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500.52599674100873</v>
      </c>
      <c r="D7" s="13">
        <f>Income_Statement!D61</f>
        <v>509.35617311115885</v>
      </c>
      <c r="E7" s="13">
        <f>Income_Statement!E61</f>
        <v>474.3754857876857</v>
      </c>
      <c r="F7" s="13">
        <f>Income_Statement!F61</f>
        <v>499.29696173802461</v>
      </c>
      <c r="G7" s="13">
        <f>Income_Statement!G61</f>
        <v>697.77608286793077</v>
      </c>
    </row>
    <row r="8" spans="2:15" ht="18.75" x14ac:dyDescent="0.25">
      <c r="B8" s="14" t="s">
        <v>150</v>
      </c>
      <c r="C8" s="14">
        <f>ROUND(C6/C7, 2)</f>
        <v>108.74</v>
      </c>
      <c r="D8" s="14">
        <f t="shared" ref="D8:G8" si="0">ROUND(D6/D7, 2)</f>
        <v>115.14</v>
      </c>
      <c r="E8" s="14">
        <f t="shared" si="0"/>
        <v>136.72</v>
      </c>
      <c r="F8" s="14">
        <f t="shared" si="0"/>
        <v>139.22999999999999</v>
      </c>
      <c r="G8" s="14">
        <f t="shared" si="0"/>
        <v>126.12</v>
      </c>
    </row>
  </sheetData>
  <mergeCells count="1">
    <mergeCell ref="B5:G5"/>
  </mergeCells>
  <hyperlinks>
    <hyperlink ref="F1" location="Index_Data!A1" tooltip="Hi click here To return Index page" display="Index_Data!A1" xr:uid="{037627C4-C45E-4028-BA64-6857935154CA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C4D51-8284-44D6-B5AA-8F8E38DF3E1A}">
  <dimension ref="B1:O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5" width="11.5703125" bestFit="1" customWidth="1"/>
    <col min="6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151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3034.33</v>
      </c>
      <c r="D6" s="13">
        <f>Income_Statement!D51</f>
        <v>4514.87</v>
      </c>
      <c r="E6" s="13">
        <f>Income_Statement!E51</f>
        <v>3118.02</v>
      </c>
      <c r="F6" s="13">
        <f>Income_Statement!F51</f>
        <v>6821.99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500.52599674100873</v>
      </c>
      <c r="D7" s="13">
        <f>Income_Statement!D61</f>
        <v>509.35617311115885</v>
      </c>
      <c r="E7" s="13">
        <f>Income_Statement!E61</f>
        <v>474.3754857876857</v>
      </c>
      <c r="F7" s="13">
        <f>Income_Statement!F61</f>
        <v>499.29696173802461</v>
      </c>
      <c r="G7" s="13">
        <f>Income_Statement!G61</f>
        <v>697.77608286793077</v>
      </c>
    </row>
    <row r="8" spans="2:15" ht="18.75" x14ac:dyDescent="0.25">
      <c r="B8" s="12" t="s">
        <v>148</v>
      </c>
      <c r="C8" s="13">
        <f>ROUND(C6/C7, 2)</f>
        <v>6.06</v>
      </c>
      <c r="D8" s="13">
        <f t="shared" ref="D8:G8" si="0">ROUND(D6/D7, 2)</f>
        <v>8.86</v>
      </c>
      <c r="E8" s="13">
        <f t="shared" si="0"/>
        <v>6.57</v>
      </c>
      <c r="F8" s="13">
        <f t="shared" si="0"/>
        <v>13.66</v>
      </c>
      <c r="G8" s="13">
        <f t="shared" si="0"/>
        <v>0</v>
      </c>
    </row>
    <row r="9" spans="2:15" ht="18.75" x14ac:dyDescent="0.25">
      <c r="B9" s="12" t="str">
        <f>Income_Statement!B49</f>
        <v>Reported Net Profit(PAT)</v>
      </c>
      <c r="C9" s="13">
        <f>Income_Statement!C49</f>
        <v>8008.4159478561396</v>
      </c>
      <c r="D9" s="13">
        <f>Income_Statement!D49</f>
        <v>9677.7672891120183</v>
      </c>
      <c r="E9" s="13">
        <f>Income_Statement!E49</f>
        <v>9961.8852015413995</v>
      </c>
      <c r="F9" s="13">
        <f>Income_Statement!F49</f>
        <v>11483.830119974566</v>
      </c>
      <c r="G9" s="13">
        <f>Income_Statement!G49</f>
        <v>16746.625988830339</v>
      </c>
    </row>
    <row r="10" spans="2:15" ht="18.75" x14ac:dyDescent="0.25">
      <c r="B10" s="12" t="str">
        <f>Income_Statement!B61</f>
        <v>Total Shares Outstanding(cr)</v>
      </c>
      <c r="C10" s="13">
        <f>Income_Statement!C61</f>
        <v>500.52599674100873</v>
      </c>
      <c r="D10" s="13">
        <f>Income_Statement!D61</f>
        <v>509.35617311115885</v>
      </c>
      <c r="E10" s="13">
        <f>Income_Statement!E61</f>
        <v>474.3754857876857</v>
      </c>
      <c r="F10" s="13">
        <f>Income_Statement!F61</f>
        <v>499.29696173802461</v>
      </c>
      <c r="G10" s="13">
        <f>Income_Statement!G61</f>
        <v>697.77608286793077</v>
      </c>
    </row>
    <row r="11" spans="2:15" ht="18.75" x14ac:dyDescent="0.25">
      <c r="B11" s="12" t="s">
        <v>146</v>
      </c>
      <c r="C11" s="13">
        <f>C9/C10</f>
        <v>16</v>
      </c>
      <c r="D11" s="13">
        <f t="shared" ref="D11:G11" si="1">D9/D10</f>
        <v>19</v>
      </c>
      <c r="E11" s="13">
        <f t="shared" si="1"/>
        <v>21</v>
      </c>
      <c r="F11" s="13">
        <f t="shared" si="1"/>
        <v>23</v>
      </c>
      <c r="G11" s="13">
        <f t="shared" si="1"/>
        <v>24</v>
      </c>
    </row>
    <row r="12" spans="2:15" ht="18.75" x14ac:dyDescent="0.25">
      <c r="B12" s="14" t="s">
        <v>152</v>
      </c>
      <c r="C12" s="14">
        <f>ROUND(C8/C11, 2)</f>
        <v>0.38</v>
      </c>
      <c r="D12" s="14">
        <f t="shared" ref="D12:G12" si="2">ROUND(D8/D11, 2)</f>
        <v>0.47</v>
      </c>
      <c r="E12" s="14">
        <f t="shared" si="2"/>
        <v>0.31</v>
      </c>
      <c r="F12" s="14">
        <f t="shared" si="2"/>
        <v>0.59</v>
      </c>
      <c r="G12" s="14">
        <f t="shared" si="2"/>
        <v>0</v>
      </c>
    </row>
  </sheetData>
  <mergeCells count="1">
    <mergeCell ref="B5:G5"/>
  </mergeCells>
  <hyperlinks>
    <hyperlink ref="F1" location="Index_Data!A1" tooltip="Hi click here To return Index page" display="Index_Data!A1" xr:uid="{A8AE50CF-EF33-468D-835C-2C668273039A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25E36-DAA4-42FE-8372-DE2CE9F9D2D6}">
  <dimension ref="B1:O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5" width="13.5703125" bestFit="1" customWidth="1"/>
    <col min="6" max="6" width="15.140625" bestFit="1" customWidth="1"/>
    <col min="7" max="7" width="12.42578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153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3034.33</v>
      </c>
      <c r="D6" s="13">
        <f>Income_Statement!D51</f>
        <v>4514.87</v>
      </c>
      <c r="E6" s="13">
        <f>Income_Statement!E51</f>
        <v>3118.02</v>
      </c>
      <c r="F6" s="13">
        <f>Income_Statement!F51</f>
        <v>6821.99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500.52599674100873</v>
      </c>
      <c r="D7" s="13">
        <f>Income_Statement!D61</f>
        <v>509.35617311115885</v>
      </c>
      <c r="E7" s="13">
        <f>Income_Statement!E61</f>
        <v>474.3754857876857</v>
      </c>
      <c r="F7" s="13">
        <f>Income_Statement!F61</f>
        <v>499.29696173802461</v>
      </c>
      <c r="G7" s="13">
        <f>Income_Statement!G61</f>
        <v>697.77608286793077</v>
      </c>
    </row>
    <row r="8" spans="2:15" ht="18.75" x14ac:dyDescent="0.25">
      <c r="B8" s="12" t="s">
        <v>154</v>
      </c>
      <c r="C8" s="13">
        <f>ROUND(C6/C7, 2)</f>
        <v>6.06</v>
      </c>
      <c r="D8" s="13">
        <f t="shared" ref="D8:G8" si="0">ROUND(D6/D7, 2)</f>
        <v>8.86</v>
      </c>
      <c r="E8" s="13">
        <f t="shared" si="0"/>
        <v>6.57</v>
      </c>
      <c r="F8" s="13">
        <f t="shared" si="0"/>
        <v>13.66</v>
      </c>
      <c r="G8" s="13">
        <f t="shared" si="0"/>
        <v>0</v>
      </c>
    </row>
    <row r="9" spans="2:15" ht="18.75" x14ac:dyDescent="0.25">
      <c r="B9" s="14" t="s">
        <v>155</v>
      </c>
      <c r="C9" s="15">
        <f>1-C8</f>
        <v>-5.0599999999999996</v>
      </c>
      <c r="D9" s="15">
        <f t="shared" ref="D9:G9" si="1">1-D8</f>
        <v>-7.8599999999999994</v>
      </c>
      <c r="E9" s="15">
        <f t="shared" si="1"/>
        <v>-5.57</v>
      </c>
      <c r="F9" s="15">
        <f t="shared" si="1"/>
        <v>-12.66</v>
      </c>
      <c r="G9" s="15">
        <f t="shared" si="1"/>
        <v>1</v>
      </c>
    </row>
  </sheetData>
  <mergeCells count="1">
    <mergeCell ref="B5:G5"/>
  </mergeCells>
  <hyperlinks>
    <hyperlink ref="F1" location="Index_Data!A1" tooltip="Hi click here To return Index page" display="Index_Data!A1" xr:uid="{0B49B41F-7D48-4335-8A8E-E1D39517CE0D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F76DF-D712-4310-8D5A-BA8E167587C0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156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29904.959999999999</v>
      </c>
      <c r="D6" s="13">
        <f>Income_Statement!D5</f>
        <v>34831.17</v>
      </c>
      <c r="E6" s="13">
        <f>Income_Statement!E5</f>
        <v>36800.129999999997</v>
      </c>
      <c r="F6" s="13">
        <f>Income_Statement!F5</f>
        <v>39300.83</v>
      </c>
      <c r="G6" s="13">
        <f>Income_Statement!G5</f>
        <v>41616.339999999997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0</v>
      </c>
      <c r="D7" s="13">
        <f>Income_Statement!D17</f>
        <v>0</v>
      </c>
      <c r="E7" s="13">
        <f>Income_Statement!E17</f>
        <v>0</v>
      </c>
      <c r="F7" s="13">
        <f>Income_Statement!F17</f>
        <v>0</v>
      </c>
      <c r="G7" s="13">
        <f>Income_Statement!G17</f>
        <v>0</v>
      </c>
    </row>
    <row r="8" spans="2:15" ht="18.75" x14ac:dyDescent="0.25">
      <c r="B8" s="14" t="s">
        <v>157</v>
      </c>
      <c r="C8" s="16">
        <f>ROUND(C6- C7, 2)</f>
        <v>29904.959999999999</v>
      </c>
      <c r="D8" s="16">
        <f t="shared" ref="D8:G8" si="0">ROUND(D6- D7, 2)</f>
        <v>34831.17</v>
      </c>
      <c r="E8" s="16">
        <f t="shared" si="0"/>
        <v>36800.129999999997</v>
      </c>
      <c r="F8" s="16">
        <f t="shared" si="0"/>
        <v>39300.83</v>
      </c>
      <c r="G8" s="16">
        <f t="shared" si="0"/>
        <v>41616.339999999997</v>
      </c>
    </row>
  </sheetData>
  <mergeCells count="1">
    <mergeCell ref="B5:G5"/>
  </mergeCells>
  <hyperlinks>
    <hyperlink ref="F1" location="Index_Data!A1" tooltip="Hi click here To return Index page" display="Index_Data!A1" xr:uid="{3EFF731B-A7A8-4391-AD64-1F846A40E4BD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D5676-A1D5-451A-88E8-BFAC99B04AE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158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29904.959999999999</v>
      </c>
      <c r="D6" s="13">
        <f>Income_Statement!D5</f>
        <v>34831.17</v>
      </c>
      <c r="E6" s="13">
        <f>Income_Statement!E5</f>
        <v>36800.129999999997</v>
      </c>
      <c r="F6" s="13">
        <f>Income_Statement!F5</f>
        <v>39300.83</v>
      </c>
      <c r="G6" s="13">
        <f>Income_Statement!G5</f>
        <v>41616.339999999997</v>
      </c>
    </row>
    <row r="7" spans="2:15" ht="18.75" x14ac:dyDescent="0.25">
      <c r="B7" s="12" t="str">
        <f>Income_Statement!B25</f>
        <v>Total Expenditure</v>
      </c>
      <c r="C7" s="13">
        <f>Income_Statement!C25</f>
        <v>3836.79</v>
      </c>
      <c r="D7" s="13">
        <f>Income_Statement!D25</f>
        <v>4838.58</v>
      </c>
      <c r="E7" s="13">
        <f>Income_Statement!E25</f>
        <v>4803.3</v>
      </c>
      <c r="F7" s="13">
        <f>Income_Statement!F25</f>
        <v>4646.68</v>
      </c>
      <c r="G7" s="13">
        <f>Income_Statement!G25</f>
        <v>5049.4400000000005</v>
      </c>
    </row>
    <row r="8" spans="2:15" ht="18.75" x14ac:dyDescent="0.25">
      <c r="B8" s="14" t="s">
        <v>159</v>
      </c>
      <c r="C8" s="16">
        <f>ROUND(C6- C7, 2)</f>
        <v>26068.17</v>
      </c>
      <c r="D8" s="16">
        <f t="shared" ref="D8:G8" si="0">ROUND(D6- D7, 2)</f>
        <v>29992.59</v>
      </c>
      <c r="E8" s="16">
        <f t="shared" si="0"/>
        <v>31996.83</v>
      </c>
      <c r="F8" s="16">
        <f t="shared" si="0"/>
        <v>34654.15</v>
      </c>
      <c r="G8" s="16">
        <f t="shared" si="0"/>
        <v>36566.9</v>
      </c>
    </row>
  </sheetData>
  <mergeCells count="1">
    <mergeCell ref="B5:G5"/>
  </mergeCells>
  <hyperlinks>
    <hyperlink ref="F1" location="Index_Data!A1" tooltip="Hi click here To return Index page" display="Index_Data!A1" xr:uid="{89FDBEF5-2616-4995-AFE8-9017F7C5E9E6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80905-FB35-4F8F-A432-30E7CA86897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160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8008.4159478561396</v>
      </c>
      <c r="D6" s="13">
        <f>Income_Statement!D49</f>
        <v>9677.7672891120183</v>
      </c>
      <c r="E6" s="13">
        <f>Income_Statement!E49</f>
        <v>9961.8852015413995</v>
      </c>
      <c r="F6" s="13">
        <f>Income_Statement!F49</f>
        <v>11483.830119974566</v>
      </c>
      <c r="G6" s="13">
        <f>Income_Statement!G49</f>
        <v>16746.625988830339</v>
      </c>
    </row>
    <row r="7" spans="2:15" ht="18.75" x14ac:dyDescent="0.25">
      <c r="B7" s="12" t="str">
        <f>Balance_Sheet!B74</f>
        <v>Total Assets</v>
      </c>
      <c r="C7" s="13">
        <f>Balance_Sheet!C74</f>
        <v>225316.05</v>
      </c>
      <c r="D7" s="13">
        <f>Balance_Sheet!D74</f>
        <v>246917.58728911204</v>
      </c>
      <c r="E7" s="13">
        <f>Balance_Sheet!E74</f>
        <v>256812.18249065339</v>
      </c>
      <c r="F7" s="13">
        <f>Balance_Sheet!F74</f>
        <v>255329.20261062798</v>
      </c>
      <c r="G7" s="13">
        <f>Balance_Sheet!G74</f>
        <v>262702.93859945831</v>
      </c>
    </row>
    <row r="8" spans="2:15" ht="18.75" x14ac:dyDescent="0.25">
      <c r="B8" s="14" t="s">
        <v>161</v>
      </c>
      <c r="C8" s="15">
        <f>ROUND(C6/ C7, 2)</f>
        <v>0.04</v>
      </c>
      <c r="D8" s="15">
        <f t="shared" ref="D8:G8" si="0">ROUND(D6/ D7, 2)</f>
        <v>0.04</v>
      </c>
      <c r="E8" s="15">
        <f t="shared" si="0"/>
        <v>0.04</v>
      </c>
      <c r="F8" s="15">
        <f t="shared" si="0"/>
        <v>0.04</v>
      </c>
      <c r="G8" s="15">
        <f t="shared" si="0"/>
        <v>0.06</v>
      </c>
    </row>
  </sheetData>
  <mergeCells count="1">
    <mergeCell ref="B5:G5"/>
  </mergeCells>
  <hyperlinks>
    <hyperlink ref="F1" location="Index_Data!A1" tooltip="Hi click here To return Index page" display="Index_Data!A1" xr:uid="{7F8D6EB4-F0A1-426A-B72E-24A18E007832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6B6C5-1ECE-46AF-838C-ADE569A1DCAA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162</v>
      </c>
      <c r="C5" s="43"/>
      <c r="D5" s="43"/>
      <c r="E5" s="43"/>
      <c r="F5" s="43"/>
      <c r="G5" s="43"/>
    </row>
    <row r="6" spans="2:15" ht="18.75" x14ac:dyDescent="0.25">
      <c r="B6" s="12" t="str">
        <f>Income_Statement!B33</f>
        <v>PBIT</v>
      </c>
      <c r="C6" s="13">
        <f>Income_Statement!C33</f>
        <v>17315.115947856139</v>
      </c>
      <c r="D6" s="13">
        <f>Income_Statement!D33</f>
        <v>20054.857289112017</v>
      </c>
      <c r="E6" s="13">
        <f>Income_Statement!E33</f>
        <v>21318.2352015414</v>
      </c>
      <c r="F6" s="13">
        <f>Income_Statement!F33</f>
        <v>23799.730119974563</v>
      </c>
      <c r="G6" s="13">
        <f>Income_Statement!G33</f>
        <v>24777.82598883034</v>
      </c>
    </row>
    <row r="7" spans="2:15" ht="18.75" x14ac:dyDescent="0.25">
      <c r="B7" s="12" t="str">
        <f>Balance_Sheet!B21</f>
        <v>Total Debt</v>
      </c>
      <c r="C7" s="13">
        <f>Balance_Sheet!C21</f>
        <v>137183.17000000001</v>
      </c>
      <c r="D7" s="13">
        <f>Balance_Sheet!D21</f>
        <v>145647.99000000002</v>
      </c>
      <c r="E7" s="13">
        <f>Balance_Sheet!E21</f>
        <v>149649.88999999998</v>
      </c>
      <c r="F7" s="13">
        <f>Balance_Sheet!F21</f>
        <v>142811.41</v>
      </c>
      <c r="G7" s="13">
        <f>Balance_Sheet!G21</f>
        <v>146022.25</v>
      </c>
    </row>
    <row r="8" spans="2:15" ht="18.75" x14ac:dyDescent="0.25">
      <c r="B8" s="12" t="str">
        <f>Balance_Sheet!B13</f>
        <v>Net Worth</v>
      </c>
      <c r="C8" s="13">
        <f>Balance_Sheet!C13</f>
        <v>54425.990000000005</v>
      </c>
      <c r="D8" s="13">
        <f>Balance_Sheet!D13</f>
        <v>58648.387289112026</v>
      </c>
      <c r="E8" s="13">
        <f>Balance_Sheet!E13</f>
        <v>64854.312490653421</v>
      </c>
      <c r="F8" s="13">
        <f>Balance_Sheet!F13</f>
        <v>69516.152610627993</v>
      </c>
      <c r="G8" s="13">
        <f>Balance_Sheet!G13</f>
        <v>88006.638599458325</v>
      </c>
    </row>
    <row r="9" spans="2:15" ht="18.75" x14ac:dyDescent="0.25">
      <c r="B9" s="14" t="s">
        <v>163</v>
      </c>
      <c r="C9" s="15">
        <f>ROUND(C6/ (C7+ C7), 2)</f>
        <v>0.06</v>
      </c>
      <c r="D9" s="15">
        <f t="shared" ref="D9:G9" si="0">ROUND(D6/ (D7+ D7), 2)</f>
        <v>7.0000000000000007E-2</v>
      </c>
      <c r="E9" s="15">
        <f t="shared" si="0"/>
        <v>7.0000000000000007E-2</v>
      </c>
      <c r="F9" s="15">
        <f t="shared" si="0"/>
        <v>0.08</v>
      </c>
      <c r="G9" s="15">
        <f t="shared" si="0"/>
        <v>0.08</v>
      </c>
    </row>
  </sheetData>
  <mergeCells count="1">
    <mergeCell ref="B5:G5"/>
  </mergeCells>
  <hyperlinks>
    <hyperlink ref="F1" location="Index_Data!A1" tooltip="Hi click here To return Index page" display="Index_Data!A1" xr:uid="{5EAB6B58-1E3C-4EB8-A23F-D974F5B82633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7B25D-6433-47D6-B002-3F5E3A2F3CB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164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8008.4159478561396</v>
      </c>
      <c r="D6" s="13">
        <f>Income_Statement!D49</f>
        <v>9677.7672891120183</v>
      </c>
      <c r="E6" s="13">
        <f>Income_Statement!E49</f>
        <v>9961.8852015413995</v>
      </c>
      <c r="F6" s="13">
        <f>Income_Statement!F49</f>
        <v>11483.830119974566</v>
      </c>
      <c r="G6" s="13">
        <f>Income_Statement!G49</f>
        <v>16746.625988830339</v>
      </c>
    </row>
    <row r="7" spans="2:15" ht="18.75" x14ac:dyDescent="0.25">
      <c r="B7" s="12" t="str">
        <f>Balance_Sheet!B13</f>
        <v>Net Worth</v>
      </c>
      <c r="C7" s="13">
        <f>Balance_Sheet!C13</f>
        <v>54425.990000000005</v>
      </c>
      <c r="D7" s="13">
        <f>Balance_Sheet!D13</f>
        <v>58648.387289112026</v>
      </c>
      <c r="E7" s="13">
        <f>Balance_Sheet!E13</f>
        <v>64854.312490653421</v>
      </c>
      <c r="F7" s="13">
        <f>Balance_Sheet!F13</f>
        <v>69516.152610627993</v>
      </c>
      <c r="G7" s="13">
        <f>Balance_Sheet!G13</f>
        <v>88006.638599458325</v>
      </c>
    </row>
    <row r="8" spans="2:15" ht="18.75" x14ac:dyDescent="0.25">
      <c r="B8" s="14" t="s">
        <v>165</v>
      </c>
      <c r="C8" s="15">
        <f>ROUND(C6/ (C7+ C7), 2)</f>
        <v>7.0000000000000007E-2</v>
      </c>
      <c r="D8" s="15">
        <f t="shared" ref="D8:G8" si="0">ROUND(D6/ (D7+ D7), 2)</f>
        <v>0.08</v>
      </c>
      <c r="E8" s="15">
        <f t="shared" si="0"/>
        <v>0.08</v>
      </c>
      <c r="F8" s="15">
        <f t="shared" si="0"/>
        <v>0.08</v>
      </c>
      <c r="G8" s="15">
        <f t="shared" si="0"/>
        <v>0.1</v>
      </c>
    </row>
  </sheetData>
  <mergeCells count="1">
    <mergeCell ref="B5:G5"/>
  </mergeCells>
  <hyperlinks>
    <hyperlink ref="F1" location="Index_Data!A1" tooltip="Hi click here To return Index page" display="Index_Data!A1" xr:uid="{1D4BDE9D-93A2-473A-8D0A-63D14ECC7BEF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913C9-9502-40D4-9AC2-C6CB13214D9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166</v>
      </c>
      <c r="C5" s="43"/>
      <c r="D5" s="43"/>
      <c r="E5" s="43"/>
      <c r="F5" s="43"/>
      <c r="G5" s="43"/>
    </row>
    <row r="6" spans="2:15" ht="18.75" x14ac:dyDescent="0.25">
      <c r="B6" s="12" t="str">
        <f>Balance_Sheet!B21</f>
        <v>Total Debt</v>
      </c>
      <c r="C6" s="13">
        <f>Balance_Sheet!C21</f>
        <v>137183.17000000001</v>
      </c>
      <c r="D6" s="13">
        <f>Balance_Sheet!D21</f>
        <v>145647.99000000002</v>
      </c>
      <c r="E6" s="13">
        <f>Balance_Sheet!E21</f>
        <v>149649.88999999998</v>
      </c>
      <c r="F6" s="13">
        <f>Balance_Sheet!F21</f>
        <v>142811.41</v>
      </c>
      <c r="G6" s="13">
        <f>Balance_Sheet!G21</f>
        <v>146022.25</v>
      </c>
    </row>
    <row r="7" spans="2:15" ht="18.75" x14ac:dyDescent="0.25">
      <c r="B7" s="12" t="str">
        <f>Balance_Sheet!B13</f>
        <v>Net Worth</v>
      </c>
      <c r="C7" s="13">
        <f>Balance_Sheet!C13</f>
        <v>54425.990000000005</v>
      </c>
      <c r="D7" s="13">
        <f>Balance_Sheet!D13</f>
        <v>58648.387289112026</v>
      </c>
      <c r="E7" s="13">
        <f>Balance_Sheet!E13</f>
        <v>64854.312490653421</v>
      </c>
      <c r="F7" s="13">
        <f>Balance_Sheet!F13</f>
        <v>69516.152610627993</v>
      </c>
      <c r="G7" s="13">
        <f>Balance_Sheet!G13</f>
        <v>88006.638599458325</v>
      </c>
    </row>
    <row r="8" spans="2:15" ht="18.75" x14ac:dyDescent="0.25">
      <c r="B8" s="14" t="s">
        <v>167</v>
      </c>
      <c r="C8" s="14">
        <f>ROUND(C6/ C7, 2)</f>
        <v>2.52</v>
      </c>
      <c r="D8" s="14">
        <f t="shared" ref="D8:G8" si="0">ROUND(D6/ D7, 2)</f>
        <v>2.48</v>
      </c>
      <c r="E8" s="14">
        <f t="shared" si="0"/>
        <v>2.31</v>
      </c>
      <c r="F8" s="14">
        <f t="shared" si="0"/>
        <v>2.0499999999999998</v>
      </c>
      <c r="G8" s="14">
        <f t="shared" si="0"/>
        <v>1.66</v>
      </c>
    </row>
  </sheetData>
  <mergeCells count="1">
    <mergeCell ref="B5:G5"/>
  </mergeCells>
  <hyperlinks>
    <hyperlink ref="F1" location="Index_Data!A1" tooltip="Hi click here To return Index page" display="Index_Data!A1" xr:uid="{B4CD3B91-7125-47F5-889F-9EDAF9D27B0E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1F22A-B55B-4BAA-BD5A-E5EF72C59B68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6" width="13.140625" bestFit="1" customWidth="1"/>
    <col min="7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168</v>
      </c>
      <c r="C5" s="43"/>
      <c r="D5" s="43"/>
      <c r="E5" s="43"/>
      <c r="F5" s="43"/>
      <c r="G5" s="43"/>
    </row>
    <row r="6" spans="2:15" ht="18.75" x14ac:dyDescent="0.25">
      <c r="B6" s="12" t="str">
        <f>Balance_Sheet!B72</f>
        <v>Total Current Assets</v>
      </c>
      <c r="C6" s="13">
        <f>Balance_Sheet!C72</f>
        <v>30225.239999999998</v>
      </c>
      <c r="D6" s="13">
        <f>Balance_Sheet!D72</f>
        <v>46034.027289112026</v>
      </c>
      <c r="E6" s="13">
        <f>Balance_Sheet!E72</f>
        <v>61512.55249065339</v>
      </c>
      <c r="F6" s="13">
        <f>Balance_Sheet!F72</f>
        <v>79625.062610627996</v>
      </c>
      <c r="G6" s="13">
        <f>Balance_Sheet!G72</f>
        <v>101347.69859945832</v>
      </c>
    </row>
    <row r="7" spans="2:15" ht="18.75" x14ac:dyDescent="0.25">
      <c r="B7" s="12" t="str">
        <f>Balance_Sheet!B33</f>
        <v>Total Current Liabilities</v>
      </c>
      <c r="C7" s="13">
        <f>Balance_Sheet!C33</f>
        <v>33706.89</v>
      </c>
      <c r="D7" s="13">
        <f>Balance_Sheet!D33</f>
        <v>42621.210000000006</v>
      </c>
      <c r="E7" s="13">
        <f>Balance_Sheet!E33</f>
        <v>42307.979999999996</v>
      </c>
      <c r="F7" s="13">
        <f>Balance_Sheet!F33</f>
        <v>43001.64</v>
      </c>
      <c r="G7" s="13">
        <f>Balance_Sheet!G33</f>
        <v>28674.050000000003</v>
      </c>
    </row>
    <row r="8" spans="2:15" ht="18.75" x14ac:dyDescent="0.25">
      <c r="B8" s="14" t="s">
        <v>169</v>
      </c>
      <c r="C8" s="14">
        <f>ROUND(C6/ C7, 2)</f>
        <v>0.9</v>
      </c>
      <c r="D8" s="14">
        <f t="shared" ref="D8:G8" si="0">ROUND(D6/ D7, 2)</f>
        <v>1.08</v>
      </c>
      <c r="E8" s="14">
        <f t="shared" si="0"/>
        <v>1.45</v>
      </c>
      <c r="F8" s="14">
        <f t="shared" si="0"/>
        <v>1.85</v>
      </c>
      <c r="G8" s="14">
        <f t="shared" si="0"/>
        <v>3.53</v>
      </c>
    </row>
  </sheetData>
  <mergeCells count="1">
    <mergeCell ref="B5:G5"/>
  </mergeCells>
  <hyperlinks>
    <hyperlink ref="F1" location="Index_Data!A1" tooltip="Hi click here To return Index page" display="Index_Data!A1" xr:uid="{FB7FB39A-C1BF-4A61-9D83-6B6FE9BAD991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1142C-2273-4990-8A85-B2FE7764C72D}">
  <dimension ref="A1:O41"/>
  <sheetViews>
    <sheetView topLeftCell="A23" workbookViewId="0">
      <selection activeCell="A41" sqref="A41"/>
    </sheetView>
  </sheetViews>
  <sheetFormatPr defaultRowHeight="15" x14ac:dyDescent="0.25"/>
  <sheetData>
    <row r="1" spans="1:15" x14ac:dyDescent="0.25">
      <c r="F1" s="44" t="s">
        <v>271</v>
      </c>
      <c r="O1" s="45"/>
    </row>
    <row r="2" spans="1:15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56</v>
      </c>
      <c r="H4" t="s">
        <v>1</v>
      </c>
    </row>
    <row r="5" spans="1:15" x14ac:dyDescent="0.25">
      <c r="A5" t="s">
        <v>97</v>
      </c>
      <c r="B5" t="s">
        <v>97</v>
      </c>
      <c r="C5" s="2">
        <v>29904.959999999999</v>
      </c>
      <c r="D5" s="2">
        <v>34831.17</v>
      </c>
      <c r="E5" s="2">
        <v>36800.129999999997</v>
      </c>
      <c r="F5" s="2">
        <v>39300.83</v>
      </c>
      <c r="G5" s="2">
        <v>41616.339999999997</v>
      </c>
      <c r="H5" t="s">
        <v>1</v>
      </c>
    </row>
    <row r="6" spans="1:15" x14ac:dyDescent="0.25">
      <c r="A6" t="s">
        <v>98</v>
      </c>
      <c r="B6" t="s">
        <v>98</v>
      </c>
      <c r="C6">
        <v>0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15" x14ac:dyDescent="0.25">
      <c r="B7" t="s">
        <v>57</v>
      </c>
      <c r="C7" s="2">
        <v>29904.959999999999</v>
      </c>
      <c r="D7" s="2">
        <v>34831.17</v>
      </c>
      <c r="E7" s="2">
        <v>36800.129999999997</v>
      </c>
      <c r="F7" s="2">
        <v>39300.83</v>
      </c>
      <c r="G7" s="2">
        <v>41616.339999999997</v>
      </c>
      <c r="H7" t="s">
        <v>1</v>
      </c>
    </row>
    <row r="8" spans="1:15" x14ac:dyDescent="0.25">
      <c r="B8" t="s">
        <v>58</v>
      </c>
      <c r="C8" s="2">
        <v>29953.62</v>
      </c>
      <c r="D8" s="2">
        <v>35059.120000000003</v>
      </c>
      <c r="E8" s="2">
        <v>37743.54</v>
      </c>
      <c r="F8" s="2">
        <v>39639.79</v>
      </c>
      <c r="G8" s="2">
        <v>41616.339999999997</v>
      </c>
      <c r="H8" t="s">
        <v>1</v>
      </c>
    </row>
    <row r="9" spans="1:15" x14ac:dyDescent="0.25">
      <c r="A9" t="s">
        <v>59</v>
      </c>
      <c r="B9" t="s">
        <v>59</v>
      </c>
      <c r="C9" s="2">
        <v>476.92</v>
      </c>
      <c r="D9" s="2">
        <v>602.20000000000005</v>
      </c>
      <c r="E9">
        <v>927.42</v>
      </c>
      <c r="F9">
        <v>1183.74</v>
      </c>
      <c r="G9">
        <v>1081.56</v>
      </c>
      <c r="H9" t="s">
        <v>1</v>
      </c>
    </row>
    <row r="10" spans="1:15" x14ac:dyDescent="0.25">
      <c r="B10" t="s">
        <v>60</v>
      </c>
      <c r="C10" s="2">
        <v>30430.54</v>
      </c>
      <c r="D10" s="2">
        <v>35661.32</v>
      </c>
      <c r="E10" s="2">
        <v>38670.959999999999</v>
      </c>
      <c r="F10" s="2">
        <v>40823.53</v>
      </c>
      <c r="G10" s="2">
        <v>42697.9</v>
      </c>
      <c r="H10" t="s">
        <v>1</v>
      </c>
    </row>
    <row r="11" spans="1:15" x14ac:dyDescent="0.25">
      <c r="B11" t="s">
        <v>61</v>
      </c>
      <c r="H11" t="s">
        <v>1</v>
      </c>
    </row>
    <row r="12" spans="1:15" x14ac:dyDescent="0.25">
      <c r="A12" t="s">
        <v>99</v>
      </c>
      <c r="B12" t="s">
        <v>62</v>
      </c>
      <c r="C12">
        <v>0</v>
      </c>
      <c r="D12">
        <v>0</v>
      </c>
      <c r="E12">
        <v>0</v>
      </c>
      <c r="F12">
        <v>0</v>
      </c>
      <c r="G12">
        <v>0</v>
      </c>
      <c r="H12" t="s">
        <v>1</v>
      </c>
    </row>
    <row r="13" spans="1:15" x14ac:dyDescent="0.25">
      <c r="B13" t="s">
        <v>63</v>
      </c>
      <c r="C13">
        <v>0</v>
      </c>
      <c r="D13">
        <v>0</v>
      </c>
      <c r="E13">
        <v>0</v>
      </c>
      <c r="F13">
        <v>0</v>
      </c>
      <c r="G13">
        <v>0</v>
      </c>
      <c r="H13" t="s">
        <v>1</v>
      </c>
    </row>
    <row r="14" spans="1:15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15" x14ac:dyDescent="0.25">
      <c r="B15" t="s">
        <v>65</v>
      </c>
      <c r="C15">
        <v>0</v>
      </c>
      <c r="D15">
        <v>0</v>
      </c>
      <c r="E15">
        <v>0</v>
      </c>
      <c r="F15">
        <v>0</v>
      </c>
      <c r="G15">
        <v>0</v>
      </c>
      <c r="H15" t="s">
        <v>1</v>
      </c>
    </row>
    <row r="16" spans="1:15" x14ac:dyDescent="0.25">
      <c r="A16" t="s">
        <v>99</v>
      </c>
      <c r="B16" t="s">
        <v>66</v>
      </c>
      <c r="C16" s="2">
        <v>1599.09</v>
      </c>
      <c r="D16" s="2">
        <v>1783.57</v>
      </c>
      <c r="E16" s="2">
        <v>1959.75</v>
      </c>
      <c r="F16" s="2">
        <v>2114.7600000000002</v>
      </c>
      <c r="G16" s="2">
        <v>2243.89</v>
      </c>
      <c r="H16" t="s">
        <v>1</v>
      </c>
    </row>
    <row r="17" spans="1:8" x14ac:dyDescent="0.25">
      <c r="A17" t="s">
        <v>100</v>
      </c>
      <c r="B17" t="s">
        <v>67</v>
      </c>
      <c r="C17" s="2">
        <v>7324.14</v>
      </c>
      <c r="D17" s="2">
        <v>8736.57</v>
      </c>
      <c r="E17" s="2">
        <v>9509</v>
      </c>
      <c r="F17" s="2">
        <v>8134.69</v>
      </c>
      <c r="G17" s="2">
        <v>8036.22</v>
      </c>
      <c r="H17" t="s">
        <v>1</v>
      </c>
    </row>
    <row r="18" spans="1:8" x14ac:dyDescent="0.25">
      <c r="A18" t="s">
        <v>101</v>
      </c>
      <c r="B18" t="s">
        <v>68</v>
      </c>
      <c r="C18" s="2">
        <v>9230.99</v>
      </c>
      <c r="D18" s="2">
        <v>10540.95</v>
      </c>
      <c r="E18" s="2">
        <v>11607.04</v>
      </c>
      <c r="F18" s="2">
        <v>12039.19</v>
      </c>
      <c r="G18" s="2">
        <v>12871.66</v>
      </c>
      <c r="H18" t="s">
        <v>1</v>
      </c>
    </row>
    <row r="19" spans="1:8" x14ac:dyDescent="0.25">
      <c r="A19" t="s">
        <v>99</v>
      </c>
      <c r="B19" t="s">
        <v>69</v>
      </c>
      <c r="C19" s="2">
        <v>2237.6999999999998</v>
      </c>
      <c r="D19" s="2">
        <v>3055.01</v>
      </c>
      <c r="E19" s="2">
        <v>2843.55</v>
      </c>
      <c r="F19" s="2">
        <v>2531.92</v>
      </c>
      <c r="G19" s="2">
        <v>2805.55</v>
      </c>
      <c r="H19" t="s">
        <v>1</v>
      </c>
    </row>
    <row r="20" spans="1:8" x14ac:dyDescent="0.25">
      <c r="B20" t="s">
        <v>70</v>
      </c>
      <c r="C20" s="2">
        <v>20391.919999999998</v>
      </c>
      <c r="D20" s="2">
        <v>24116.1</v>
      </c>
      <c r="E20" s="2">
        <v>25919.34</v>
      </c>
      <c r="F20" s="2">
        <v>24820.560000000001</v>
      </c>
      <c r="G20" s="2">
        <v>25957.32</v>
      </c>
      <c r="H20" t="s">
        <v>1</v>
      </c>
    </row>
    <row r="21" spans="1:8" x14ac:dyDescent="0.25">
      <c r="B21" t="s">
        <v>71</v>
      </c>
      <c r="C21" s="2">
        <v>10038.620000000001</v>
      </c>
      <c r="D21" s="2">
        <v>11545.22</v>
      </c>
      <c r="E21" s="2">
        <v>12751.62</v>
      </c>
      <c r="F21" s="2">
        <v>16002.97</v>
      </c>
      <c r="G21" s="2">
        <v>16740.580000000002</v>
      </c>
      <c r="H21" t="s">
        <v>1</v>
      </c>
    </row>
    <row r="22" spans="1:8" x14ac:dyDescent="0.25">
      <c r="A22" t="s">
        <v>102</v>
      </c>
      <c r="B22" t="s">
        <v>72</v>
      </c>
      <c r="C22" s="2">
        <v>3284.19</v>
      </c>
      <c r="D22">
        <v>-2526.87</v>
      </c>
      <c r="E22" s="2">
        <v>1683.4</v>
      </c>
      <c r="F22" s="2">
        <v>-716.96</v>
      </c>
      <c r="G22" s="2">
        <v>2790.59</v>
      </c>
      <c r="H22" t="s">
        <v>1</v>
      </c>
    </row>
    <row r="23" spans="1:8" x14ac:dyDescent="0.25">
      <c r="B23" t="s">
        <v>73</v>
      </c>
      <c r="C23" s="2">
        <v>13322.81</v>
      </c>
      <c r="D23" s="2">
        <v>9018.35</v>
      </c>
      <c r="E23" s="2">
        <v>14435.02</v>
      </c>
      <c r="F23" s="2">
        <v>15286.01</v>
      </c>
      <c r="G23" s="2">
        <v>19531.169999999998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2182.64</v>
      </c>
      <c r="D25" s="2">
        <v>2568.02</v>
      </c>
      <c r="E25" s="2">
        <v>2198.54</v>
      </c>
      <c r="F25" s="2">
        <v>2565.27</v>
      </c>
      <c r="G25" s="2">
        <v>2785.57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3068.77</v>
      </c>
      <c r="D27">
        <v>-3454.37</v>
      </c>
      <c r="E27" s="2">
        <v>1210.3</v>
      </c>
      <c r="F27" s="2">
        <v>955.66</v>
      </c>
      <c r="G27" s="2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5266.75</v>
      </c>
      <c r="D29" s="2">
        <v>-886.35</v>
      </c>
      <c r="E29" s="2">
        <v>3530.75</v>
      </c>
      <c r="F29">
        <v>3464.25</v>
      </c>
      <c r="G29" s="2">
        <v>2785.57</v>
      </c>
      <c r="H29" t="s">
        <v>1</v>
      </c>
    </row>
    <row r="30" spans="1:8" x14ac:dyDescent="0.25">
      <c r="B30" t="s">
        <v>80</v>
      </c>
      <c r="C30" s="2">
        <v>8056.06</v>
      </c>
      <c r="D30" s="2">
        <v>9904.7000000000007</v>
      </c>
      <c r="E30" s="2">
        <v>10904.27</v>
      </c>
      <c r="F30" s="2">
        <v>11821.76</v>
      </c>
      <c r="G30" s="2">
        <v>16745.599999999999</v>
      </c>
      <c r="H30" t="s">
        <v>1</v>
      </c>
    </row>
    <row r="31" spans="1:8" x14ac:dyDescent="0.25">
      <c r="B31" t="s">
        <v>81</v>
      </c>
      <c r="C31" s="2">
        <v>8056.06</v>
      </c>
      <c r="D31" s="2">
        <v>9904.7000000000007</v>
      </c>
      <c r="E31" s="2">
        <v>10904.27</v>
      </c>
      <c r="F31" s="2">
        <v>11821.76</v>
      </c>
      <c r="G31" s="2">
        <v>16745.599999999999</v>
      </c>
      <c r="H31" t="s">
        <v>1</v>
      </c>
    </row>
    <row r="32" spans="1:8" x14ac:dyDescent="0.25">
      <c r="B32" t="s">
        <v>82</v>
      </c>
      <c r="C32" s="2">
        <v>8056.06</v>
      </c>
      <c r="D32" s="2">
        <v>9904.7000000000007</v>
      </c>
      <c r="E32" s="2">
        <v>10904.27</v>
      </c>
      <c r="F32" s="2">
        <v>11821.76</v>
      </c>
      <c r="G32" s="2">
        <v>16745.599999999999</v>
      </c>
      <c r="H32" t="s">
        <v>1</v>
      </c>
    </row>
    <row r="33" spans="1:8" x14ac:dyDescent="0.25">
      <c r="B33" t="s">
        <v>10</v>
      </c>
      <c r="C33">
        <v>0</v>
      </c>
      <c r="D33">
        <v>0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B34" t="s">
        <v>83</v>
      </c>
      <c r="C34" s="2">
        <v>8204</v>
      </c>
      <c r="D34" s="2">
        <v>10033.52</v>
      </c>
      <c r="E34" s="2">
        <v>11059.4</v>
      </c>
      <c r="F34" s="2">
        <v>12036.46</v>
      </c>
      <c r="G34" s="2">
        <v>16824.07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16</v>
      </c>
      <c r="D37">
        <v>19</v>
      </c>
      <c r="E37">
        <v>21</v>
      </c>
      <c r="F37">
        <v>23</v>
      </c>
      <c r="G37">
        <v>24</v>
      </c>
      <c r="H37" t="s">
        <v>1</v>
      </c>
    </row>
    <row r="38" spans="1:8" x14ac:dyDescent="0.25">
      <c r="B38" t="s">
        <v>86</v>
      </c>
      <c r="C38">
        <v>16</v>
      </c>
      <c r="D38">
        <v>19</v>
      </c>
      <c r="E38">
        <v>21</v>
      </c>
      <c r="F38">
        <v>23</v>
      </c>
      <c r="G38">
        <v>24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3034.33</v>
      </c>
      <c r="D40" s="2">
        <v>4514.87</v>
      </c>
      <c r="E40" s="2">
        <v>3118.02</v>
      </c>
      <c r="F40" s="2">
        <v>6821.99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625.45000000000005</v>
      </c>
      <c r="D41">
        <v>940.5</v>
      </c>
      <c r="E41">
        <v>637.94000000000005</v>
      </c>
      <c r="F41">
        <v>0</v>
      </c>
      <c r="G41">
        <v>0</v>
      </c>
      <c r="H41" t="s">
        <v>1</v>
      </c>
    </row>
  </sheetData>
  <hyperlinks>
    <hyperlink ref="F1" location="Index_Data!A1" tooltip="Hi click here To return Index page" display="Index_Data!A1" xr:uid="{B74CB7FB-F555-4DE6-9963-93E60F422929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62E59-8842-455E-8EEF-2EC8FC36FF3A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6" width="13.140625" bestFit="1" customWidth="1"/>
    <col min="7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170</v>
      </c>
      <c r="C5" s="43"/>
      <c r="D5" s="43"/>
      <c r="E5" s="43"/>
      <c r="F5" s="43"/>
      <c r="G5" s="43"/>
    </row>
    <row r="6" spans="2:15" ht="18.75" x14ac:dyDescent="0.25">
      <c r="B6" s="12" t="str">
        <f>Balance_Sheet!B72</f>
        <v>Total Current Assets</v>
      </c>
      <c r="C6" s="13">
        <f>Balance_Sheet!C72</f>
        <v>30225.239999999998</v>
      </c>
      <c r="D6" s="13">
        <f>Balance_Sheet!D72</f>
        <v>46034.027289112026</v>
      </c>
      <c r="E6" s="13">
        <f>Balance_Sheet!E72</f>
        <v>61512.55249065339</v>
      </c>
      <c r="F6" s="13">
        <f>Balance_Sheet!F72</f>
        <v>79625.062610627996</v>
      </c>
      <c r="G6" s="13">
        <f>Balance_Sheet!G72</f>
        <v>101347.69859945832</v>
      </c>
    </row>
    <row r="7" spans="2:15" ht="18.75" x14ac:dyDescent="0.25">
      <c r="B7" s="12" t="str">
        <f>Balance_Sheet!B66</f>
        <v>Inventories</v>
      </c>
      <c r="C7" s="13">
        <f>Balance_Sheet!C66</f>
        <v>1049.3499999999999</v>
      </c>
      <c r="D7" s="13">
        <f>Balance_Sheet!D66</f>
        <v>1247.25</v>
      </c>
      <c r="E7" s="13">
        <f>Balance_Sheet!E66</f>
        <v>1433.46</v>
      </c>
      <c r="F7" s="13">
        <f>Balance_Sheet!F66</f>
        <v>1366.94</v>
      </c>
      <c r="G7" s="13">
        <f>Balance_Sheet!G66</f>
        <v>1357.17</v>
      </c>
    </row>
    <row r="8" spans="2:15" ht="18.75" x14ac:dyDescent="0.25">
      <c r="B8" s="12" t="str">
        <f>Balance_Sheet!B33</f>
        <v>Total Current Liabilities</v>
      </c>
      <c r="C8" s="13">
        <f>Balance_Sheet!C33</f>
        <v>33706.89</v>
      </c>
      <c r="D8" s="13">
        <f>Balance_Sheet!D33</f>
        <v>42621.210000000006</v>
      </c>
      <c r="E8" s="13">
        <f>Balance_Sheet!E33</f>
        <v>42307.979999999996</v>
      </c>
      <c r="F8" s="13">
        <f>Balance_Sheet!F33</f>
        <v>43001.64</v>
      </c>
      <c r="G8" s="13">
        <f>Balance_Sheet!G33</f>
        <v>28674.050000000003</v>
      </c>
    </row>
    <row r="9" spans="2:15" ht="18.75" x14ac:dyDescent="0.25">
      <c r="B9" s="14" t="s">
        <v>171</v>
      </c>
      <c r="C9" s="14">
        <f>ROUND((C6-C7)/ C8, 2)</f>
        <v>0.87</v>
      </c>
      <c r="D9" s="14">
        <f t="shared" ref="D9:G9" si="0">ROUND((D6-D7)/ D8, 2)</f>
        <v>1.05</v>
      </c>
      <c r="E9" s="14">
        <f t="shared" si="0"/>
        <v>1.42</v>
      </c>
      <c r="F9" s="14">
        <f t="shared" si="0"/>
        <v>1.82</v>
      </c>
      <c r="G9" s="14">
        <f t="shared" si="0"/>
        <v>3.49</v>
      </c>
    </row>
  </sheetData>
  <mergeCells count="1">
    <mergeCell ref="B5:G5"/>
  </mergeCells>
  <hyperlinks>
    <hyperlink ref="F1" location="Index_Data!A1" tooltip="Hi click here To return Index page" display="Index_Data!A1" xr:uid="{7315FC4D-E41F-476B-B298-CA9B9A866836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3B1E2-6CA9-446E-9167-5E85C74AE768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172</v>
      </c>
      <c r="C5" s="43"/>
      <c r="D5" s="43"/>
      <c r="E5" s="43"/>
      <c r="F5" s="43"/>
      <c r="G5" s="43"/>
    </row>
    <row r="6" spans="2:15" ht="18.75" x14ac:dyDescent="0.25">
      <c r="B6" s="12" t="str">
        <f>Income_Statement!B33</f>
        <v>PBIT</v>
      </c>
      <c r="C6" s="13">
        <f>Income_Statement!C33</f>
        <v>17315.115947856139</v>
      </c>
      <c r="D6" s="13">
        <f>Income_Statement!D33</f>
        <v>20054.857289112017</v>
      </c>
      <c r="E6" s="13">
        <f>Income_Statement!E33</f>
        <v>21318.2352015414</v>
      </c>
      <c r="F6" s="13">
        <f>Income_Statement!F33</f>
        <v>23799.730119974563</v>
      </c>
      <c r="G6" s="13">
        <f>Income_Statement!G33</f>
        <v>24777.82598883034</v>
      </c>
    </row>
    <row r="7" spans="2:15" ht="18.75" x14ac:dyDescent="0.25">
      <c r="B7" s="12" t="str">
        <f>Income_Statement!B35</f>
        <v>Finance Costs</v>
      </c>
      <c r="C7" s="13">
        <f>Income_Statement!C35</f>
        <v>7324.14</v>
      </c>
      <c r="D7" s="13">
        <f>Income_Statement!D35</f>
        <v>8736.57</v>
      </c>
      <c r="E7" s="13">
        <f>Income_Statement!E35</f>
        <v>9509</v>
      </c>
      <c r="F7" s="13">
        <f>Income_Statement!F35</f>
        <v>8134.69</v>
      </c>
      <c r="G7" s="13">
        <f>Income_Statement!G35</f>
        <v>8036.22</v>
      </c>
    </row>
    <row r="8" spans="2:15" ht="18.75" x14ac:dyDescent="0.25">
      <c r="B8" s="14" t="s">
        <v>173</v>
      </c>
      <c r="C8" s="14">
        <f>ROUND(C6/C7, 2)</f>
        <v>2.36</v>
      </c>
      <c r="D8" s="14">
        <f t="shared" ref="D8:G8" si="0">ROUND(D6/D7, 2)</f>
        <v>2.2999999999999998</v>
      </c>
      <c r="E8" s="14">
        <f t="shared" si="0"/>
        <v>2.2400000000000002</v>
      </c>
      <c r="F8" s="14">
        <f t="shared" si="0"/>
        <v>2.93</v>
      </c>
      <c r="G8" s="14">
        <f t="shared" si="0"/>
        <v>3.08</v>
      </c>
    </row>
  </sheetData>
  <mergeCells count="1">
    <mergeCell ref="B5:G5"/>
  </mergeCells>
  <hyperlinks>
    <hyperlink ref="F1" location="Index_Data!A1" tooltip="Hi click here To return Index page" display="Index_Data!A1" xr:uid="{F6648AE4-A9F7-45C9-9387-83896F56DD1B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E83C1-FAB8-4C90-BC4E-224737159070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174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0</v>
      </c>
      <c r="D6" s="13">
        <f>Income_Statement!D17</f>
        <v>0</v>
      </c>
      <c r="E6" s="13">
        <f>Income_Statement!E17</f>
        <v>0</v>
      </c>
      <c r="F6" s="13">
        <f>Income_Statement!F17</f>
        <v>0</v>
      </c>
      <c r="G6" s="13">
        <f>Income_Statement!G17</f>
        <v>0</v>
      </c>
    </row>
    <row r="7" spans="2:15" ht="18.75" x14ac:dyDescent="0.25">
      <c r="B7" s="12" t="str">
        <f>Income_Statement!B9</f>
        <v>Net Sales</v>
      </c>
      <c r="C7" s="13">
        <f>Income_Statement!C9</f>
        <v>29904.959999999999</v>
      </c>
      <c r="D7" s="13">
        <f>Income_Statement!D9</f>
        <v>34831.17</v>
      </c>
      <c r="E7" s="13">
        <f>Income_Statement!E9</f>
        <v>36800.129999999997</v>
      </c>
      <c r="F7" s="13">
        <f>Income_Statement!F9</f>
        <v>39300.83</v>
      </c>
      <c r="G7" s="13">
        <f>Income_Statement!G9</f>
        <v>41616.339999999997</v>
      </c>
    </row>
    <row r="8" spans="2:15" ht="18.75" x14ac:dyDescent="0.25">
      <c r="B8" s="14" t="s">
        <v>175</v>
      </c>
      <c r="C8" s="14">
        <f>ROUND(C6/C7, 2)</f>
        <v>0</v>
      </c>
      <c r="D8" s="14">
        <f t="shared" ref="D8:G8" si="0">ROUND(D6/D7, 2)</f>
        <v>0</v>
      </c>
      <c r="E8" s="14">
        <f t="shared" si="0"/>
        <v>0</v>
      </c>
      <c r="F8" s="14">
        <f t="shared" si="0"/>
        <v>0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4920A841-E52C-4C60-9567-2B914DF97A14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D09FB-D90A-480E-AE5B-5C67389984D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3" width="11.5703125" bestFit="1" customWidth="1"/>
    <col min="4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176</v>
      </c>
      <c r="C5" s="43"/>
      <c r="D5" s="43"/>
      <c r="E5" s="43"/>
      <c r="F5" s="43"/>
      <c r="G5" s="43"/>
    </row>
    <row r="6" spans="2:15" ht="18.75" x14ac:dyDescent="0.25">
      <c r="B6" s="12" t="str">
        <f>Balance_Sheet!B70</f>
        <v>Cash And Cash Equivalents</v>
      </c>
      <c r="C6" s="13">
        <f>Balance_Sheet!C70</f>
        <v>2189.02</v>
      </c>
      <c r="D6" s="13">
        <f>Balance_Sheet!D70</f>
        <v>14680.187289112033</v>
      </c>
      <c r="E6" s="13">
        <f>Balance_Sheet!E70</f>
        <v>28018.922490653393</v>
      </c>
      <c r="F6" s="13">
        <f>Balance_Sheet!F70</f>
        <v>39283.96261062799</v>
      </c>
      <c r="G6" s="13">
        <f>Balance_Sheet!G70</f>
        <v>63866.528599458325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0</v>
      </c>
      <c r="D7" s="13">
        <f>Income_Statement!D17</f>
        <v>0</v>
      </c>
      <c r="E7" s="13">
        <f>Income_Statement!E17</f>
        <v>0</v>
      </c>
      <c r="F7" s="13">
        <f>Income_Statement!F17</f>
        <v>0</v>
      </c>
      <c r="G7" s="13">
        <f>Income_Statement!G17</f>
        <v>0</v>
      </c>
    </row>
    <row r="8" spans="2:15" ht="18.75" x14ac:dyDescent="0.25">
      <c r="B8" s="14" t="s">
        <v>177</v>
      </c>
      <c r="C8" s="14" t="e">
        <f>ROUND(C6/C7*365, 2)</f>
        <v>#DIV/0!</v>
      </c>
      <c r="D8" s="14" t="e">
        <f t="shared" ref="D8:G8" si="0">ROUND(D6/D7*365,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hyperlinks>
    <hyperlink ref="F1" location="Index_Data!A1" tooltip="Hi click here To return Index page" display="Index_Data!A1" xr:uid="{412BDE48-1121-4657-AC88-DD4E4F814C01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F8ED7-86B4-4891-BFBC-5ECADC9A7F1A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2.28515625" bestFit="1" customWidth="1"/>
    <col min="4" max="7" width="14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178</v>
      </c>
      <c r="C5" s="43"/>
      <c r="D5" s="43"/>
      <c r="E5" s="43"/>
      <c r="F5" s="43"/>
      <c r="G5" s="43"/>
    </row>
    <row r="6" spans="2:15" ht="18.75" x14ac:dyDescent="0.25">
      <c r="B6" s="12" t="str">
        <f>Balance_Sheet!B70</f>
        <v>Cash And Cash Equivalents</v>
      </c>
      <c r="C6" s="13">
        <f>Balance_Sheet!C70</f>
        <v>2189.02</v>
      </c>
      <c r="D6" s="13">
        <f>Balance_Sheet!D70</f>
        <v>14680.187289112033</v>
      </c>
      <c r="E6" s="13">
        <f>Balance_Sheet!E70</f>
        <v>28018.922490653393</v>
      </c>
      <c r="F6" s="13">
        <f>Balance_Sheet!F70</f>
        <v>39283.96261062799</v>
      </c>
      <c r="G6" s="13">
        <f>Balance_Sheet!G70</f>
        <v>63866.528599458325</v>
      </c>
    </row>
    <row r="7" spans="2:15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15" ht="18.75" x14ac:dyDescent="0.25">
      <c r="B8" s="14" t="s">
        <v>180</v>
      </c>
      <c r="C8" s="14">
        <f>ROUND(C6/C7*365, 2)</f>
        <v>2189.02</v>
      </c>
      <c r="D8" s="14">
        <f t="shared" ref="D8:G8" si="0">ROUND(D6/D7*365, 2)</f>
        <v>14680.19</v>
      </c>
      <c r="E8" s="14">
        <f t="shared" si="0"/>
        <v>28018.92</v>
      </c>
      <c r="F8" s="14">
        <f t="shared" si="0"/>
        <v>39283.96</v>
      </c>
      <c r="G8" s="14">
        <f t="shared" si="0"/>
        <v>63866.53</v>
      </c>
    </row>
  </sheetData>
  <mergeCells count="1">
    <mergeCell ref="B5:G5"/>
  </mergeCells>
  <hyperlinks>
    <hyperlink ref="F1" location="Index_Data!A1" tooltip="Hi click here To return Index page" display="Index_Data!A1" xr:uid="{06A1A9A5-3396-4204-BC23-FDD379F689BC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6A5EC-2789-4D8F-AF04-6634FD4FD8F3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181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29904.959999999999</v>
      </c>
      <c r="D6" s="13">
        <f>Income_Statement!D5</f>
        <v>34831.17</v>
      </c>
      <c r="E6" s="13">
        <f>Income_Statement!E5</f>
        <v>36800.129999999997</v>
      </c>
      <c r="F6" s="13">
        <f>Income_Statement!F5</f>
        <v>39300.83</v>
      </c>
      <c r="G6" s="13">
        <f>Income_Statement!G5</f>
        <v>41616.339999999997</v>
      </c>
    </row>
    <row r="7" spans="2:15" ht="18.75" x14ac:dyDescent="0.25">
      <c r="B7" s="12" t="str">
        <f>Balance_Sheet!B74</f>
        <v>Total Assets</v>
      </c>
      <c r="C7" s="13">
        <f>Balance_Sheet!C74</f>
        <v>225316.05</v>
      </c>
      <c r="D7" s="13">
        <f>Balance_Sheet!D74</f>
        <v>246917.58728911204</v>
      </c>
      <c r="E7" s="13">
        <f>Balance_Sheet!E74</f>
        <v>256812.18249065339</v>
      </c>
      <c r="F7" s="13">
        <f>Balance_Sheet!F74</f>
        <v>255329.20261062798</v>
      </c>
      <c r="G7" s="13">
        <f>Balance_Sheet!G74</f>
        <v>262702.93859945831</v>
      </c>
    </row>
    <row r="8" spans="2:15" ht="18.75" x14ac:dyDescent="0.25">
      <c r="B8" s="14" t="s">
        <v>182</v>
      </c>
      <c r="C8" s="14">
        <f>ROUND(C6/C7, 2)</f>
        <v>0.13</v>
      </c>
      <c r="D8" s="14">
        <f t="shared" ref="D8:G8" si="0">ROUND(D6/D7, 2)</f>
        <v>0.14000000000000001</v>
      </c>
      <c r="E8" s="14">
        <f t="shared" si="0"/>
        <v>0.14000000000000001</v>
      </c>
      <c r="F8" s="14">
        <f t="shared" si="0"/>
        <v>0.15</v>
      </c>
      <c r="G8" s="14">
        <f t="shared" si="0"/>
        <v>0.16</v>
      </c>
    </row>
  </sheetData>
  <mergeCells count="1">
    <mergeCell ref="B5:G5"/>
  </mergeCells>
  <hyperlinks>
    <hyperlink ref="F1" location="Index_Data!A1" tooltip="Hi click here To return Index page" display="Index_Data!A1" xr:uid="{8FFE1C12-3647-41A4-9331-980A95BF5BAF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25B3D-012C-4049-95E0-1376B8C2054F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183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29904.959999999999</v>
      </c>
      <c r="D6" s="13">
        <f>Income_Statement!D5</f>
        <v>34831.17</v>
      </c>
      <c r="E6" s="13">
        <f>Income_Statement!E5</f>
        <v>36800.129999999997</v>
      </c>
      <c r="F6" s="13">
        <f>Income_Statement!F5</f>
        <v>39300.83</v>
      </c>
      <c r="G6" s="13">
        <f>Income_Statement!G5</f>
        <v>41616.339999999997</v>
      </c>
    </row>
    <row r="7" spans="2:15" ht="18.75" x14ac:dyDescent="0.25">
      <c r="B7" s="12" t="str">
        <f>Balance_Sheet!B66</f>
        <v>Inventories</v>
      </c>
      <c r="C7" s="13">
        <f>Balance_Sheet!C66</f>
        <v>1049.3499999999999</v>
      </c>
      <c r="D7" s="13">
        <f>Balance_Sheet!D66</f>
        <v>1247.25</v>
      </c>
      <c r="E7" s="13">
        <f>Balance_Sheet!E66</f>
        <v>1433.46</v>
      </c>
      <c r="F7" s="13">
        <f>Balance_Sheet!F66</f>
        <v>1366.94</v>
      </c>
      <c r="G7" s="13">
        <f>Balance_Sheet!G66</f>
        <v>1357.17</v>
      </c>
    </row>
    <row r="8" spans="2:15" ht="18.75" x14ac:dyDescent="0.25">
      <c r="B8" s="14" t="s">
        <v>184</v>
      </c>
      <c r="C8" s="14">
        <f>ROUND(C6/C7, 2)</f>
        <v>28.5</v>
      </c>
      <c r="D8" s="14">
        <f t="shared" ref="D8:G8" si="0">ROUND(D6/D7, 2)</f>
        <v>27.93</v>
      </c>
      <c r="E8" s="14">
        <f t="shared" si="0"/>
        <v>25.67</v>
      </c>
      <c r="F8" s="14">
        <f t="shared" si="0"/>
        <v>28.75</v>
      </c>
      <c r="G8" s="14">
        <f t="shared" si="0"/>
        <v>30.66</v>
      </c>
    </row>
  </sheetData>
  <mergeCells count="1">
    <mergeCell ref="B5:G5"/>
  </mergeCells>
  <hyperlinks>
    <hyperlink ref="F1" location="Index_Data!A1" tooltip="Hi click here To return Index page" display="Index_Data!A1" xr:uid="{A0CBEA6D-FF2F-4885-BB3D-19F7E2D95C45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BBEE6-3411-4989-A607-9F311CFDEE36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185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29904.959999999999</v>
      </c>
      <c r="D6" s="13">
        <f>Income_Statement!D5</f>
        <v>34831.17</v>
      </c>
      <c r="E6" s="13">
        <f>Income_Statement!E5</f>
        <v>36800.129999999997</v>
      </c>
      <c r="F6" s="13">
        <f>Income_Statement!F5</f>
        <v>39300.83</v>
      </c>
      <c r="G6" s="13">
        <f>Income_Statement!G5</f>
        <v>41616.339999999997</v>
      </c>
    </row>
    <row r="7" spans="2:15" ht="18.75" x14ac:dyDescent="0.25">
      <c r="B7" s="12" t="str">
        <f>Balance_Sheet!B68</f>
        <v>Trade Receivables</v>
      </c>
      <c r="C7" s="13">
        <f>Balance_Sheet!C68</f>
        <v>3640.02</v>
      </c>
      <c r="D7" s="13">
        <f>Balance_Sheet!D68</f>
        <v>4728.1000000000004</v>
      </c>
      <c r="E7" s="13">
        <f>Balance_Sheet!E68</f>
        <v>5040.71</v>
      </c>
      <c r="F7" s="13">
        <f>Balance_Sheet!F68</f>
        <v>3675.53</v>
      </c>
      <c r="G7" s="13">
        <f>Balance_Sheet!G68</f>
        <v>9475.07</v>
      </c>
    </row>
    <row r="8" spans="2:15" ht="18.75" x14ac:dyDescent="0.25">
      <c r="B8" s="14" t="s">
        <v>186</v>
      </c>
      <c r="C8" s="14">
        <f>ROUND(C6/C7, 2)</f>
        <v>8.2200000000000006</v>
      </c>
      <c r="D8" s="14">
        <f t="shared" ref="D8:G8" si="0">ROUND(D6/D7, 2)</f>
        <v>7.37</v>
      </c>
      <c r="E8" s="14">
        <f t="shared" si="0"/>
        <v>7.3</v>
      </c>
      <c r="F8" s="14">
        <f t="shared" si="0"/>
        <v>10.69</v>
      </c>
      <c r="G8" s="14">
        <f t="shared" si="0"/>
        <v>4.3899999999999997</v>
      </c>
    </row>
  </sheetData>
  <mergeCells count="1">
    <mergeCell ref="B5:G5"/>
  </mergeCells>
  <hyperlinks>
    <hyperlink ref="F1" location="Index_Data!A1" tooltip="Hi click here To return Index page" display="Index_Data!A1" xr:uid="{909F47AE-95D0-4642-B77F-2A2442789891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23E5E-2D71-4E86-9838-8912661B27FA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187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29904.959999999999</v>
      </c>
      <c r="D6" s="13">
        <f>Income_Statement!D5</f>
        <v>34831.17</v>
      </c>
      <c r="E6" s="13">
        <f>Income_Statement!E5</f>
        <v>36800.129999999997</v>
      </c>
      <c r="F6" s="13">
        <f>Income_Statement!F5</f>
        <v>39300.83</v>
      </c>
      <c r="G6" s="13">
        <f>Income_Statement!G5</f>
        <v>41616.339999999997</v>
      </c>
    </row>
    <row r="7" spans="2:15" ht="18.75" x14ac:dyDescent="0.25">
      <c r="B7" s="12" t="str">
        <f>Balance_Sheet!B40</f>
        <v>Tangible Assets</v>
      </c>
      <c r="C7" s="13">
        <f>Balance_Sheet!C40</f>
        <v>154831.41</v>
      </c>
      <c r="D7" s="13">
        <f>Balance_Sheet!D40</f>
        <v>171058.02</v>
      </c>
      <c r="E7" s="13">
        <f>Balance_Sheet!E40</f>
        <v>179449.85</v>
      </c>
      <c r="F7" s="13">
        <f>Balance_Sheet!F40</f>
        <v>182109.02</v>
      </c>
      <c r="G7" s="13">
        <f>Balance_Sheet!G40</f>
        <v>204626.44</v>
      </c>
    </row>
    <row r="8" spans="2:15" ht="18.75" x14ac:dyDescent="0.25">
      <c r="B8" s="14" t="s">
        <v>188</v>
      </c>
      <c r="C8" s="14">
        <f>ROUND(C6/C7, 2)</f>
        <v>0.19</v>
      </c>
      <c r="D8" s="14">
        <f t="shared" ref="D8:G8" si="0">ROUND(D6/D7, 2)</f>
        <v>0.2</v>
      </c>
      <c r="E8" s="14">
        <f t="shared" si="0"/>
        <v>0.21</v>
      </c>
      <c r="F8" s="14">
        <f t="shared" si="0"/>
        <v>0.22</v>
      </c>
      <c r="G8" s="14">
        <f t="shared" si="0"/>
        <v>0.2</v>
      </c>
    </row>
  </sheetData>
  <mergeCells count="1">
    <mergeCell ref="B5:G5"/>
  </mergeCells>
  <hyperlinks>
    <hyperlink ref="F1" location="Index_Data!A1" tooltip="Hi click here To return Index page" display="Index_Data!A1" xr:uid="{B107970E-DA2C-4AB3-8BCA-A916E90768DB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6473A-FE35-42A7-8283-17B545B00FEB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189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0</v>
      </c>
      <c r="D6" s="13">
        <f>Income_Statement!D17</f>
        <v>0</v>
      </c>
      <c r="E6" s="13">
        <f>Income_Statement!E17</f>
        <v>0</v>
      </c>
      <c r="F6" s="13">
        <f>Income_Statement!F17</f>
        <v>0</v>
      </c>
      <c r="G6" s="13">
        <f>Income_Statement!G17</f>
        <v>0</v>
      </c>
    </row>
    <row r="7" spans="2:15" ht="18.75" x14ac:dyDescent="0.25">
      <c r="B7" s="12" t="str">
        <f>Balance_Sheet!B33</f>
        <v>Total Current Liabilities</v>
      </c>
      <c r="C7" s="13">
        <f>Balance_Sheet!C33</f>
        <v>33706.89</v>
      </c>
      <c r="D7" s="13">
        <f>Balance_Sheet!D33</f>
        <v>42621.210000000006</v>
      </c>
      <c r="E7" s="13">
        <f>Balance_Sheet!E33</f>
        <v>42307.979999999996</v>
      </c>
      <c r="F7" s="13">
        <f>Balance_Sheet!F33</f>
        <v>43001.64</v>
      </c>
      <c r="G7" s="13">
        <f>Balance_Sheet!G33</f>
        <v>28674.050000000003</v>
      </c>
    </row>
    <row r="8" spans="2:15" ht="18.75" x14ac:dyDescent="0.25">
      <c r="B8" s="14" t="s">
        <v>190</v>
      </c>
      <c r="C8" s="14">
        <f>ROUND(C6/C7, 2)</f>
        <v>0</v>
      </c>
      <c r="D8" s="14">
        <f t="shared" ref="D8:G8" si="0">ROUND(D6/D7, 2)</f>
        <v>0</v>
      </c>
      <c r="E8" s="14">
        <f t="shared" si="0"/>
        <v>0</v>
      </c>
      <c r="F8" s="14">
        <f t="shared" si="0"/>
        <v>0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EE69900D-F92F-4197-B81A-3105466648AD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EA991-2F03-4486-9C80-51616435DCA2}">
  <dimension ref="A1:A48"/>
  <sheetViews>
    <sheetView showGridLines="0" tabSelected="1" topLeftCell="A34" workbookViewId="0">
      <selection activeCell="A48" sqref="A48"/>
    </sheetView>
  </sheetViews>
  <sheetFormatPr defaultRowHeight="15" x14ac:dyDescent="0.25"/>
  <cols>
    <col min="1" max="1" width="33.140625" bestFit="1" customWidth="1"/>
  </cols>
  <sheetData>
    <row r="1" spans="1:1" x14ac:dyDescent="0.25">
      <c r="A1" s="46" t="s">
        <v>270</v>
      </c>
    </row>
    <row r="2" spans="1:1" x14ac:dyDescent="0.25">
      <c r="A2" s="46" t="s">
        <v>272</v>
      </c>
    </row>
    <row r="3" spans="1:1" x14ac:dyDescent="0.25">
      <c r="A3" s="47"/>
    </row>
    <row r="4" spans="1:1" x14ac:dyDescent="0.25">
      <c r="A4" s="46" t="s">
        <v>120</v>
      </c>
    </row>
    <row r="5" spans="1:1" x14ac:dyDescent="0.25">
      <c r="A5" s="46" t="s">
        <v>128</v>
      </c>
    </row>
    <row r="6" spans="1:1" x14ac:dyDescent="0.25">
      <c r="A6" s="46" t="s">
        <v>143</v>
      </c>
    </row>
    <row r="7" spans="1:1" x14ac:dyDescent="0.25">
      <c r="A7" s="46" t="s">
        <v>273</v>
      </c>
    </row>
    <row r="8" spans="1:1" x14ac:dyDescent="0.25">
      <c r="A8" s="46" t="s">
        <v>146</v>
      </c>
    </row>
    <row r="9" spans="1:1" x14ac:dyDescent="0.25">
      <c r="A9" s="46" t="s">
        <v>148</v>
      </c>
    </row>
    <row r="10" spans="1:1" x14ac:dyDescent="0.25">
      <c r="A10" s="46" t="s">
        <v>150</v>
      </c>
    </row>
    <row r="11" spans="1:1" x14ac:dyDescent="0.25">
      <c r="A11" s="46" t="s">
        <v>152</v>
      </c>
    </row>
    <row r="12" spans="1:1" x14ac:dyDescent="0.25">
      <c r="A12" s="46" t="s">
        <v>155</v>
      </c>
    </row>
    <row r="13" spans="1:1" x14ac:dyDescent="0.25">
      <c r="A13" s="46" t="s">
        <v>157</v>
      </c>
    </row>
    <row r="14" spans="1:1" x14ac:dyDescent="0.25">
      <c r="A14" s="46" t="s">
        <v>159</v>
      </c>
    </row>
    <row r="15" spans="1:1" x14ac:dyDescent="0.25">
      <c r="A15" s="46" t="s">
        <v>161</v>
      </c>
    </row>
    <row r="16" spans="1:1" x14ac:dyDescent="0.25">
      <c r="A16" s="46" t="s">
        <v>163</v>
      </c>
    </row>
    <row r="17" spans="1:1" x14ac:dyDescent="0.25">
      <c r="A17" s="46" t="s">
        <v>165</v>
      </c>
    </row>
    <row r="18" spans="1:1" x14ac:dyDescent="0.25">
      <c r="A18" s="46" t="s">
        <v>167</v>
      </c>
    </row>
    <row r="19" spans="1:1" x14ac:dyDescent="0.25">
      <c r="A19" s="46" t="s">
        <v>169</v>
      </c>
    </row>
    <row r="20" spans="1:1" x14ac:dyDescent="0.25">
      <c r="A20" s="46" t="s">
        <v>171</v>
      </c>
    </row>
    <row r="21" spans="1:1" x14ac:dyDescent="0.25">
      <c r="A21" s="46" t="s">
        <v>173</v>
      </c>
    </row>
    <row r="22" spans="1:1" x14ac:dyDescent="0.25">
      <c r="A22" s="46" t="s">
        <v>175</v>
      </c>
    </row>
    <row r="23" spans="1:1" x14ac:dyDescent="0.25">
      <c r="A23" s="46" t="s">
        <v>177</v>
      </c>
    </row>
    <row r="24" spans="1:1" x14ac:dyDescent="0.25">
      <c r="A24" s="46" t="s">
        <v>180</v>
      </c>
    </row>
    <row r="25" spans="1:1" x14ac:dyDescent="0.25">
      <c r="A25" s="46" t="s">
        <v>182</v>
      </c>
    </row>
    <row r="26" spans="1:1" x14ac:dyDescent="0.25">
      <c r="A26" s="46" t="s">
        <v>184</v>
      </c>
    </row>
    <row r="27" spans="1:1" x14ac:dyDescent="0.25">
      <c r="A27" s="46" t="s">
        <v>186</v>
      </c>
    </row>
    <row r="28" spans="1:1" x14ac:dyDescent="0.25">
      <c r="A28" s="46" t="s">
        <v>188</v>
      </c>
    </row>
    <row r="29" spans="1:1" x14ac:dyDescent="0.25">
      <c r="A29" s="46" t="s">
        <v>190</v>
      </c>
    </row>
    <row r="30" spans="1:1" x14ac:dyDescent="0.25">
      <c r="A30" s="46" t="s">
        <v>192</v>
      </c>
    </row>
    <row r="31" spans="1:1" x14ac:dyDescent="0.25">
      <c r="A31" s="46" t="s">
        <v>194</v>
      </c>
    </row>
    <row r="32" spans="1:1" x14ac:dyDescent="0.25">
      <c r="A32" s="46" t="s">
        <v>196</v>
      </c>
    </row>
    <row r="33" spans="1:1" x14ac:dyDescent="0.25">
      <c r="A33" s="46" t="s">
        <v>198</v>
      </c>
    </row>
    <row r="34" spans="1:1" x14ac:dyDescent="0.25">
      <c r="A34" s="46" t="s">
        <v>201</v>
      </c>
    </row>
    <row r="35" spans="1:1" x14ac:dyDescent="0.25">
      <c r="A35" s="46" t="s">
        <v>274</v>
      </c>
    </row>
    <row r="36" spans="1:1" x14ac:dyDescent="0.25">
      <c r="A36" s="46" t="s">
        <v>275</v>
      </c>
    </row>
    <row r="37" spans="1:1" x14ac:dyDescent="0.25">
      <c r="A37" s="46" t="s">
        <v>276</v>
      </c>
    </row>
    <row r="38" spans="1:1" x14ac:dyDescent="0.25">
      <c r="A38" s="46" t="s">
        <v>278</v>
      </c>
    </row>
    <row r="39" spans="1:1" x14ac:dyDescent="0.25">
      <c r="A39" s="46" t="s">
        <v>279</v>
      </c>
    </row>
    <row r="40" spans="1:1" x14ac:dyDescent="0.25">
      <c r="A40" s="46" t="s">
        <v>280</v>
      </c>
    </row>
    <row r="41" spans="1:1" x14ac:dyDescent="0.25">
      <c r="A41" s="46" t="s">
        <v>281</v>
      </c>
    </row>
    <row r="42" spans="1:1" x14ac:dyDescent="0.25">
      <c r="A42" s="46" t="s">
        <v>282</v>
      </c>
    </row>
    <row r="43" spans="1:1" x14ac:dyDescent="0.25">
      <c r="A43" s="46" t="s">
        <v>283</v>
      </c>
    </row>
    <row r="44" spans="1:1" x14ac:dyDescent="0.25">
      <c r="A44" s="46" t="s">
        <v>284</v>
      </c>
    </row>
    <row r="45" spans="1:1" x14ac:dyDescent="0.25">
      <c r="A45" s="46" t="s">
        <v>277</v>
      </c>
    </row>
    <row r="46" spans="1:1" x14ac:dyDescent="0.25">
      <c r="A46" s="46" t="s">
        <v>285</v>
      </c>
    </row>
    <row r="47" spans="1:1" x14ac:dyDescent="0.25">
      <c r="A47" s="46" t="s">
        <v>286</v>
      </c>
    </row>
    <row r="48" spans="1:1" x14ac:dyDescent="0.25">
      <c r="A48" s="46" t="s">
        <v>287</v>
      </c>
    </row>
  </sheetData>
  <hyperlinks>
    <hyperlink ref="A1" location="BSInput!A1" tooltip="Hi click here to view the sheet" display="BSInput!A1" xr:uid="{FAE645E9-0361-480A-B099-39B365E3968E}"/>
    <hyperlink ref="A2" location="ISMInput!A1" tooltip="Hi click here to view the sheet" display="ISMInput!A1" xr:uid="{E66BF142-DFF4-4534-A2EC-D27DFDF73985}"/>
    <hyperlink ref="A4" location="Income_Statement!A1" tooltip="Hi click here to view the sheet" display="Income_Statement!A1" xr:uid="{F9D1D349-DF29-4B50-B568-3343A6AF21C3}"/>
    <hyperlink ref="A5" location="Balance_Sheet!A1" tooltip="Hi click here to view the sheet" display="Balance_Sheet!A1" xr:uid="{CEFDD48D-30A0-4AA5-9F57-B2C8111BCCEC}"/>
    <hyperlink ref="A6" location="CashFlow_Statement!A1" tooltip="Hi click here to view the sheet" display="CashFlow_Statement!A1" xr:uid="{5D4783B0-C978-4CA4-9193-D4471D873274}"/>
    <hyperlink ref="A7" location="Ratios!A1" tooltip="Hi click here to view the sheet" display="Ratios!A1" xr:uid="{1CC2F723-8E78-456D-AF26-6402953A725F}"/>
    <hyperlink ref="A8" location="Earning__Per_Share!A1" tooltip="Hi click here to view the sheet" display="Earning__Per_Share!A1" xr:uid="{A28394C1-3B26-4581-A7E8-646C4CC5FD96}"/>
    <hyperlink ref="A9" location="Equity_Dividend_Per_Share!A1" tooltip="Hi click here to view the sheet" display="Equity_Dividend_Per_Share!A1" xr:uid="{8B83A96C-71A8-4C77-ADE5-3ACE1B6EF5B7}"/>
    <hyperlink ref="A10" location="Book_Value__Per_Share!A1" tooltip="Hi click here to view the sheet" display="Book_Value__Per_Share!A1" xr:uid="{42795923-33F9-4B6D-807B-0C9128748297}"/>
    <hyperlink ref="A11" location="Dividend_Pay_Out_Ratio!A1" tooltip="Hi click here to view the sheet" display="Dividend_Pay_Out_Ratio!A1" xr:uid="{46B817E4-7EB8-4FF7-82B7-00786F0C8AA8}"/>
    <hyperlink ref="A12" location="Dividend_Retention_Ratio!A1" tooltip="Hi click here to view the sheet" display="Dividend_Retention_Ratio!A1" xr:uid="{15D994F5-DE9D-4465-BF23-DED45D43A663}"/>
    <hyperlink ref="A13" location="Gross_Profit!A1" tooltip="Hi click here to view the sheet" display="Gross_Profit!A1" xr:uid="{7CD15748-574B-4408-B041-38B58FC29442}"/>
    <hyperlink ref="A14" location="Net_Profit!A1" tooltip="Hi click here to view the sheet" display="Net_Profit!A1" xr:uid="{0D7810EE-EAC1-41F0-A56E-73F96159F172}"/>
    <hyperlink ref="A15" location="Return_On_Assets!A1" tooltip="Hi click here to view the sheet" display="Return_On_Assets!A1" xr:uid="{E9DF3031-8CCF-4451-9D41-1D04F95550B9}"/>
    <hyperlink ref="A16" location="Return_On_Capital_Employeed!A1" tooltip="Hi click here to view the sheet" display="Return_On_Capital_Employeed!A1" xr:uid="{22B9CCDC-41CF-4ACA-9F96-566B17E74F7C}"/>
    <hyperlink ref="A17" location="Return_On_Equity!A1" tooltip="Hi click here to view the sheet" display="Return_On_Equity!A1" xr:uid="{AFCEA93B-D114-40E8-9519-30B2B02EF594}"/>
    <hyperlink ref="A18" location="Debt_Equity_Ratio!A1" tooltip="Hi click here to view the sheet" display="Debt_Equity_Ratio!A1" xr:uid="{6210FEE0-913D-4793-BDC4-79446A7E2FE8}"/>
    <hyperlink ref="A19" location="Current_Ratio!A1" tooltip="Hi click here to view the sheet" display="Current_Ratio!A1" xr:uid="{3142F5A2-247D-4D53-A975-D02196392B93}"/>
    <hyperlink ref="A20" location="Quick_Ratio!A1" tooltip="Hi click here to view the sheet" display="Quick_Ratio!A1" xr:uid="{ACBED9D6-2000-4402-80BA-26C7781CE396}"/>
    <hyperlink ref="A21" location="Interest_Coverage_Ratio!A1" tooltip="Hi click here to view the sheet" display="Interest_Coverage_Ratio!A1" xr:uid="{23991F07-DA94-47ED-8CBA-92D032B32678}"/>
    <hyperlink ref="A22" location="Material_Consumed!A1" tooltip="Hi click here to view the sheet" display="Material_Consumed!A1" xr:uid="{FFA02857-018B-482B-B0B7-21EB0C20D588}"/>
    <hyperlink ref="A23" location="Defensive_Interval_Ratio!A1" tooltip="Hi click here to view the sheet" display="Defensive_Interval_Ratio!A1" xr:uid="{0901A846-205D-4A9B-8476-67E0574E2860}"/>
    <hyperlink ref="A24" location="Purchases_Per_Day!A1" tooltip="Hi click here to view the sheet" display="Purchases_Per_Day!A1" xr:uid="{28B231AB-A149-4968-A82D-A0BDDFF64CAA}"/>
    <hyperlink ref="A25" location="Asset_TurnOver_Ratio!A1" tooltip="Hi click here to view the sheet" display="Asset_TurnOver_Ratio!A1" xr:uid="{E94510A3-FB1B-4239-9746-168C04FEA89D}"/>
    <hyperlink ref="A26" location="Inventory_TurnOver_Ratio!A1" tooltip="Hi click here to view the sheet" display="Inventory_TurnOver_Ratio!A1" xr:uid="{60B8D411-A7FC-4934-A8F2-EAB830D6EC8E}"/>
    <hyperlink ref="A27" location="Debtors_TurnOver_Ratio!A1" tooltip="Hi click here to view the sheet" display="Debtors_TurnOver_Ratio!A1" xr:uid="{798BB75A-6766-4A8D-BED1-A1DC31DEE064}"/>
    <hyperlink ref="A28" location="Fixed_Assets_TurnOver_Ratio!A1" tooltip="Hi click here to view the sheet" display="Fixed_Assets_TurnOver_Ratio!A1" xr:uid="{8CAA0B65-C697-4A3F-B23B-0451C0ED8317}"/>
    <hyperlink ref="A29" location="Payable_TurnOver_Ratio!A1" tooltip="Hi click here to view the sheet" display="Payable_TurnOver_Ratio!A1" xr:uid="{48BF2839-AC7A-416A-902C-8D00A932BF01}"/>
    <hyperlink ref="A30" location="Inventory_Days!A1" tooltip="Hi click here to view the sheet" display="Inventory_Days!A1" xr:uid="{918CEDA0-01F9-4B11-9586-EFCC227E40FD}"/>
    <hyperlink ref="A31" location="Payable_Days!A1" tooltip="Hi click here to view the sheet" display="Payable_Days!A1" xr:uid="{A641CC4B-38C0-4224-B28D-CF10A4AD0E1F}"/>
    <hyperlink ref="A32" location="Receivable_Days!A1" tooltip="Hi click here to view the sheet" display="Receivable_Days!A1" xr:uid="{7B8378AA-5C46-4FAF-B681-BEAEC82B350F}"/>
    <hyperlink ref="A33" location="Operating_Cycle!A1" tooltip="Hi click here to view the sheet" display="Operating_Cycle!A1" xr:uid="{1B71BDB7-4490-4D4B-B3F7-4351574F1B4A}"/>
    <hyperlink ref="A34" location="Cash_Conversion_Cycle_Days!A1" tooltip="Hi click here to view the sheet" display="Cash_Conversion_Cycle_Days!A1" xr:uid="{CD17C9B6-90C1-4334-AFE7-CC0FC7FCC741}"/>
    <hyperlink ref="A35" location="NetWorthVsTotalLiabilties!A1" tooltip="Hi click here to view the sheet" display="NetWorthVsTotalLiabilties!A1" xr:uid="{EB7BAC68-FCA1-4BFD-BAF5-A844E7469CD4}"/>
    <hyperlink ref="A36" location="PBDITvsPBIT!A1" tooltip="Hi click here to view the sheet" display="PBDITvsPBIT!A1" xr:uid="{7361B4A4-261A-42AA-94E4-CF1D8321F953}"/>
    <hyperlink ref="A37" location="CAvsCL!A1" tooltip="Hi click here to view the sheet" display="CAvsCL!A1" xr:uid="{7C4F583E-541A-44F1-962A-3C200AA767ED}"/>
    <hyperlink ref="A38" location="Long_And_Short_Term_Provisions!A1" tooltip="Hi click here to view the sheet" display="Long_And_Short_Term_Provisions!A1" xr:uid="{31B953C0-EC04-4395-ACD2-0E3B047F14EC}"/>
    <hyperlink ref="A39" location="MaterialConsumed_DirectExpenses!A1" tooltip="Hi click here to view the sheet" display="MaterialConsumed_DirectExpenses!A1" xr:uid="{F17CDC33-5C0B-4496-B7B3-CFF2BEE8671B}"/>
    <hyperlink ref="A40" location="Gross_Sales_In_Total_Income!A1" tooltip="Hi click here to view the sheet" display="Gross_Sales_In_Total_Income!A1" xr:uid="{CC0E2D38-C671-41CA-8693-4F8BABEBC500}"/>
    <hyperlink ref="A41" location="Total_Debt_In_Liabilities!A1" tooltip="Hi click here to view the sheet" display="Total_Debt_In_Liabilities!A1" xr:uid="{2C788856-BB62-49CD-8D52-0EAFFEEA87F1}"/>
    <hyperlink ref="A42" location="Total_CL_In_Liabilities!A1" tooltip="Hi click here to view the sheet" display="Total_CL_In_Liabilities!A1" xr:uid="{BF643D49-9160-4F39-B66B-589A671D38F1}"/>
    <hyperlink ref="A43" location="Total_NCA_In_Assets!A1" tooltip="Hi click here to view the sheet" display="Total_NCA_In_Assets!A1" xr:uid="{74CF9134-8364-4C16-B09E-5BC2C3AEACCA}"/>
    <hyperlink ref="A44" location="Total_CA_In_Assets!A1" tooltip="Hi click here to view the sheet" display="Total_CA_In_Assets!A1" xr:uid="{253351E3-5079-497C-8527-DC5F1886D356}"/>
    <hyperlink ref="A45" location="TotalExpenditureVsTotalIncome!A1" tooltip="Hi click here to view the sheet" display="TotalExpenditureVsTotalIncome!A1" xr:uid="{B9A23368-15DA-437F-8DF7-BE7BD182A8F6}"/>
    <hyperlink ref="A46" location="Net_Profit_CF_To_Balance_Sheet!A1" tooltip="Hi click here to view the sheet" display="Net_Profit_CF_To_Balance_Sheet!A1" xr:uid="{5842671B-C48B-4901-AA55-BD5078485C50}"/>
    <hyperlink ref="A47" location="BS_Backup!A1" tooltip="Hi click here to view the sheet" display="BS_Backup!A1" xr:uid="{1AD46700-4316-456D-B3FF-13AB83978604}"/>
    <hyperlink ref="A48" location="ISM_Backup!A1" tooltip="Hi click here to view the sheet" display="ISM_Backup!A1" xr:uid="{6459F0B9-354C-4A30-B4D0-D8F20975D10D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813EF-8BAE-4BA9-B3E3-F4C449297A4D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191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29904.959999999999</v>
      </c>
      <c r="D6" s="13">
        <f>Income_Statement!D5</f>
        <v>34831.17</v>
      </c>
      <c r="E6" s="13">
        <f>Income_Statement!E5</f>
        <v>36800.129999999997</v>
      </c>
      <c r="F6" s="13">
        <f>Income_Statement!F5</f>
        <v>39300.83</v>
      </c>
      <c r="G6" s="13">
        <f>Income_Statement!G5</f>
        <v>41616.339999999997</v>
      </c>
    </row>
    <row r="7" spans="2:15" ht="18.75" x14ac:dyDescent="0.25">
      <c r="B7" s="12" t="str">
        <f>Balance_Sheet!B66</f>
        <v>Inventories</v>
      </c>
      <c r="C7" s="13">
        <f>Balance_Sheet!C66</f>
        <v>1049.3499999999999</v>
      </c>
      <c r="D7" s="13">
        <f>Balance_Sheet!D66</f>
        <v>1247.25</v>
      </c>
      <c r="E7" s="13">
        <f>Balance_Sheet!E66</f>
        <v>1433.46</v>
      </c>
      <c r="F7" s="13">
        <f>Balance_Sheet!F66</f>
        <v>1366.94</v>
      </c>
      <c r="G7" s="13">
        <f>Balance_Sheet!G66</f>
        <v>1357.17</v>
      </c>
    </row>
    <row r="8" spans="2:15" ht="18.75" x14ac:dyDescent="0.25">
      <c r="B8" s="14" t="s">
        <v>192</v>
      </c>
      <c r="C8" s="14">
        <f>ROUND(365/C6*C7, 2)</f>
        <v>12.81</v>
      </c>
      <c r="D8" s="14">
        <f t="shared" ref="D8:G8" si="0">ROUND(365/D6*D7, 2)</f>
        <v>13.07</v>
      </c>
      <c r="E8" s="14">
        <f t="shared" si="0"/>
        <v>14.22</v>
      </c>
      <c r="F8" s="14">
        <f t="shared" si="0"/>
        <v>12.7</v>
      </c>
      <c r="G8" s="14">
        <f t="shared" si="0"/>
        <v>11.9</v>
      </c>
    </row>
  </sheetData>
  <mergeCells count="1">
    <mergeCell ref="B5:G5"/>
  </mergeCells>
  <hyperlinks>
    <hyperlink ref="F1" location="Index_Data!A1" tooltip="Hi click here To return Index page" display="Index_Data!A1" xr:uid="{6FB10BC0-B892-42B7-A1F1-14483A3AE96C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3C620-3E2E-4183-BA0A-9864F361FC9D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193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0</v>
      </c>
      <c r="D6" s="13">
        <f>Income_Statement!D17</f>
        <v>0</v>
      </c>
      <c r="E6" s="13">
        <f>Income_Statement!E17</f>
        <v>0</v>
      </c>
      <c r="F6" s="13">
        <f>Income_Statement!F17</f>
        <v>0</v>
      </c>
      <c r="G6" s="13">
        <f>Income_Statement!G17</f>
        <v>0</v>
      </c>
    </row>
    <row r="7" spans="2:15" ht="18.75" x14ac:dyDescent="0.25">
      <c r="B7" s="12" t="str">
        <f>Balance_Sheet!B33</f>
        <v>Total Current Liabilities</v>
      </c>
      <c r="C7" s="13">
        <f>Balance_Sheet!C33</f>
        <v>33706.89</v>
      </c>
      <c r="D7" s="13">
        <f>Balance_Sheet!D33</f>
        <v>42621.210000000006</v>
      </c>
      <c r="E7" s="13">
        <f>Balance_Sheet!E33</f>
        <v>42307.979999999996</v>
      </c>
      <c r="F7" s="13">
        <f>Balance_Sheet!F33</f>
        <v>43001.64</v>
      </c>
      <c r="G7" s="13">
        <f>Balance_Sheet!G33</f>
        <v>28674.050000000003</v>
      </c>
    </row>
    <row r="8" spans="2:15" ht="18.75" x14ac:dyDescent="0.25">
      <c r="B8" s="14" t="s">
        <v>194</v>
      </c>
      <c r="C8" s="14" t="e">
        <f>ROUND(365/C6*C7, 2)</f>
        <v>#DIV/0!</v>
      </c>
      <c r="D8" s="14" t="e">
        <f t="shared" ref="D8:G8" si="0">ROUND(365/D6*D7,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hyperlinks>
    <hyperlink ref="F1" location="Index_Data!A1" tooltip="Hi click here To return Index page" display="Index_Data!A1" xr:uid="{5A0F62F8-1601-434B-98FA-96AD87C501F6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B58D2-DF2F-4F54-9C17-47FC6D1159C3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195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29904.959999999999</v>
      </c>
      <c r="D6" s="13">
        <f>Income_Statement!D5</f>
        <v>34831.17</v>
      </c>
      <c r="E6" s="13">
        <f>Income_Statement!E5</f>
        <v>36800.129999999997</v>
      </c>
      <c r="F6" s="13">
        <f>Income_Statement!F5</f>
        <v>39300.83</v>
      </c>
      <c r="G6" s="13">
        <f>Income_Statement!G5</f>
        <v>41616.339999999997</v>
      </c>
    </row>
    <row r="7" spans="2:15" ht="18.75" x14ac:dyDescent="0.25">
      <c r="B7" s="12" t="str">
        <f>Balance_Sheet!B68</f>
        <v>Trade Receivables</v>
      </c>
      <c r="C7" s="13">
        <f>Balance_Sheet!C68</f>
        <v>3640.02</v>
      </c>
      <c r="D7" s="13">
        <f>Balance_Sheet!D68</f>
        <v>4728.1000000000004</v>
      </c>
      <c r="E7" s="13">
        <f>Balance_Sheet!E68</f>
        <v>5040.71</v>
      </c>
      <c r="F7" s="13">
        <f>Balance_Sheet!F68</f>
        <v>3675.53</v>
      </c>
      <c r="G7" s="13">
        <f>Balance_Sheet!G68</f>
        <v>9475.07</v>
      </c>
    </row>
    <row r="8" spans="2:15" ht="18.75" x14ac:dyDescent="0.25">
      <c r="B8" s="14" t="s">
        <v>196</v>
      </c>
      <c r="C8" s="14">
        <f>ROUND(365/C6*C7, 2)</f>
        <v>44.43</v>
      </c>
      <c r="D8" s="14">
        <f t="shared" ref="D8:G8" si="0">ROUND(365/D6*D7, 2)</f>
        <v>49.55</v>
      </c>
      <c r="E8" s="14">
        <f t="shared" si="0"/>
        <v>50</v>
      </c>
      <c r="F8" s="14">
        <f t="shared" si="0"/>
        <v>34.14</v>
      </c>
      <c r="G8" s="14">
        <f t="shared" si="0"/>
        <v>83.1</v>
      </c>
    </row>
  </sheetData>
  <mergeCells count="1">
    <mergeCell ref="B5:G5"/>
  </mergeCells>
  <hyperlinks>
    <hyperlink ref="F1" location="Index_Data!A1" tooltip="Hi click here To return Index page" display="Index_Data!A1" xr:uid="{A692AB2E-3118-4C05-9526-53F7C14B22B0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DCF1D-27A3-409A-8B10-1289DBC9A562}">
  <dimension ref="B1:O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197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29904.959999999999</v>
      </c>
      <c r="D6" s="13">
        <f>Income_Statement!D5</f>
        <v>34831.17</v>
      </c>
      <c r="E6" s="13">
        <f>Income_Statement!E5</f>
        <v>36800.129999999997</v>
      </c>
      <c r="F6" s="13">
        <f>Income_Statement!F5</f>
        <v>39300.83</v>
      </c>
      <c r="G6" s="13">
        <f>Income_Statement!G5</f>
        <v>41616.339999999997</v>
      </c>
    </row>
    <row r="7" spans="2:15" ht="18.75" x14ac:dyDescent="0.25">
      <c r="B7" s="12" t="str">
        <f>Balance_Sheet!B66</f>
        <v>Inventories</v>
      </c>
      <c r="C7" s="13">
        <f>Balance_Sheet!C66</f>
        <v>1049.3499999999999</v>
      </c>
      <c r="D7" s="13">
        <f>Balance_Sheet!D66</f>
        <v>1247.25</v>
      </c>
      <c r="E7" s="13">
        <f>Balance_Sheet!E66</f>
        <v>1433.46</v>
      </c>
      <c r="F7" s="13">
        <f>Balance_Sheet!F66</f>
        <v>1366.94</v>
      </c>
      <c r="G7" s="13">
        <f>Balance_Sheet!G66</f>
        <v>1357.17</v>
      </c>
    </row>
    <row r="8" spans="2:15" ht="18.75" x14ac:dyDescent="0.25">
      <c r="B8" s="12" t="s">
        <v>192</v>
      </c>
      <c r="C8" s="13">
        <f>ROUND(365/C6*C7, 2)</f>
        <v>12.81</v>
      </c>
      <c r="D8" s="13">
        <f t="shared" ref="D8:G8" si="0">ROUND(365/D6*D7, 2)</f>
        <v>13.07</v>
      </c>
      <c r="E8" s="13">
        <f t="shared" si="0"/>
        <v>14.22</v>
      </c>
      <c r="F8" s="13">
        <f t="shared" si="0"/>
        <v>12.7</v>
      </c>
      <c r="G8" s="13">
        <f t="shared" si="0"/>
        <v>11.9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0</v>
      </c>
      <c r="D9" s="13">
        <f>Income_Statement!D17</f>
        <v>0</v>
      </c>
      <c r="E9" s="13">
        <f>Income_Statement!E17</f>
        <v>0</v>
      </c>
      <c r="F9" s="13">
        <f>Income_Statement!F17</f>
        <v>0</v>
      </c>
      <c r="G9" s="13">
        <f>Income_Statement!G17</f>
        <v>0</v>
      </c>
    </row>
    <row r="10" spans="2:15" ht="18.75" x14ac:dyDescent="0.25">
      <c r="B10" s="12" t="str">
        <f>Balance_Sheet!B33</f>
        <v>Total Current Liabilities</v>
      </c>
      <c r="C10" s="13">
        <f>Balance_Sheet!C33</f>
        <v>33706.89</v>
      </c>
      <c r="D10" s="13">
        <f>Balance_Sheet!D33</f>
        <v>42621.210000000006</v>
      </c>
      <c r="E10" s="13">
        <f>Balance_Sheet!E33</f>
        <v>42307.979999999996</v>
      </c>
      <c r="F10" s="13">
        <f>Balance_Sheet!F33</f>
        <v>43001.64</v>
      </c>
      <c r="G10" s="13">
        <f>Balance_Sheet!G33</f>
        <v>28674.050000000003</v>
      </c>
    </row>
    <row r="11" spans="2:15" ht="18.75" x14ac:dyDescent="0.25">
      <c r="B11" s="12" t="s">
        <v>194</v>
      </c>
      <c r="C11" s="13" t="e">
        <f>ROUND(365/C9*C10, 2)</f>
        <v>#DIV/0!</v>
      </c>
      <c r="D11" s="13" t="e">
        <f t="shared" ref="D11:G11" si="1">ROUND(365/D9*D10, 2)</f>
        <v>#DIV/0!</v>
      </c>
      <c r="E11" s="13" t="e">
        <f t="shared" si="1"/>
        <v>#DIV/0!</v>
      </c>
      <c r="F11" s="13" t="e">
        <f t="shared" si="1"/>
        <v>#DIV/0!</v>
      </c>
      <c r="G11" s="13" t="e">
        <f t="shared" si="1"/>
        <v>#DIV/0!</v>
      </c>
    </row>
    <row r="12" spans="2:15" ht="18.75" x14ac:dyDescent="0.25">
      <c r="B12" s="14" t="s">
        <v>198</v>
      </c>
      <c r="C12" s="16" t="e">
        <f>ROUND(C11+C8, 2)</f>
        <v>#DIV/0!</v>
      </c>
      <c r="D12" s="16" t="e">
        <f t="shared" ref="D12:G12" si="2">ROUND(D11+D8, 2)</f>
        <v>#DIV/0!</v>
      </c>
      <c r="E12" s="16" t="e">
        <f t="shared" si="2"/>
        <v>#DIV/0!</v>
      </c>
      <c r="F12" s="16" t="e">
        <f t="shared" si="2"/>
        <v>#DIV/0!</v>
      </c>
      <c r="G12" s="16" t="e">
        <f t="shared" si="2"/>
        <v>#DIV/0!</v>
      </c>
    </row>
  </sheetData>
  <mergeCells count="1">
    <mergeCell ref="B5:G5"/>
  </mergeCells>
  <hyperlinks>
    <hyperlink ref="F1" location="Index_Data!A1" tooltip="Hi click here To return Index page" display="Index_Data!A1" xr:uid="{70946B4E-0B9C-4A00-98C6-49B7ACF0B79B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3C1AB-0F63-411F-AEE9-DF4921941C58}">
  <dimension ref="B1:O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199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29904.959999999999</v>
      </c>
      <c r="D6" s="13">
        <f>Income_Statement!D5</f>
        <v>34831.17</v>
      </c>
      <c r="E6" s="13">
        <f>Income_Statement!E5</f>
        <v>36800.129999999997</v>
      </c>
      <c r="F6" s="13">
        <f>Income_Statement!F5</f>
        <v>39300.83</v>
      </c>
      <c r="G6" s="13">
        <f>Income_Statement!G5</f>
        <v>41616.339999999997</v>
      </c>
    </row>
    <row r="7" spans="2:15" ht="18.75" x14ac:dyDescent="0.25">
      <c r="B7" s="12" t="str">
        <f>Balance_Sheet!B66</f>
        <v>Inventories</v>
      </c>
      <c r="C7" s="13">
        <f>Balance_Sheet!C66</f>
        <v>1049.3499999999999</v>
      </c>
      <c r="D7" s="13">
        <f>Balance_Sheet!D66</f>
        <v>1247.25</v>
      </c>
      <c r="E7" s="13">
        <f>Balance_Sheet!E66</f>
        <v>1433.46</v>
      </c>
      <c r="F7" s="13">
        <f>Balance_Sheet!F66</f>
        <v>1366.94</v>
      </c>
      <c r="G7" s="13">
        <f>Balance_Sheet!G66</f>
        <v>1357.17</v>
      </c>
    </row>
    <row r="8" spans="2:15" ht="18.75" x14ac:dyDescent="0.25">
      <c r="B8" s="12" t="s">
        <v>192</v>
      </c>
      <c r="C8" s="13">
        <f>ROUND(365/C6*C7, 2)</f>
        <v>12.81</v>
      </c>
      <c r="D8" s="13">
        <f t="shared" ref="D8:G8" si="0">ROUND(365/D6*D7, 2)</f>
        <v>13.07</v>
      </c>
      <c r="E8" s="13">
        <f t="shared" si="0"/>
        <v>14.22</v>
      </c>
      <c r="F8" s="13">
        <f t="shared" si="0"/>
        <v>12.7</v>
      </c>
      <c r="G8" s="13">
        <f t="shared" si="0"/>
        <v>11.9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0</v>
      </c>
      <c r="D9" s="13">
        <f>Income_Statement!D17</f>
        <v>0</v>
      </c>
      <c r="E9" s="13">
        <f>Income_Statement!E17</f>
        <v>0</v>
      </c>
      <c r="F9" s="13">
        <f>Income_Statement!F17</f>
        <v>0</v>
      </c>
      <c r="G9" s="13">
        <f>Income_Statement!G17</f>
        <v>0</v>
      </c>
    </row>
    <row r="10" spans="2:15" ht="18.75" x14ac:dyDescent="0.25">
      <c r="B10" s="12" t="str">
        <f>Balance_Sheet!B33</f>
        <v>Total Current Liabilities</v>
      </c>
      <c r="C10" s="13">
        <f>Balance_Sheet!C33</f>
        <v>33706.89</v>
      </c>
      <c r="D10" s="13">
        <f>Balance_Sheet!D33</f>
        <v>42621.210000000006</v>
      </c>
      <c r="E10" s="13">
        <f>Balance_Sheet!E33</f>
        <v>42307.979999999996</v>
      </c>
      <c r="F10" s="13">
        <f>Balance_Sheet!F33</f>
        <v>43001.64</v>
      </c>
      <c r="G10" s="13">
        <f>Balance_Sheet!G33</f>
        <v>28674.050000000003</v>
      </c>
    </row>
    <row r="11" spans="2:15" ht="18.75" x14ac:dyDescent="0.25">
      <c r="B11" s="12" t="s">
        <v>194</v>
      </c>
      <c r="C11" s="13" t="e">
        <f>ROUND(365/C9*C10, 2)</f>
        <v>#DIV/0!</v>
      </c>
      <c r="D11" s="13" t="e">
        <f t="shared" ref="D11:G11" si="1">ROUND(365/D9*D10, 2)</f>
        <v>#DIV/0!</v>
      </c>
      <c r="E11" s="13" t="e">
        <f t="shared" si="1"/>
        <v>#DIV/0!</v>
      </c>
      <c r="F11" s="13" t="e">
        <f t="shared" si="1"/>
        <v>#DIV/0!</v>
      </c>
      <c r="G11" s="13" t="e">
        <f t="shared" si="1"/>
        <v>#DIV/0!</v>
      </c>
    </row>
    <row r="12" spans="2:15" ht="18.75" x14ac:dyDescent="0.25">
      <c r="B12" s="12" t="s">
        <v>200</v>
      </c>
      <c r="C12" s="13" t="e">
        <f>ROUND(C11+C8, 2)</f>
        <v>#DIV/0!</v>
      </c>
      <c r="D12" s="13" t="e">
        <f t="shared" ref="D12:G12" si="2">ROUND(D11+D8, 2)</f>
        <v>#DIV/0!</v>
      </c>
      <c r="E12" s="13" t="e">
        <f t="shared" si="2"/>
        <v>#DIV/0!</v>
      </c>
      <c r="F12" s="13" t="e">
        <f t="shared" si="2"/>
        <v>#DIV/0!</v>
      </c>
      <c r="G12" s="13" t="e">
        <f t="shared" si="2"/>
        <v>#DIV/0!</v>
      </c>
    </row>
    <row r="13" spans="2:15" ht="18.75" x14ac:dyDescent="0.25">
      <c r="B13" s="12" t="str">
        <f>Income_Statement!B17</f>
        <v>Cost Of Materials Consumed</v>
      </c>
      <c r="C13" s="13">
        <f>Income_Statement!C17</f>
        <v>0</v>
      </c>
      <c r="D13" s="13">
        <f>Income_Statement!D17</f>
        <v>0</v>
      </c>
      <c r="E13" s="13">
        <f>Income_Statement!E17</f>
        <v>0</v>
      </c>
      <c r="F13" s="13">
        <f>Income_Statement!F17</f>
        <v>0</v>
      </c>
      <c r="G13" s="13">
        <f>Income_Statement!G17</f>
        <v>0</v>
      </c>
    </row>
    <row r="14" spans="2:15" ht="18.75" x14ac:dyDescent="0.25">
      <c r="B14" s="12" t="str">
        <f>Balance_Sheet!B33</f>
        <v>Total Current Liabilities</v>
      </c>
      <c r="C14" s="13">
        <f>Balance_Sheet!C33</f>
        <v>33706.89</v>
      </c>
      <c r="D14" s="13">
        <f>Balance_Sheet!D33</f>
        <v>42621.210000000006</v>
      </c>
      <c r="E14" s="13">
        <f>Balance_Sheet!E33</f>
        <v>42307.979999999996</v>
      </c>
      <c r="F14" s="13">
        <f>Balance_Sheet!F33</f>
        <v>43001.64</v>
      </c>
      <c r="G14" s="13">
        <f>Balance_Sheet!G33</f>
        <v>28674.050000000003</v>
      </c>
    </row>
    <row r="15" spans="2:15" ht="18.75" x14ac:dyDescent="0.25">
      <c r="B15" s="12" t="s">
        <v>194</v>
      </c>
      <c r="C15" s="13" t="e">
        <f>ROUND(365/C13*C14, 2)</f>
        <v>#DIV/0!</v>
      </c>
      <c r="D15" s="13" t="e">
        <f t="shared" ref="D15:G15" si="3">ROUND(365/D13*D14, 2)</f>
        <v>#DIV/0!</v>
      </c>
      <c r="E15" s="13" t="e">
        <f t="shared" si="3"/>
        <v>#DIV/0!</v>
      </c>
      <c r="F15" s="13" t="e">
        <f t="shared" si="3"/>
        <v>#DIV/0!</v>
      </c>
      <c r="G15" s="13" t="e">
        <f t="shared" si="3"/>
        <v>#DIV/0!</v>
      </c>
    </row>
    <row r="16" spans="2:15" ht="18.75" x14ac:dyDescent="0.25">
      <c r="B16" s="14" t="s">
        <v>201</v>
      </c>
      <c r="C16" s="16" t="e">
        <f>ROUND(C15-C12, 2)</f>
        <v>#DIV/0!</v>
      </c>
      <c r="D16" s="16" t="e">
        <f t="shared" ref="D16:G16" si="4">ROUND(D15-D12, 2)</f>
        <v>#DIV/0!</v>
      </c>
      <c r="E16" s="16" t="e">
        <f t="shared" si="4"/>
        <v>#DIV/0!</v>
      </c>
      <c r="F16" s="16" t="e">
        <f t="shared" si="4"/>
        <v>#DIV/0!</v>
      </c>
      <c r="G16" s="16" t="e">
        <f t="shared" si="4"/>
        <v>#DIV/0!</v>
      </c>
    </row>
  </sheetData>
  <mergeCells count="1">
    <mergeCell ref="B5:G5"/>
  </mergeCells>
  <hyperlinks>
    <hyperlink ref="F1" location="Index_Data!A1" tooltip="Hi click here To return Index page" display="Index_Data!A1" xr:uid="{BFD30DCB-9FCF-473D-9BD6-60EB550DDDB4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3508E-DDEC-4AAA-A7C6-838FC1F34D88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Balance_Sheet!B13</f>
        <v>Net Worth</v>
      </c>
      <c r="C5" s="13">
        <f>Balance_Sheet!C13</f>
        <v>54425.990000000005</v>
      </c>
      <c r="D5" s="13">
        <f>Balance_Sheet!D13</f>
        <v>58648.387289112026</v>
      </c>
      <c r="E5" s="13">
        <f>Balance_Sheet!E13</f>
        <v>64854.312490653421</v>
      </c>
      <c r="F5" s="13">
        <f>Balance_Sheet!F13</f>
        <v>69516.152610627993</v>
      </c>
      <c r="G5" s="13">
        <f>Balance_Sheet!G13</f>
        <v>88006.638599458325</v>
      </c>
    </row>
    <row r="6" spans="2:15" ht="18.75" x14ac:dyDescent="0.25">
      <c r="B6" s="12" t="str">
        <f>Balance_Sheet!B37</f>
        <v>Total Liabilities</v>
      </c>
      <c r="C6" s="13">
        <f>Balance_Sheet!C37</f>
        <v>225316.05000000005</v>
      </c>
      <c r="D6" s="13">
        <f>Balance_Sheet!D37</f>
        <v>246917.58728911204</v>
      </c>
      <c r="E6" s="13">
        <f>Balance_Sheet!E37</f>
        <v>256812.18249065342</v>
      </c>
      <c r="F6" s="13">
        <f>Balance_Sheet!F37</f>
        <v>255329.20261062798</v>
      </c>
      <c r="G6" s="13">
        <f>Balance_Sheet!G37</f>
        <v>262702.93859945831</v>
      </c>
    </row>
  </sheetData>
  <hyperlinks>
    <hyperlink ref="F1" location="Index_Data!A1" tooltip="Hi click here To return Index page" display="Index_Data!A1" xr:uid="{71549E23-E172-4E88-8D46-7934B01BDC66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0F6C0-52F5-46A5-BAF9-EDDF833B6346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Income_Statement!B29</f>
        <v>PBDIT</v>
      </c>
      <c r="C5" s="13">
        <f>Income_Statement!C29</f>
        <v>26546.105947856136</v>
      </c>
      <c r="D5" s="13">
        <f>Income_Statement!D29</f>
        <v>30595.807289112017</v>
      </c>
      <c r="E5" s="13">
        <f>Income_Statement!E29</f>
        <v>32925.275201541401</v>
      </c>
      <c r="F5" s="13">
        <f>Income_Statement!F29</f>
        <v>35838.920119974566</v>
      </c>
      <c r="G5" s="13">
        <f>Income_Statement!G29</f>
        <v>37649.48598883034</v>
      </c>
    </row>
    <row r="6" spans="2:15" ht="18.75" x14ac:dyDescent="0.25">
      <c r="B6" s="12" t="str">
        <f>Income_Statement!B33</f>
        <v>PBIT</v>
      </c>
      <c r="C6" s="13">
        <f>Income_Statement!C33</f>
        <v>17315.115947856139</v>
      </c>
      <c r="D6" s="13">
        <f>Income_Statement!D33</f>
        <v>20054.857289112017</v>
      </c>
      <c r="E6" s="13">
        <f>Income_Statement!E33</f>
        <v>21318.2352015414</v>
      </c>
      <c r="F6" s="13">
        <f>Income_Statement!F33</f>
        <v>23799.730119974563</v>
      </c>
      <c r="G6" s="13">
        <f>Income_Statement!G33</f>
        <v>24777.82598883034</v>
      </c>
    </row>
  </sheetData>
  <hyperlinks>
    <hyperlink ref="F1" location="Index_Data!A1" tooltip="Hi click here To return Index page" display="Index_Data!A1" xr:uid="{E9D475B9-5067-4B16-A302-E03E5B7C7F9C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11F0B-8A05-4BAB-80AF-B043AEE1D57A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6" width="13.140625" bestFit="1" customWidth="1"/>
    <col min="7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Balance_Sheet!B72</f>
        <v>Total Current Assets</v>
      </c>
      <c r="C5" s="13">
        <f>Balance_Sheet!C72</f>
        <v>30225.239999999998</v>
      </c>
      <c r="D5" s="13">
        <f>Balance_Sheet!D72</f>
        <v>46034.027289112026</v>
      </c>
      <c r="E5" s="13">
        <f>Balance_Sheet!E72</f>
        <v>61512.55249065339</v>
      </c>
      <c r="F5" s="13">
        <f>Balance_Sheet!F72</f>
        <v>79625.062610627996</v>
      </c>
      <c r="G5" s="13">
        <f>Balance_Sheet!G72</f>
        <v>101347.69859945832</v>
      </c>
    </row>
    <row r="6" spans="2:15" ht="18.75" x14ac:dyDescent="0.25">
      <c r="B6" s="12" t="str">
        <f>Balance_Sheet!B33</f>
        <v>Total Current Liabilities</v>
      </c>
      <c r="C6" s="13">
        <f>Balance_Sheet!C33</f>
        <v>33706.89</v>
      </c>
      <c r="D6" s="13">
        <f>Balance_Sheet!D33</f>
        <v>42621.210000000006</v>
      </c>
      <c r="E6" s="13">
        <f>Balance_Sheet!E33</f>
        <v>42307.979999999996</v>
      </c>
      <c r="F6" s="13">
        <f>Balance_Sheet!F33</f>
        <v>43001.64</v>
      </c>
      <c r="G6" s="13">
        <f>Balance_Sheet!G33</f>
        <v>28674.050000000003</v>
      </c>
    </row>
  </sheetData>
  <hyperlinks>
    <hyperlink ref="F1" location="Index_Data!A1" tooltip="Hi click here To return Index page" display="Index_Data!A1" xr:uid="{00B6E087-16A4-4E38-898E-B530EEA793DD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78ED2-4668-48DA-A8B7-BA081152CAE4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3" width="11.5703125" bestFit="1" customWidth="1"/>
    <col min="4" max="6" width="10" bestFit="1" customWidth="1"/>
    <col min="7" max="7" width="11.57031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Balance_Sheet!B23</f>
        <v>Long Term Provisions</v>
      </c>
      <c r="C5" s="13">
        <f>Balance_Sheet!C23</f>
        <v>716.87</v>
      </c>
      <c r="D5" s="13">
        <f>Balance_Sheet!D23</f>
        <v>368.15</v>
      </c>
      <c r="E5" s="13">
        <f>Balance_Sheet!E23</f>
        <v>424.71</v>
      </c>
      <c r="F5" s="13">
        <f>Balance_Sheet!F23</f>
        <v>462.02</v>
      </c>
      <c r="G5" s="13">
        <f>Balance_Sheet!G23</f>
        <v>517.14</v>
      </c>
    </row>
    <row r="6" spans="2:15" ht="18.75" x14ac:dyDescent="0.25">
      <c r="B6" s="12" t="str">
        <f>Balance_Sheet!B25</f>
        <v>Short Term Provisions</v>
      </c>
      <c r="C6" s="13">
        <f>Balance_Sheet!C25</f>
        <v>1059.5999999999999</v>
      </c>
      <c r="D6" s="13">
        <f>Balance_Sheet!D25</f>
        <v>701.14</v>
      </c>
      <c r="E6" s="13">
        <f>Balance_Sheet!E25</f>
        <v>742.04</v>
      </c>
      <c r="F6" s="13">
        <f>Balance_Sheet!F25</f>
        <v>845.12</v>
      </c>
      <c r="G6" s="13">
        <f>Balance_Sheet!G25</f>
        <v>1167.1199999999999</v>
      </c>
    </row>
  </sheetData>
  <hyperlinks>
    <hyperlink ref="F1" location="Index_Data!A1" tooltip="Hi click here To return Index page" display="Index_Data!A1" xr:uid="{15902AE2-CB9C-44A0-90B5-1C48569037C0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4CF73-3A11-48CE-851C-C0C078351A67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8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Income_Statement!B17</f>
        <v>Cost Of Materials Consumed</v>
      </c>
      <c r="C5" s="13">
        <f>Income_Statement!C17</f>
        <v>0</v>
      </c>
      <c r="D5" s="13">
        <f>Income_Statement!D17</f>
        <v>0</v>
      </c>
      <c r="E5" s="13">
        <f>Income_Statement!E17</f>
        <v>0</v>
      </c>
      <c r="F5" s="13">
        <f>Income_Statement!F17</f>
        <v>0</v>
      </c>
      <c r="G5" s="13">
        <f>Income_Statement!G17</f>
        <v>0</v>
      </c>
    </row>
    <row r="6" spans="2:15" ht="18.75" x14ac:dyDescent="0.25">
      <c r="B6" s="12" t="str">
        <f>Income_Statement!B19</f>
        <v>Operating And Direct Expenses</v>
      </c>
      <c r="C6" s="13">
        <f>Income_Statement!C19</f>
        <v>0</v>
      </c>
      <c r="D6" s="13">
        <f>Income_Statement!D19</f>
        <v>0</v>
      </c>
      <c r="E6" s="13">
        <f>Income_Statement!E19</f>
        <v>0</v>
      </c>
      <c r="F6" s="13">
        <f>Income_Statement!F19</f>
        <v>0</v>
      </c>
      <c r="G6" s="13">
        <f>Income_Statement!G19</f>
        <v>0</v>
      </c>
    </row>
  </sheetData>
  <hyperlinks>
    <hyperlink ref="F1" location="Index_Data!A1" tooltip="Hi click here To return Index page" display="Index_Data!A1" xr:uid="{1A974BE9-55BB-4A80-9844-C7D7C217C1AA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D476D-93BB-4550-A542-B9D19F7C3FEB}">
  <dimension ref="B1:O65"/>
  <sheetViews>
    <sheetView showGridLines="0" topLeftCell="A49" workbookViewId="0">
      <selection activeCell="H61" sqref="H61:L61"/>
    </sheetView>
  </sheetViews>
  <sheetFormatPr defaultRowHeight="15" x14ac:dyDescent="0.25"/>
  <cols>
    <col min="2" max="2" width="61.85546875" bestFit="1" customWidth="1"/>
    <col min="3" max="12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120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97</v>
      </c>
      <c r="C5" s="5">
        <v>29904.959999999999</v>
      </c>
      <c r="D5" s="5">
        <v>34831.17</v>
      </c>
      <c r="E5" s="5">
        <v>36800.129999999997</v>
      </c>
      <c r="F5" s="5">
        <v>39300.83</v>
      </c>
      <c r="G5" s="5">
        <v>41616.339999999997</v>
      </c>
      <c r="H5" s="24">
        <f>GROWTH(C5:G5,C4:G4,H4)</f>
        <v>45844.552891347077</v>
      </c>
      <c r="I5" s="24">
        <f t="shared" ref="I5:L5" si="0">GROWTH(D5:H5,D4:H4,I4)</f>
        <v>48324.828201731929</v>
      </c>
      <c r="J5" s="24">
        <f t="shared" si="0"/>
        <v>52005.944597391637</v>
      </c>
      <c r="K5" s="24">
        <f t="shared" si="0"/>
        <v>55911.098058974407</v>
      </c>
      <c r="L5" s="24">
        <f t="shared" si="0"/>
        <v>60120.785779094338</v>
      </c>
    </row>
    <row r="6" spans="2:15" x14ac:dyDescent="0.25">
      <c r="B6" s="17" t="s">
        <v>238</v>
      </c>
      <c r="C6" s="18">
        <f>C5/Income_Statement!C5</f>
        <v>1</v>
      </c>
      <c r="D6" s="18">
        <f>D5/Income_Statement!D5</f>
        <v>1</v>
      </c>
      <c r="E6" s="18">
        <f>E5/Income_Statement!E5</f>
        <v>1</v>
      </c>
      <c r="F6" s="18">
        <f>F5/Income_Statement!F5</f>
        <v>1</v>
      </c>
      <c r="G6" s="18">
        <f>G5/Income_Statement!G5</f>
        <v>1</v>
      </c>
      <c r="H6" s="25">
        <f>H5/Income_Statement!H5</f>
        <v>1</v>
      </c>
      <c r="I6" s="25">
        <f>I5/Income_Statement!I5</f>
        <v>1</v>
      </c>
      <c r="J6" s="25">
        <f>J5/Income_Statement!J5</f>
        <v>1</v>
      </c>
      <c r="K6" s="25">
        <f>K5/Income_Statement!K5</f>
        <v>1</v>
      </c>
      <c r="L6" s="25">
        <f>L5/Income_Statement!L5</f>
        <v>1</v>
      </c>
    </row>
    <row r="7" spans="2:15" ht="18.75" x14ac:dyDescent="0.25">
      <c r="B7" s="8" t="s">
        <v>98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26">
        <f>H5*H8</f>
        <v>0</v>
      </c>
      <c r="I7" s="26">
        <f t="shared" ref="I7:L7" si="1">I5*I8</f>
        <v>0</v>
      </c>
      <c r="J7" s="26">
        <f t="shared" si="1"/>
        <v>0</v>
      </c>
      <c r="K7" s="26">
        <f t="shared" si="1"/>
        <v>0</v>
      </c>
      <c r="L7" s="26">
        <f t="shared" si="1"/>
        <v>0</v>
      </c>
    </row>
    <row r="8" spans="2:15" x14ac:dyDescent="0.25">
      <c r="B8" s="17" t="s">
        <v>239</v>
      </c>
      <c r="C8" s="18">
        <f>C7/Income_Statement!C5</f>
        <v>0</v>
      </c>
      <c r="D8" s="18">
        <f>D7/Income_Statement!D5</f>
        <v>0</v>
      </c>
      <c r="E8" s="18">
        <f>E7/Income_Statement!E5</f>
        <v>0</v>
      </c>
      <c r="F8" s="18">
        <f>F7/Income_Statement!F5</f>
        <v>0</v>
      </c>
      <c r="G8" s="18">
        <f>G7/Income_Statement!G5</f>
        <v>0</v>
      </c>
      <c r="H8" s="25">
        <f>G8</f>
        <v>0</v>
      </c>
      <c r="I8" s="25">
        <f t="shared" ref="I8:L8" si="2">H8</f>
        <v>0</v>
      </c>
      <c r="J8" s="25">
        <f t="shared" si="2"/>
        <v>0</v>
      </c>
      <c r="K8" s="25">
        <f t="shared" si="2"/>
        <v>0</v>
      </c>
      <c r="L8" s="25">
        <f t="shared" si="2"/>
        <v>0</v>
      </c>
    </row>
    <row r="9" spans="2:15" ht="18.75" x14ac:dyDescent="0.25">
      <c r="B9" s="9" t="s">
        <v>105</v>
      </c>
      <c r="C9" s="7">
        <f>C5 - C7</f>
        <v>29904.959999999999</v>
      </c>
      <c r="D9" s="7">
        <f t="shared" ref="D9:L9" si="3">D5 - D7</f>
        <v>34831.17</v>
      </c>
      <c r="E9" s="7">
        <f t="shared" si="3"/>
        <v>36800.129999999997</v>
      </c>
      <c r="F9" s="7">
        <f t="shared" si="3"/>
        <v>39300.83</v>
      </c>
      <c r="G9" s="7">
        <f t="shared" si="3"/>
        <v>41616.339999999997</v>
      </c>
      <c r="H9" s="27">
        <f t="shared" si="3"/>
        <v>45844.552891347077</v>
      </c>
      <c r="I9" s="27">
        <f t="shared" si="3"/>
        <v>48324.828201731929</v>
      </c>
      <c r="J9" s="27">
        <f t="shared" si="3"/>
        <v>52005.944597391637</v>
      </c>
      <c r="K9" s="27">
        <f t="shared" si="3"/>
        <v>55911.098058974407</v>
      </c>
      <c r="L9" s="27">
        <f t="shared" si="3"/>
        <v>60120.785779094338</v>
      </c>
    </row>
    <row r="10" spans="2:15" x14ac:dyDescent="0.25">
      <c r="B10" s="19" t="s">
        <v>240</v>
      </c>
      <c r="C10" s="21">
        <f>C9/Income_Statement!C5</f>
        <v>1</v>
      </c>
      <c r="D10" s="21">
        <f>D9/Income_Statement!D5</f>
        <v>1</v>
      </c>
      <c r="E10" s="21">
        <f>E9/Income_Statement!E5</f>
        <v>1</v>
      </c>
      <c r="F10" s="21">
        <f>F9/Income_Statement!F5</f>
        <v>1</v>
      </c>
      <c r="G10" s="21">
        <f>G9/Income_Statement!G5</f>
        <v>1</v>
      </c>
      <c r="H10" s="29">
        <f>H9/Income_Statement!H5</f>
        <v>1</v>
      </c>
      <c r="I10" s="29">
        <f>I9/Income_Statement!I5</f>
        <v>1</v>
      </c>
      <c r="J10" s="29">
        <f>J9/Income_Statement!J5</f>
        <v>1</v>
      </c>
      <c r="K10" s="29">
        <f>K9/Income_Statement!K5</f>
        <v>1</v>
      </c>
      <c r="L10" s="29">
        <f>L9/Income_Statement!L5</f>
        <v>1</v>
      </c>
    </row>
    <row r="11" spans="2:15" ht="18.75" x14ac:dyDescent="0.25">
      <c r="B11" s="8" t="s">
        <v>59</v>
      </c>
      <c r="C11" s="5">
        <v>476.92</v>
      </c>
      <c r="D11" s="5">
        <v>602.20000000000005</v>
      </c>
      <c r="E11" s="4">
        <v>927.42</v>
      </c>
      <c r="F11" s="4">
        <v>1183.74</v>
      </c>
      <c r="G11" s="4">
        <v>1081.56</v>
      </c>
      <c r="H11" s="26">
        <f>H5*H12</f>
        <v>1155.3533980041132</v>
      </c>
      <c r="I11" s="26">
        <f t="shared" ref="I11:L11" si="4">I5*I12</f>
        <v>1217.8601589410207</v>
      </c>
      <c r="J11" s="26">
        <f t="shared" si="4"/>
        <v>1310.6299662124279</v>
      </c>
      <c r="K11" s="26">
        <f t="shared" si="4"/>
        <v>1409.0458528775318</v>
      </c>
      <c r="L11" s="26">
        <f t="shared" si="4"/>
        <v>1515.1364722691924</v>
      </c>
    </row>
    <row r="12" spans="2:15" x14ac:dyDescent="0.25">
      <c r="B12" s="17" t="s">
        <v>241</v>
      </c>
      <c r="C12" s="18">
        <f>C11/Income_Statement!C5</f>
        <v>1.5947856141589892E-2</v>
      </c>
      <c r="D12" s="18">
        <f>D11/Income_Statement!D5</f>
        <v>1.728911202236388E-2</v>
      </c>
      <c r="E12" s="18">
        <f>E11/Income_Statement!E5</f>
        <v>2.5201541407598289E-2</v>
      </c>
      <c r="F12" s="18">
        <f>F11/Income_Statement!F5</f>
        <v>3.0119974565422664E-2</v>
      </c>
      <c r="G12" s="18">
        <f>G11/Income_Statement!G5</f>
        <v>2.5988830348848555E-2</v>
      </c>
      <c r="H12" s="25">
        <f>MEDIAN(C12:G12)</f>
        <v>2.5201541407598289E-2</v>
      </c>
      <c r="I12" s="25">
        <f t="shared" ref="I12:L12" si="5">H12</f>
        <v>2.5201541407598289E-2</v>
      </c>
      <c r="J12" s="25">
        <f t="shared" si="5"/>
        <v>2.5201541407598289E-2</v>
      </c>
      <c r="K12" s="25">
        <f t="shared" si="5"/>
        <v>2.5201541407598289E-2</v>
      </c>
      <c r="L12" s="25">
        <f t="shared" si="5"/>
        <v>2.5201541407598289E-2</v>
      </c>
    </row>
    <row r="13" spans="2:15" ht="18.75" x14ac:dyDescent="0.25">
      <c r="B13" s="8" t="s">
        <v>106</v>
      </c>
      <c r="C13" s="4"/>
      <c r="D13" s="4"/>
      <c r="E13" s="4"/>
      <c r="F13" s="4"/>
      <c r="G13" s="4"/>
      <c r="H13" s="26">
        <f>H5*H14</f>
        <v>0</v>
      </c>
      <c r="I13" s="26">
        <f t="shared" ref="I13:L13" si="6">I5*I14</f>
        <v>0</v>
      </c>
      <c r="J13" s="26">
        <f t="shared" si="6"/>
        <v>0</v>
      </c>
      <c r="K13" s="26">
        <f t="shared" si="6"/>
        <v>0</v>
      </c>
      <c r="L13" s="26">
        <f t="shared" si="6"/>
        <v>0</v>
      </c>
    </row>
    <row r="14" spans="2:15" x14ac:dyDescent="0.25">
      <c r="B14" s="17" t="s">
        <v>242</v>
      </c>
      <c r="C14" s="18">
        <f>C13/Income_Statement!C5</f>
        <v>0</v>
      </c>
      <c r="D14" s="18">
        <f>D13/Income_Statement!D5</f>
        <v>0</v>
      </c>
      <c r="E14" s="18">
        <f>E13/Income_Statement!E5</f>
        <v>0</v>
      </c>
      <c r="F14" s="18">
        <f>F13/Income_Statement!F5</f>
        <v>0</v>
      </c>
      <c r="G14" s="18">
        <f>G13/Income_Statement!G5</f>
        <v>0</v>
      </c>
      <c r="H14" s="25">
        <f>MEDIAN(C14:G14)</f>
        <v>0</v>
      </c>
      <c r="I14" s="25">
        <f t="shared" ref="I14:L14" si="7">H14</f>
        <v>0</v>
      </c>
      <c r="J14" s="25">
        <f t="shared" si="7"/>
        <v>0</v>
      </c>
      <c r="K14" s="25">
        <f t="shared" si="7"/>
        <v>0</v>
      </c>
      <c r="L14" s="25">
        <f t="shared" si="7"/>
        <v>0</v>
      </c>
    </row>
    <row r="15" spans="2:15" ht="18.75" x14ac:dyDescent="0.25">
      <c r="B15" s="9" t="s">
        <v>107</v>
      </c>
      <c r="C15" s="7">
        <f>SUM(C9:C13)</f>
        <v>30382.895947856137</v>
      </c>
      <c r="D15" s="7">
        <f t="shared" ref="D15:L15" si="8">SUM(D9:D13)</f>
        <v>35434.387289112019</v>
      </c>
      <c r="E15" s="7">
        <f t="shared" si="8"/>
        <v>37728.575201541404</v>
      </c>
      <c r="F15" s="7">
        <f t="shared" si="8"/>
        <v>40485.600119974566</v>
      </c>
      <c r="G15" s="7">
        <f t="shared" si="8"/>
        <v>42698.925988830342</v>
      </c>
      <c r="H15" s="27">
        <f t="shared" si="8"/>
        <v>47000.931490892595</v>
      </c>
      <c r="I15" s="27">
        <f t="shared" si="8"/>
        <v>49543.713562214354</v>
      </c>
      <c r="J15" s="27">
        <f t="shared" si="8"/>
        <v>53317.599765145475</v>
      </c>
      <c r="K15" s="27">
        <f t="shared" si="8"/>
        <v>57321.169113393349</v>
      </c>
      <c r="L15" s="27">
        <f t="shared" si="8"/>
        <v>61636.94745290494</v>
      </c>
    </row>
    <row r="16" spans="2:15" x14ac:dyDescent="0.25">
      <c r="B16" s="19" t="s">
        <v>243</v>
      </c>
      <c r="C16" s="21">
        <f>C15/Income_Statement!C5</f>
        <v>1.0159818286951776</v>
      </c>
      <c r="D16" s="21">
        <f>D15/Income_Statement!D5</f>
        <v>1.0173183183083434</v>
      </c>
      <c r="E16" s="21">
        <f>E15/Income_Statement!E5</f>
        <v>1.0252294000467228</v>
      </c>
      <c r="F16" s="21">
        <f>F15/Income_Statement!F5</f>
        <v>1.0301461857160412</v>
      </c>
      <c r="G16" s="21">
        <f>G15/Income_Statement!G5</f>
        <v>1.0260134838582717</v>
      </c>
      <c r="H16" s="29">
        <f>H15/Income_Statement!H5</f>
        <v>1.0252239039670901</v>
      </c>
      <c r="I16" s="29">
        <f>I15/Income_Statement!I5</f>
        <v>1.025222756207103</v>
      </c>
      <c r="J16" s="29">
        <f>J15/Income_Statement!J5</f>
        <v>1.0252212545682637</v>
      </c>
      <c r="K16" s="29">
        <f>K15/Income_Statement!K5</f>
        <v>1.0252198776874604</v>
      </c>
      <c r="L16" s="29">
        <f>L15/Income_Statement!L5</f>
        <v>1.0252185937719034</v>
      </c>
    </row>
    <row r="17" spans="2:12" ht="18.75" x14ac:dyDescent="0.25">
      <c r="B17" s="8" t="s">
        <v>62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26">
        <f>H5*H18</f>
        <v>0</v>
      </c>
      <c r="I17" s="26">
        <f t="shared" ref="I17:L17" si="9">I5*I18</f>
        <v>0</v>
      </c>
      <c r="J17" s="26">
        <f t="shared" si="9"/>
        <v>0</v>
      </c>
      <c r="K17" s="26">
        <f t="shared" si="9"/>
        <v>0</v>
      </c>
      <c r="L17" s="26">
        <f t="shared" si="9"/>
        <v>0</v>
      </c>
    </row>
    <row r="18" spans="2:12" x14ac:dyDescent="0.25">
      <c r="B18" s="17" t="s">
        <v>244</v>
      </c>
      <c r="C18" s="18">
        <f>C17/Income_Statement!C5</f>
        <v>0</v>
      </c>
      <c r="D18" s="18">
        <f>D17/Income_Statement!D5</f>
        <v>0</v>
      </c>
      <c r="E18" s="18">
        <f>E17/Income_Statement!E5</f>
        <v>0</v>
      </c>
      <c r="F18" s="18">
        <f>F17/Income_Statement!F5</f>
        <v>0</v>
      </c>
      <c r="G18" s="18">
        <f>G17/Income_Statement!G5</f>
        <v>0</v>
      </c>
      <c r="H18" s="25">
        <f>G18</f>
        <v>0</v>
      </c>
      <c r="I18" s="25">
        <f t="shared" ref="I18:L18" si="10">H18</f>
        <v>0</v>
      </c>
      <c r="J18" s="25">
        <f t="shared" si="10"/>
        <v>0</v>
      </c>
      <c r="K18" s="25">
        <f t="shared" si="10"/>
        <v>0</v>
      </c>
      <c r="L18" s="25">
        <f t="shared" si="10"/>
        <v>0</v>
      </c>
    </row>
    <row r="19" spans="2:12" ht="18.75" x14ac:dyDescent="0.25">
      <c r="B19" s="8" t="s">
        <v>64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26">
        <f>H5*H20</f>
        <v>0</v>
      </c>
      <c r="I19" s="26">
        <f t="shared" ref="I19:L19" si="11">I5*I20</f>
        <v>0</v>
      </c>
      <c r="J19" s="26">
        <f t="shared" si="11"/>
        <v>0</v>
      </c>
      <c r="K19" s="26">
        <f t="shared" si="11"/>
        <v>0</v>
      </c>
      <c r="L19" s="26">
        <f t="shared" si="11"/>
        <v>0</v>
      </c>
    </row>
    <row r="20" spans="2:12" x14ac:dyDescent="0.25">
      <c r="B20" s="17" t="s">
        <v>245</v>
      </c>
      <c r="C20" s="18">
        <f>C19/Income_Statement!C5</f>
        <v>0</v>
      </c>
      <c r="D20" s="18">
        <f>D19/Income_Statement!D5</f>
        <v>0</v>
      </c>
      <c r="E20" s="18">
        <f>E19/Income_Statement!E5</f>
        <v>0</v>
      </c>
      <c r="F20" s="18">
        <f>F19/Income_Statement!F5</f>
        <v>0</v>
      </c>
      <c r="G20" s="18">
        <f>G19/Income_Statement!G5</f>
        <v>0</v>
      </c>
      <c r="H20" s="25">
        <f>G20</f>
        <v>0</v>
      </c>
      <c r="I20" s="25">
        <f t="shared" ref="I20:L20" si="12">H20</f>
        <v>0</v>
      </c>
      <c r="J20" s="25">
        <f t="shared" si="12"/>
        <v>0</v>
      </c>
      <c r="K20" s="25">
        <f t="shared" si="12"/>
        <v>0</v>
      </c>
      <c r="L20" s="25">
        <f t="shared" si="12"/>
        <v>0</v>
      </c>
    </row>
    <row r="21" spans="2:12" ht="18.75" x14ac:dyDescent="0.25">
      <c r="B21" s="8" t="s">
        <v>66</v>
      </c>
      <c r="C21" s="5">
        <v>1599.09</v>
      </c>
      <c r="D21" s="5">
        <v>1783.57</v>
      </c>
      <c r="E21" s="5">
        <v>1959.75</v>
      </c>
      <c r="F21" s="5">
        <v>2114.7600000000002</v>
      </c>
      <c r="G21" s="5">
        <v>2243.89</v>
      </c>
      <c r="H21" s="24">
        <f>H5*H22</f>
        <v>2471.8688329479428</v>
      </c>
      <c r="I21" s="24">
        <f t="shared" ref="I21:L21" si="13">I5*I22</f>
        <v>2605.6015198257287</v>
      </c>
      <c r="J21" s="24">
        <f t="shared" si="13"/>
        <v>2804.0817386305748</v>
      </c>
      <c r="K21" s="24">
        <f t="shared" si="13"/>
        <v>3014.6416965920621</v>
      </c>
      <c r="L21" s="24">
        <f t="shared" si="13"/>
        <v>3241.6216803748721</v>
      </c>
    </row>
    <row r="22" spans="2:12" x14ac:dyDescent="0.25">
      <c r="B22" s="17" t="s">
        <v>246</v>
      </c>
      <c r="C22" s="18">
        <f>C21/Income_Statement!C5</f>
        <v>5.3472400564989885E-2</v>
      </c>
      <c r="D22" s="18">
        <f>D21/Income_Statement!D5</f>
        <v>5.1206146678391795E-2</v>
      </c>
      <c r="E22" s="18">
        <f>E21/Income_Statement!E5</f>
        <v>5.3253887961808834E-2</v>
      </c>
      <c r="F22" s="18">
        <f>F21/Income_Statement!F5</f>
        <v>5.3809550587099561E-2</v>
      </c>
      <c r="G22" s="18">
        <f>G21/Income_Statement!G5</f>
        <v>5.3918484902805007E-2</v>
      </c>
      <c r="H22" s="25">
        <f>G22</f>
        <v>5.3918484902805007E-2</v>
      </c>
      <c r="I22" s="25">
        <f t="shared" ref="I22:L22" si="14">H22</f>
        <v>5.3918484902805007E-2</v>
      </c>
      <c r="J22" s="25">
        <f t="shared" si="14"/>
        <v>5.3918484902805007E-2</v>
      </c>
      <c r="K22" s="25">
        <f t="shared" si="14"/>
        <v>5.3918484902805007E-2</v>
      </c>
      <c r="L22" s="25">
        <f t="shared" si="14"/>
        <v>5.3918484902805007E-2</v>
      </c>
    </row>
    <row r="23" spans="2:12" ht="18.75" x14ac:dyDescent="0.25">
      <c r="B23" s="8" t="s">
        <v>69</v>
      </c>
      <c r="C23" s="5">
        <v>2237.6999999999998</v>
      </c>
      <c r="D23" s="5">
        <v>3055.01</v>
      </c>
      <c r="E23" s="5">
        <v>2843.55</v>
      </c>
      <c r="F23" s="5">
        <v>2531.92</v>
      </c>
      <c r="G23" s="5">
        <v>2805.55</v>
      </c>
      <c r="H23" s="24">
        <f>H5*H24</f>
        <v>3407.579349121761</v>
      </c>
      <c r="I23" s="24">
        <f t="shared" ref="I23:L23" si="15">I5*I24</f>
        <v>3591.9357097963834</v>
      </c>
      <c r="J23" s="24">
        <f t="shared" si="15"/>
        <v>3865.5493764252733</v>
      </c>
      <c r="K23" s="24">
        <f t="shared" si="15"/>
        <v>4155.8154920612806</v>
      </c>
      <c r="L23" s="24">
        <f t="shared" si="15"/>
        <v>4468.7173317919433</v>
      </c>
    </row>
    <row r="24" spans="2:12" x14ac:dyDescent="0.25">
      <c r="B24" s="17" t="s">
        <v>247</v>
      </c>
      <c r="C24" s="18">
        <f>C23/Income_Statement!C5</f>
        <v>7.4827052101056141E-2</v>
      </c>
      <c r="D24" s="18">
        <f>D23/Income_Statement!D5</f>
        <v>8.7709083559352169E-2</v>
      </c>
      <c r="E24" s="18">
        <f>E23/Income_Statement!E5</f>
        <v>7.7270107469729052E-2</v>
      </c>
      <c r="F24" s="18">
        <f>F23/Income_Statement!F5</f>
        <v>6.4424084682181013E-2</v>
      </c>
      <c r="G24" s="18">
        <f>G23/Income_Statement!G5</f>
        <v>6.7414626081966855E-2</v>
      </c>
      <c r="H24" s="25">
        <f>AVERAGE(C24:G24)</f>
        <v>7.4328990778857046E-2</v>
      </c>
      <c r="I24" s="25">
        <f t="shared" ref="I24:L24" si="16">H24</f>
        <v>7.4328990778857046E-2</v>
      </c>
      <c r="J24" s="25">
        <f t="shared" si="16"/>
        <v>7.4328990778857046E-2</v>
      </c>
      <c r="K24" s="25">
        <f t="shared" si="16"/>
        <v>7.4328990778857046E-2</v>
      </c>
      <c r="L24" s="25">
        <f t="shared" si="16"/>
        <v>7.4328990778857046E-2</v>
      </c>
    </row>
    <row r="25" spans="2:12" ht="18.75" x14ac:dyDescent="0.25">
      <c r="B25" s="9" t="s">
        <v>108</v>
      </c>
      <c r="C25" s="7">
        <f>C17+C19+C21+C23</f>
        <v>3836.79</v>
      </c>
      <c r="D25" s="7">
        <f t="shared" ref="D25:L25" si="17">D17+D19+D21+D23</f>
        <v>4838.58</v>
      </c>
      <c r="E25" s="7">
        <f t="shared" si="17"/>
        <v>4803.3</v>
      </c>
      <c r="F25" s="7">
        <f t="shared" si="17"/>
        <v>4646.68</v>
      </c>
      <c r="G25" s="7">
        <f t="shared" si="17"/>
        <v>5049.4400000000005</v>
      </c>
      <c r="H25" s="27">
        <f t="shared" si="17"/>
        <v>5879.4481820697038</v>
      </c>
      <c r="I25" s="27">
        <f t="shared" si="17"/>
        <v>6197.5372296221121</v>
      </c>
      <c r="J25" s="27">
        <f t="shared" si="17"/>
        <v>6669.6311150558486</v>
      </c>
      <c r="K25" s="27">
        <f t="shared" si="17"/>
        <v>7170.4571886533431</v>
      </c>
      <c r="L25" s="27">
        <f t="shared" si="17"/>
        <v>7710.3390121668153</v>
      </c>
    </row>
    <row r="26" spans="2:12" x14ac:dyDescent="0.25">
      <c r="B26" s="19" t="s">
        <v>248</v>
      </c>
      <c r="C26" s="21">
        <f>C25/Income_Statement!C5</f>
        <v>0.12829945266604603</v>
      </c>
      <c r="D26" s="21">
        <f>D25/Income_Statement!D5</f>
        <v>0.13891523023774396</v>
      </c>
      <c r="E26" s="21">
        <f>E25/Income_Statement!E5</f>
        <v>0.13052399543153789</v>
      </c>
      <c r="F26" s="21">
        <f>F25/Income_Statement!F5</f>
        <v>0.11823363526928057</v>
      </c>
      <c r="G26" s="21">
        <f>G25/Income_Statement!G5</f>
        <v>0.12133311098477187</v>
      </c>
      <c r="H26" s="29">
        <f>H25/Income_Statement!H5</f>
        <v>0.12824747568166206</v>
      </c>
      <c r="I26" s="29">
        <f>I25/Income_Statement!I5</f>
        <v>0.12824747568166206</v>
      </c>
      <c r="J26" s="29">
        <f>J25/Income_Statement!J5</f>
        <v>0.12824747568166206</v>
      </c>
      <c r="K26" s="29">
        <f>K25/Income_Statement!K5</f>
        <v>0.12824747568166206</v>
      </c>
      <c r="L26" s="29">
        <f>L25/Income_Statement!L5</f>
        <v>0.12824747568166206</v>
      </c>
    </row>
    <row r="27" spans="2:12" ht="18.75" x14ac:dyDescent="0.25">
      <c r="B27" s="9" t="s">
        <v>109</v>
      </c>
      <c r="C27" s="7">
        <f xml:space="preserve"> C15-C25-C11</f>
        <v>26069.185947856138</v>
      </c>
      <c r="D27" s="7">
        <f t="shared" ref="D27:L27" si="18" xml:space="preserve"> D15-D25-D11</f>
        <v>29993.607289112017</v>
      </c>
      <c r="E27" s="7">
        <f t="shared" si="18"/>
        <v>31997.855201541402</v>
      </c>
      <c r="F27" s="7">
        <f t="shared" si="18"/>
        <v>34655.180119974568</v>
      </c>
      <c r="G27" s="7">
        <f t="shared" si="18"/>
        <v>36567.925988830342</v>
      </c>
      <c r="H27" s="27">
        <f t="shared" si="18"/>
        <v>39966.129910818781</v>
      </c>
      <c r="I27" s="27">
        <f t="shared" si="18"/>
        <v>42128.316173651227</v>
      </c>
      <c r="J27" s="27">
        <f t="shared" si="18"/>
        <v>45337.338683877198</v>
      </c>
      <c r="K27" s="27">
        <f t="shared" si="18"/>
        <v>48741.66607186247</v>
      </c>
      <c r="L27" s="27">
        <f t="shared" si="18"/>
        <v>52411.471968468933</v>
      </c>
    </row>
    <row r="28" spans="2:12" x14ac:dyDescent="0.25">
      <c r="B28" s="19" t="s">
        <v>249</v>
      </c>
      <c r="C28" s="21">
        <f>C27/Income_Statement!C5</f>
        <v>0.87173451988754169</v>
      </c>
      <c r="D28" s="21">
        <f>D27/Income_Statement!D5</f>
        <v>0.86111397604823547</v>
      </c>
      <c r="E28" s="21">
        <f>E27/Income_Statement!E5</f>
        <v>0.86950386320758666</v>
      </c>
      <c r="F28" s="21">
        <f>F27/Income_Statement!F5</f>
        <v>0.88179257588133808</v>
      </c>
      <c r="G28" s="21">
        <f>G27/Income_Statement!G5</f>
        <v>0.87869154252465131</v>
      </c>
      <c r="H28" s="29">
        <f>H27/Income_Statement!H5</f>
        <v>0.87177488687782978</v>
      </c>
      <c r="I28" s="29">
        <f>I27/Income_Statement!I5</f>
        <v>0.87177373911784284</v>
      </c>
      <c r="J28" s="29">
        <f>J27/Income_Statement!J5</f>
        <v>0.87177223747900345</v>
      </c>
      <c r="K28" s="29">
        <f>K27/Income_Statement!K5</f>
        <v>0.87177086059820008</v>
      </c>
      <c r="L28" s="29">
        <f>L27/Income_Statement!L5</f>
        <v>0.87176957668264299</v>
      </c>
    </row>
    <row r="29" spans="2:12" ht="18.75" x14ac:dyDescent="0.25">
      <c r="B29" s="9" t="s">
        <v>110</v>
      </c>
      <c r="C29" s="7">
        <f xml:space="preserve"> C27+C11</f>
        <v>26546.105947856136</v>
      </c>
      <c r="D29" s="7">
        <f t="shared" ref="D29:L29" si="19" xml:space="preserve"> D27+D11</f>
        <v>30595.807289112017</v>
      </c>
      <c r="E29" s="7">
        <f t="shared" si="19"/>
        <v>32925.275201541401</v>
      </c>
      <c r="F29" s="7">
        <f t="shared" si="19"/>
        <v>35838.920119974566</v>
      </c>
      <c r="G29" s="7">
        <f t="shared" si="19"/>
        <v>37649.48598883034</v>
      </c>
      <c r="H29" s="27">
        <f t="shared" si="19"/>
        <v>41121.483308822892</v>
      </c>
      <c r="I29" s="27">
        <f t="shared" si="19"/>
        <v>43346.176332592244</v>
      </c>
      <c r="J29" s="27">
        <f t="shared" si="19"/>
        <v>46647.968650089628</v>
      </c>
      <c r="K29" s="27">
        <f t="shared" si="19"/>
        <v>50150.711924740004</v>
      </c>
      <c r="L29" s="27">
        <f t="shared" si="19"/>
        <v>53926.608440738128</v>
      </c>
    </row>
    <row r="30" spans="2:12" x14ac:dyDescent="0.25">
      <c r="B30" s="19" t="s">
        <v>250</v>
      </c>
      <c r="C30" s="21">
        <f>C29/Income_Statement!C5</f>
        <v>0.88768237602913158</v>
      </c>
      <c r="D30" s="21">
        <f>D29/Income_Statement!D5</f>
        <v>0.87840308807059941</v>
      </c>
      <c r="E30" s="21">
        <f>E29/Income_Statement!E5</f>
        <v>0.89470540461518488</v>
      </c>
      <c r="F30" s="21">
        <f>F29/Income_Statement!F5</f>
        <v>0.91191255044676067</v>
      </c>
      <c r="G30" s="21">
        <f>G29/Income_Statement!G5</f>
        <v>0.90468037287349978</v>
      </c>
      <c r="H30" s="29">
        <f>H29/Income_Statement!H5</f>
        <v>0.89697642828542801</v>
      </c>
      <c r="I30" s="29">
        <f>I29/Income_Statement!I5</f>
        <v>0.89697528052544107</v>
      </c>
      <c r="J30" s="29">
        <f>J29/Income_Statement!J5</f>
        <v>0.89697377888660179</v>
      </c>
      <c r="K30" s="29">
        <f>K29/Income_Statement!K5</f>
        <v>0.89697240200579842</v>
      </c>
      <c r="L30" s="29">
        <f>L29/Income_Statement!L5</f>
        <v>0.89697111809024133</v>
      </c>
    </row>
    <row r="31" spans="2:12" ht="18.75" x14ac:dyDescent="0.25">
      <c r="B31" s="8" t="s">
        <v>68</v>
      </c>
      <c r="C31" s="5">
        <v>9230.99</v>
      </c>
      <c r="D31" s="5">
        <v>10540.95</v>
      </c>
      <c r="E31" s="5">
        <v>11607.04</v>
      </c>
      <c r="F31" s="5">
        <v>12039.19</v>
      </c>
      <c r="G31" s="5">
        <v>12871.66</v>
      </c>
      <c r="H31" s="24">
        <f>Balance_Sheet!H40*H62</f>
        <v>13515.835422435146</v>
      </c>
      <c r="I31" s="24">
        <f>Balance_Sheet!I40*I62</f>
        <v>13673.460174044958</v>
      </c>
      <c r="J31" s="24">
        <f>Balance_Sheet!J40*J62</f>
        <v>14009.092204516681</v>
      </c>
      <c r="K31" s="24">
        <f>Balance_Sheet!K40*K62</f>
        <v>14499.87563236696</v>
      </c>
      <c r="L31" s="24">
        <f>Balance_Sheet!L40*L62</f>
        <v>14877.637717007636</v>
      </c>
    </row>
    <row r="32" spans="2:12" x14ac:dyDescent="0.25">
      <c r="B32" s="17" t="s">
        <v>251</v>
      </c>
      <c r="C32" s="18">
        <f>C31/Income_Statement!C5</f>
        <v>0.30867755716777417</v>
      </c>
      <c r="D32" s="18">
        <f>D31/Income_Statement!D5</f>
        <v>0.3026297996880381</v>
      </c>
      <c r="E32" s="18">
        <f>E31/Income_Statement!E5</f>
        <v>0.3154075814406091</v>
      </c>
      <c r="F32" s="18">
        <f>F31/Income_Statement!F5</f>
        <v>0.30633424281370136</v>
      </c>
      <c r="G32" s="18">
        <f>G31/Income_Statement!G5</f>
        <v>0.30929341696074186</v>
      </c>
      <c r="H32" s="25">
        <f>H31/Income_Statement!H5</f>
        <v>0.2948187858755667</v>
      </c>
      <c r="I32" s="25">
        <f>I31/Income_Statement!I5</f>
        <v>0.28294896604629649</v>
      </c>
      <c r="J32" s="25">
        <f>J31/Income_Statement!J5</f>
        <v>0.26937482460840273</v>
      </c>
      <c r="K32" s="25">
        <f>K31/Income_Statement!K5</f>
        <v>0.2593380587351844</v>
      </c>
      <c r="L32" s="25">
        <f>L31/Income_Statement!L5</f>
        <v>0.24746246284394044</v>
      </c>
    </row>
    <row r="33" spans="2:12" ht="18.75" x14ac:dyDescent="0.25">
      <c r="B33" s="9" t="s">
        <v>111</v>
      </c>
      <c r="C33" s="7">
        <f xml:space="preserve"> C29-C31</f>
        <v>17315.115947856139</v>
      </c>
      <c r="D33" s="7">
        <f t="shared" ref="D33:L33" si="20" xml:space="preserve"> D29-D31</f>
        <v>20054.857289112017</v>
      </c>
      <c r="E33" s="7">
        <f t="shared" si="20"/>
        <v>21318.2352015414</v>
      </c>
      <c r="F33" s="7">
        <f t="shared" si="20"/>
        <v>23799.730119974563</v>
      </c>
      <c r="G33" s="7">
        <f t="shared" si="20"/>
        <v>24777.82598883034</v>
      </c>
      <c r="H33" s="27">
        <f t="shared" si="20"/>
        <v>27605.647886387746</v>
      </c>
      <c r="I33" s="27">
        <f t="shared" si="20"/>
        <v>29672.716158547286</v>
      </c>
      <c r="J33" s="27">
        <f t="shared" si="20"/>
        <v>32638.876445572947</v>
      </c>
      <c r="K33" s="27">
        <f t="shared" si="20"/>
        <v>35650.836292373046</v>
      </c>
      <c r="L33" s="27">
        <f t="shared" si="20"/>
        <v>39048.97072373049</v>
      </c>
    </row>
    <row r="34" spans="2:12" x14ac:dyDescent="0.25">
      <c r="B34" s="19" t="s">
        <v>252</v>
      </c>
      <c r="C34" s="21">
        <f>C33/Income_Statement!C5</f>
        <v>0.57900481886135746</v>
      </c>
      <c r="D34" s="21">
        <f>D33/Income_Statement!D5</f>
        <v>0.57577328838256125</v>
      </c>
      <c r="E34" s="21">
        <f>E33/Income_Statement!E5</f>
        <v>0.57929782317457579</v>
      </c>
      <c r="F34" s="21">
        <f>F33/Income_Statement!F5</f>
        <v>0.6055783076330592</v>
      </c>
      <c r="G34" s="21">
        <f>G33/Income_Statement!G5</f>
        <v>0.59538695591275792</v>
      </c>
      <c r="H34" s="29">
        <f>H33/Income_Statement!H5</f>
        <v>0.60215764240986125</v>
      </c>
      <c r="I34" s="29">
        <f>I33/Income_Statement!I5</f>
        <v>0.61402631447914457</v>
      </c>
      <c r="J34" s="29">
        <f>J33/Income_Statement!J5</f>
        <v>0.62759895427819901</v>
      </c>
      <c r="K34" s="29">
        <f>K33/Income_Statement!K5</f>
        <v>0.63763434327061397</v>
      </c>
      <c r="L34" s="29">
        <f>L33/Income_Statement!L5</f>
        <v>0.64950865524630086</v>
      </c>
    </row>
    <row r="35" spans="2:12" ht="18.75" x14ac:dyDescent="0.25">
      <c r="B35" s="8" t="s">
        <v>67</v>
      </c>
      <c r="C35" s="5">
        <v>7324.14</v>
      </c>
      <c r="D35" s="5">
        <v>8736.57</v>
      </c>
      <c r="E35" s="5">
        <v>9509</v>
      </c>
      <c r="F35" s="5">
        <v>8134.69</v>
      </c>
      <c r="G35" s="5">
        <v>8036.22</v>
      </c>
      <c r="H35" s="24">
        <f>Balance_Sheet!H21*H63</f>
        <v>8438.4006923438028</v>
      </c>
      <c r="I35" s="24">
        <f>Balance_Sheet!I21*I63</f>
        <v>8536.8112257892208</v>
      </c>
      <c r="J35" s="24">
        <f>Balance_Sheet!J21*J63</f>
        <v>8746.3578543708245</v>
      </c>
      <c r="K35" s="24">
        <f>Balance_Sheet!K21*K63</f>
        <v>9052.7707563059739</v>
      </c>
      <c r="L35" s="24">
        <f>Balance_Sheet!L21*L63</f>
        <v>9288.6209882699386</v>
      </c>
    </row>
    <row r="36" spans="2:12" x14ac:dyDescent="0.25">
      <c r="B36" s="17" t="s">
        <v>253</v>
      </c>
      <c r="C36" s="18">
        <f>C35/Income_Statement!C5</f>
        <v>0.24491388719463261</v>
      </c>
      <c r="D36" s="18">
        <f>D35/Income_Statement!D5</f>
        <v>0.25082619963670472</v>
      </c>
      <c r="E36" s="18">
        <f>E35/Income_Statement!E5</f>
        <v>0.2583958263190918</v>
      </c>
      <c r="F36" s="18">
        <f>F35/Income_Statement!F5</f>
        <v>0.20698519598695497</v>
      </c>
      <c r="G36" s="18">
        <f>G35/Income_Statement!G5</f>
        <v>0.19310251694406574</v>
      </c>
      <c r="H36" s="25">
        <f>H35/Income_Statement!H5</f>
        <v>0.18406550310007511</v>
      </c>
      <c r="I36" s="25">
        <f>I35/Income_Statement!I5</f>
        <v>0.17665476616186435</v>
      </c>
      <c r="J36" s="25">
        <f>J35/Income_Statement!J5</f>
        <v>0.16817996331153071</v>
      </c>
      <c r="K36" s="25">
        <f>K35/Income_Statement!K5</f>
        <v>0.16191366420235945</v>
      </c>
      <c r="L36" s="25">
        <f>L35/Income_Statement!L5</f>
        <v>0.15449932777658154</v>
      </c>
    </row>
    <row r="37" spans="2:12" ht="18.75" x14ac:dyDescent="0.25">
      <c r="B37" s="9" t="s">
        <v>112</v>
      </c>
      <c r="C37" s="7">
        <f xml:space="preserve"> C33-C35</f>
        <v>9990.9759478561391</v>
      </c>
      <c r="D37" s="7">
        <f t="shared" ref="D37:L37" si="21" xml:space="preserve"> D33-D35</f>
        <v>11318.287289112017</v>
      </c>
      <c r="E37" s="7">
        <f t="shared" si="21"/>
        <v>11809.2352015414</v>
      </c>
      <c r="F37" s="7">
        <f t="shared" si="21"/>
        <v>15665.040119974565</v>
      </c>
      <c r="G37" s="7">
        <f t="shared" si="21"/>
        <v>16741.605988830339</v>
      </c>
      <c r="H37" s="27">
        <f t="shared" si="21"/>
        <v>19167.247194043943</v>
      </c>
      <c r="I37" s="27">
        <f t="shared" si="21"/>
        <v>21135.904932758065</v>
      </c>
      <c r="J37" s="27">
        <f t="shared" si="21"/>
        <v>23892.518591202122</v>
      </c>
      <c r="K37" s="27">
        <f t="shared" si="21"/>
        <v>26598.065536067072</v>
      </c>
      <c r="L37" s="27">
        <f t="shared" si="21"/>
        <v>29760.34973546055</v>
      </c>
    </row>
    <row r="38" spans="2:12" x14ac:dyDescent="0.25">
      <c r="B38" s="19" t="s">
        <v>254</v>
      </c>
      <c r="C38" s="21">
        <f>C37/Income_Statement!C5</f>
        <v>0.33409093166672482</v>
      </c>
      <c r="D38" s="21">
        <f>D37/Income_Statement!D5</f>
        <v>0.32494708874585659</v>
      </c>
      <c r="E38" s="21">
        <f>E37/Income_Statement!E5</f>
        <v>0.32090199685548393</v>
      </c>
      <c r="F38" s="21">
        <f>F37/Income_Statement!F5</f>
        <v>0.39859311164610428</v>
      </c>
      <c r="G38" s="21">
        <f>G37/Income_Statement!G5</f>
        <v>0.40228443896869209</v>
      </c>
      <c r="H38" s="29">
        <f>H37/Income_Statement!H5</f>
        <v>0.41809213930978617</v>
      </c>
      <c r="I38" s="29">
        <f>I37/Income_Statement!I5</f>
        <v>0.43737154831728026</v>
      </c>
      <c r="J38" s="29">
        <f>J37/Income_Statement!J5</f>
        <v>0.45941899096666833</v>
      </c>
      <c r="K38" s="29">
        <f>K37/Income_Statement!K5</f>
        <v>0.47572067906825449</v>
      </c>
      <c r="L38" s="29">
        <f>L37/Income_Statement!L5</f>
        <v>0.49500932746971926</v>
      </c>
    </row>
    <row r="39" spans="2:12" ht="18.75" x14ac:dyDescent="0.25">
      <c r="B39" s="8" t="s">
        <v>113</v>
      </c>
      <c r="C39" s="4"/>
      <c r="D39" s="4"/>
      <c r="E39" s="4"/>
      <c r="F39" s="4"/>
      <c r="G39" s="4"/>
      <c r="H39" s="26">
        <f>H5*H40</f>
        <v>0</v>
      </c>
      <c r="I39" s="26">
        <f t="shared" ref="I39:L39" si="22">I5*I40</f>
        <v>0</v>
      </c>
      <c r="J39" s="26">
        <f t="shared" si="22"/>
        <v>0</v>
      </c>
      <c r="K39" s="26">
        <f t="shared" si="22"/>
        <v>0</v>
      </c>
      <c r="L39" s="26">
        <f t="shared" si="22"/>
        <v>0</v>
      </c>
    </row>
    <row r="40" spans="2:12" x14ac:dyDescent="0.25">
      <c r="B40" s="17" t="s">
        <v>255</v>
      </c>
      <c r="C40" s="18">
        <f>C39/Income_Statement!C5</f>
        <v>0</v>
      </c>
      <c r="D40" s="18">
        <f>D39/Income_Statement!D5</f>
        <v>0</v>
      </c>
      <c r="E40" s="18">
        <f>E39/Income_Statement!E5</f>
        <v>0</v>
      </c>
      <c r="F40" s="18">
        <f>F39/Income_Statement!F5</f>
        <v>0</v>
      </c>
      <c r="G40" s="18">
        <f>G39/Income_Statement!G5</f>
        <v>0</v>
      </c>
      <c r="H40" s="25">
        <f>G40</f>
        <v>0</v>
      </c>
      <c r="I40" s="25">
        <f t="shared" ref="I40:L40" si="23">H40</f>
        <v>0</v>
      </c>
      <c r="J40" s="25">
        <f t="shared" si="23"/>
        <v>0</v>
      </c>
      <c r="K40" s="25">
        <f t="shared" si="23"/>
        <v>0</v>
      </c>
      <c r="L40" s="25">
        <f t="shared" si="23"/>
        <v>0</v>
      </c>
    </row>
    <row r="41" spans="2:12" ht="18.75" x14ac:dyDescent="0.25">
      <c r="B41" s="9" t="s">
        <v>114</v>
      </c>
      <c r="C41" s="7">
        <f xml:space="preserve"> C37+C39</f>
        <v>9990.9759478561391</v>
      </c>
      <c r="D41" s="7">
        <f t="shared" ref="D41:L41" si="24" xml:space="preserve"> D37+D39</f>
        <v>11318.287289112017</v>
      </c>
      <c r="E41" s="7">
        <f t="shared" si="24"/>
        <v>11809.2352015414</v>
      </c>
      <c r="F41" s="7">
        <f t="shared" si="24"/>
        <v>15665.040119974565</v>
      </c>
      <c r="G41" s="7">
        <f t="shared" si="24"/>
        <v>16741.605988830339</v>
      </c>
      <c r="H41" s="27">
        <f t="shared" si="24"/>
        <v>19167.247194043943</v>
      </c>
      <c r="I41" s="27">
        <f t="shared" si="24"/>
        <v>21135.904932758065</v>
      </c>
      <c r="J41" s="27">
        <f t="shared" si="24"/>
        <v>23892.518591202122</v>
      </c>
      <c r="K41" s="27">
        <f t="shared" si="24"/>
        <v>26598.065536067072</v>
      </c>
      <c r="L41" s="27">
        <f t="shared" si="24"/>
        <v>29760.34973546055</v>
      </c>
    </row>
    <row r="42" spans="2:12" x14ac:dyDescent="0.25">
      <c r="B42" s="19" t="s">
        <v>256</v>
      </c>
      <c r="C42" s="21">
        <f>C41/Income_Statement!C5</f>
        <v>0.33409093166672482</v>
      </c>
      <c r="D42" s="21">
        <f>D41/Income_Statement!D5</f>
        <v>0.32494708874585659</v>
      </c>
      <c r="E42" s="21">
        <f>E41/Income_Statement!E5</f>
        <v>0.32090199685548393</v>
      </c>
      <c r="F42" s="21">
        <f>F41/Income_Statement!F5</f>
        <v>0.39859311164610428</v>
      </c>
      <c r="G42" s="21">
        <f>G41/Income_Statement!G5</f>
        <v>0.40228443896869209</v>
      </c>
      <c r="H42" s="29">
        <f>H41/Income_Statement!H5</f>
        <v>0.41809213930978617</v>
      </c>
      <c r="I42" s="29">
        <f>I41/Income_Statement!I5</f>
        <v>0.43737154831728026</v>
      </c>
      <c r="J42" s="29">
        <f>J41/Income_Statement!J5</f>
        <v>0.45941899096666833</v>
      </c>
      <c r="K42" s="29">
        <f>K41/Income_Statement!K5</f>
        <v>0.47572067906825449</v>
      </c>
      <c r="L42" s="29">
        <f>L41/Income_Statement!L5</f>
        <v>0.49500932746971926</v>
      </c>
    </row>
    <row r="43" spans="2:12" ht="18.75" x14ac:dyDescent="0.25">
      <c r="B43" s="8" t="s">
        <v>72</v>
      </c>
      <c r="C43" s="5">
        <v>3284.19</v>
      </c>
      <c r="D43" s="4">
        <v>-2526.87</v>
      </c>
      <c r="E43" s="5">
        <v>1683.4</v>
      </c>
      <c r="F43" s="5">
        <v>-716.96</v>
      </c>
      <c r="G43" s="5">
        <v>2790.59</v>
      </c>
      <c r="H43" s="24">
        <f>H5*H44</f>
        <v>3074.113457672257</v>
      </c>
      <c r="I43" s="24">
        <f t="shared" ref="I43:L43" si="25">I5*I44</f>
        <v>3240.4286953506994</v>
      </c>
      <c r="J43" s="24">
        <f t="shared" si="25"/>
        <v>3487.2665144036009</v>
      </c>
      <c r="K43" s="24">
        <f t="shared" si="25"/>
        <v>3749.1271729420082</v>
      </c>
      <c r="L43" s="24">
        <f t="shared" si="25"/>
        <v>4031.4084224437538</v>
      </c>
    </row>
    <row r="44" spans="2:12" x14ac:dyDescent="0.25">
      <c r="B44" s="17" t="s">
        <v>257</v>
      </c>
      <c r="C44" s="18">
        <f>C43/Income_Statement!C5</f>
        <v>0.10982091265127926</v>
      </c>
      <c r="D44" s="18">
        <f>D43/Income_Statement!D5</f>
        <v>-7.2546227990618745E-2</v>
      </c>
      <c r="E44" s="18">
        <f>E43/Income_Statement!E5</f>
        <v>4.5744403620313304E-2</v>
      </c>
      <c r="F44" s="18">
        <f>F43/Income_Statement!F5</f>
        <v>-1.8242871715431964E-2</v>
      </c>
      <c r="G44" s="18">
        <f>G43/Income_Statement!G5</f>
        <v>6.7055151894664461E-2</v>
      </c>
      <c r="H44" s="25">
        <f>G44</f>
        <v>6.7055151894664461E-2</v>
      </c>
      <c r="I44" s="25">
        <f t="shared" ref="I44:L44" si="26">H44</f>
        <v>6.7055151894664461E-2</v>
      </c>
      <c r="J44" s="25">
        <f t="shared" si="26"/>
        <v>6.7055151894664461E-2</v>
      </c>
      <c r="K44" s="25">
        <f t="shared" si="26"/>
        <v>6.7055151894664461E-2</v>
      </c>
      <c r="L44" s="25">
        <f t="shared" si="26"/>
        <v>6.7055151894664461E-2</v>
      </c>
    </row>
    <row r="45" spans="2:12" ht="18.75" x14ac:dyDescent="0.25">
      <c r="B45" s="9" t="s">
        <v>115</v>
      </c>
      <c r="C45" s="7">
        <f xml:space="preserve"> C41+C43</f>
        <v>13275.16594785614</v>
      </c>
      <c r="D45" s="7">
        <f t="shared" ref="D45:L45" si="27" xml:space="preserve"> D41+D43</f>
        <v>8791.4172891120179</v>
      </c>
      <c r="E45" s="7">
        <f t="shared" si="27"/>
        <v>13492.6352015414</v>
      </c>
      <c r="F45" s="7">
        <f t="shared" si="27"/>
        <v>14948.080119974566</v>
      </c>
      <c r="G45" s="7">
        <f t="shared" si="27"/>
        <v>19532.195988830339</v>
      </c>
      <c r="H45" s="27">
        <f t="shared" si="27"/>
        <v>22241.360651716201</v>
      </c>
      <c r="I45" s="27">
        <f t="shared" si="27"/>
        <v>24376.333628108765</v>
      </c>
      <c r="J45" s="27">
        <f t="shared" si="27"/>
        <v>27379.785105605722</v>
      </c>
      <c r="K45" s="27">
        <f t="shared" si="27"/>
        <v>30347.192709009079</v>
      </c>
      <c r="L45" s="27">
        <f t="shared" si="27"/>
        <v>33791.758157904304</v>
      </c>
    </row>
    <row r="46" spans="2:12" x14ac:dyDescent="0.25">
      <c r="B46" s="19" t="s">
        <v>258</v>
      </c>
      <c r="C46" s="21">
        <f>C45/Income_Statement!C5</f>
        <v>0.44391184431800412</v>
      </c>
      <c r="D46" s="21">
        <f>D45/Income_Statement!D5</f>
        <v>0.25240086075523788</v>
      </c>
      <c r="E46" s="21">
        <f>E45/Income_Statement!E5</f>
        <v>0.36664640047579722</v>
      </c>
      <c r="F46" s="21">
        <f>F45/Income_Statement!F5</f>
        <v>0.38035023993067235</v>
      </c>
      <c r="G46" s="21">
        <f>G45/Income_Statement!G5</f>
        <v>0.46933959086335658</v>
      </c>
      <c r="H46" s="29">
        <f>H45/Income_Statement!H5</f>
        <v>0.48514729120445066</v>
      </c>
      <c r="I46" s="29">
        <f>I45/Income_Statement!I5</f>
        <v>0.5044267002119448</v>
      </c>
      <c r="J46" s="29">
        <f>J45/Income_Statement!J5</f>
        <v>0.52647414286133276</v>
      </c>
      <c r="K46" s="29">
        <f>K45/Income_Statement!K5</f>
        <v>0.54277583096291893</v>
      </c>
      <c r="L46" s="29">
        <f>L45/Income_Statement!L5</f>
        <v>0.56206447936438375</v>
      </c>
    </row>
    <row r="47" spans="2:12" ht="18.75" x14ac:dyDescent="0.25">
      <c r="B47" s="8" t="s">
        <v>79</v>
      </c>
      <c r="C47" s="5">
        <v>5266.75</v>
      </c>
      <c r="D47" s="5">
        <v>-886.35</v>
      </c>
      <c r="E47" s="5">
        <v>3530.75</v>
      </c>
      <c r="F47" s="4">
        <v>3464.25</v>
      </c>
      <c r="G47" s="5">
        <v>2785.57</v>
      </c>
      <c r="H47" s="24">
        <f>H45*H64</f>
        <v>3171.9355583996057</v>
      </c>
      <c r="I47" s="24">
        <f t="shared" ref="I47:L47" si="28">I45*I64</f>
        <v>3476.4131848401116</v>
      </c>
      <c r="J47" s="24">
        <f t="shared" si="28"/>
        <v>3904.7482443979593</v>
      </c>
      <c r="K47" s="24">
        <f t="shared" si="28"/>
        <v>4327.9429329285904</v>
      </c>
      <c r="L47" s="24">
        <f t="shared" si="28"/>
        <v>4819.1871423849207</v>
      </c>
    </row>
    <row r="48" spans="2:12" x14ac:dyDescent="0.25">
      <c r="B48" s="17" t="s">
        <v>259</v>
      </c>
      <c r="C48" s="18">
        <f>C47/Income_Statement!C5</f>
        <v>0.17611626967566585</v>
      </c>
      <c r="D48" s="18">
        <f>D47/Income_Statement!D5</f>
        <v>-2.5447034940256099E-2</v>
      </c>
      <c r="E48" s="18">
        <f>E47/Income_Statement!E5</f>
        <v>9.5943954545812754E-2</v>
      </c>
      <c r="F48" s="18">
        <f>F47/Income_Statement!F5</f>
        <v>8.8146993333219681E-2</v>
      </c>
      <c r="G48" s="18">
        <f>G47/Income_Statement!G5</f>
        <v>6.6934526198123151E-2</v>
      </c>
      <c r="H48" s="25">
        <f>H47/Income_Statement!H5</f>
        <v>6.9188929945880051E-2</v>
      </c>
      <c r="I48" s="25">
        <f>I47/Income_Statement!I5</f>
        <v>7.1938448913420439E-2</v>
      </c>
      <c r="J48" s="25">
        <f>J47/Income_Statement!J5</f>
        <v>7.5082728996211753E-2</v>
      </c>
      <c r="K48" s="25">
        <f>K47/Income_Statement!K5</f>
        <v>7.7407582451046203E-2</v>
      </c>
      <c r="L48" s="25">
        <f>L47/Income_Statement!L5</f>
        <v>8.0158419088073293E-2</v>
      </c>
    </row>
    <row r="49" spans="2:12" ht="18.75" x14ac:dyDescent="0.25">
      <c r="B49" s="9" t="s">
        <v>116</v>
      </c>
      <c r="C49" s="7">
        <f xml:space="preserve"> C45-C47</f>
        <v>8008.4159478561396</v>
      </c>
      <c r="D49" s="7">
        <f t="shared" ref="D49:L49" si="29" xml:space="preserve"> D45-D47</f>
        <v>9677.7672891120183</v>
      </c>
      <c r="E49" s="7">
        <f t="shared" si="29"/>
        <v>9961.8852015413995</v>
      </c>
      <c r="F49" s="7">
        <f t="shared" si="29"/>
        <v>11483.830119974566</v>
      </c>
      <c r="G49" s="7">
        <f t="shared" si="29"/>
        <v>16746.625988830339</v>
      </c>
      <c r="H49" s="27">
        <f t="shared" si="29"/>
        <v>19069.425093316597</v>
      </c>
      <c r="I49" s="27">
        <f t="shared" si="29"/>
        <v>20899.920443268653</v>
      </c>
      <c r="J49" s="27">
        <f t="shared" si="29"/>
        <v>23475.036861207762</v>
      </c>
      <c r="K49" s="27">
        <f t="shared" si="29"/>
        <v>26019.249776080491</v>
      </c>
      <c r="L49" s="27">
        <f t="shared" si="29"/>
        <v>28972.571015519381</v>
      </c>
    </row>
    <row r="50" spans="2:12" x14ac:dyDescent="0.25">
      <c r="B50" s="19" t="s">
        <v>260</v>
      </c>
      <c r="C50" s="21">
        <f>C49/Income_Statement!C5</f>
        <v>0.26779557464233827</v>
      </c>
      <c r="D50" s="21">
        <f>D49/Income_Statement!D5</f>
        <v>0.27784789569549395</v>
      </c>
      <c r="E50" s="21">
        <f>E49/Income_Statement!E5</f>
        <v>0.27070244592998449</v>
      </c>
      <c r="F50" s="21">
        <f>F49/Income_Statement!F5</f>
        <v>0.29220324659745267</v>
      </c>
      <c r="G50" s="21">
        <f>G49/Income_Statement!G5</f>
        <v>0.40240506466523346</v>
      </c>
      <c r="H50" s="29">
        <f>H49/Income_Statement!H5</f>
        <v>0.41595836125857066</v>
      </c>
      <c r="I50" s="29">
        <f>I49/Income_Statement!I5</f>
        <v>0.43248825129852431</v>
      </c>
      <c r="J50" s="29">
        <f>J49/Income_Statement!J5</f>
        <v>0.45139141386512099</v>
      </c>
      <c r="K50" s="29">
        <f>K49/Income_Statement!K5</f>
        <v>0.46536824851187281</v>
      </c>
      <c r="L50" s="29">
        <f>L49/Income_Statement!L5</f>
        <v>0.48190606027631039</v>
      </c>
    </row>
    <row r="51" spans="2:12" ht="18.75" x14ac:dyDescent="0.25">
      <c r="B51" s="8" t="s">
        <v>88</v>
      </c>
      <c r="C51" s="4">
        <v>3034.33</v>
      </c>
      <c r="D51" s="5">
        <v>4514.87</v>
      </c>
      <c r="E51" s="5">
        <v>3118.02</v>
      </c>
      <c r="F51" s="5">
        <v>6821.99</v>
      </c>
      <c r="G51" s="5">
        <v>0</v>
      </c>
      <c r="H51" s="24">
        <f>H5*H52</f>
        <v>0</v>
      </c>
      <c r="I51" s="24">
        <f t="shared" ref="I51:L51" si="30">I5*I52</f>
        <v>0</v>
      </c>
      <c r="J51" s="24">
        <f t="shared" si="30"/>
        <v>0</v>
      </c>
      <c r="K51" s="24">
        <f t="shared" si="30"/>
        <v>0</v>
      </c>
      <c r="L51" s="24">
        <f t="shared" si="30"/>
        <v>0</v>
      </c>
    </row>
    <row r="52" spans="2:12" x14ac:dyDescent="0.25">
      <c r="B52" s="17" t="s">
        <v>261</v>
      </c>
      <c r="C52" s="18">
        <f>C51/Income_Statement!C5</f>
        <v>0.10146577691459878</v>
      </c>
      <c r="D52" s="18">
        <f>D51/Income_Statement!D5</f>
        <v>0.12962154300300566</v>
      </c>
      <c r="E52" s="18">
        <f>E51/Income_Statement!E5</f>
        <v>8.472850503517243E-2</v>
      </c>
      <c r="F52" s="18">
        <f>F51/Income_Statement!F5</f>
        <v>0.17358386578604063</v>
      </c>
      <c r="G52" s="18">
        <f>G51/Income_Statement!G5</f>
        <v>0</v>
      </c>
      <c r="H52" s="25">
        <f>G52</f>
        <v>0</v>
      </c>
      <c r="I52" s="25">
        <f t="shared" ref="I52:L52" si="31">H52</f>
        <v>0</v>
      </c>
      <c r="J52" s="25">
        <f t="shared" si="31"/>
        <v>0</v>
      </c>
      <c r="K52" s="25">
        <f t="shared" si="31"/>
        <v>0</v>
      </c>
      <c r="L52" s="25">
        <f t="shared" si="31"/>
        <v>0</v>
      </c>
    </row>
    <row r="53" spans="2:12" ht="18.75" x14ac:dyDescent="0.25">
      <c r="B53" s="8" t="s">
        <v>89</v>
      </c>
      <c r="C53" s="4">
        <v>625.45000000000005</v>
      </c>
      <c r="D53" s="4">
        <v>940.5</v>
      </c>
      <c r="E53" s="4">
        <v>637.94000000000005</v>
      </c>
      <c r="F53" s="4">
        <v>0</v>
      </c>
      <c r="G53" s="4">
        <v>0</v>
      </c>
      <c r="H53" s="26">
        <f>H5*H54</f>
        <v>0</v>
      </c>
      <c r="I53" s="26">
        <f t="shared" ref="I53:L53" si="32">I5*I54</f>
        <v>0</v>
      </c>
      <c r="J53" s="26">
        <f t="shared" si="32"/>
        <v>0</v>
      </c>
      <c r="K53" s="26">
        <f t="shared" si="32"/>
        <v>0</v>
      </c>
      <c r="L53" s="26">
        <f t="shared" si="32"/>
        <v>0</v>
      </c>
    </row>
    <row r="54" spans="2:12" x14ac:dyDescent="0.25">
      <c r="B54" s="17" t="s">
        <v>262</v>
      </c>
      <c r="C54" s="18">
        <f>C53/Income_Statement!C5</f>
        <v>2.091459075685104E-2</v>
      </c>
      <c r="D54" s="18">
        <f>D53/Income_Statement!D5</f>
        <v>2.7001676946252454E-2</v>
      </c>
      <c r="E54" s="18">
        <f>E53/Income_Statement!E5</f>
        <v>1.7335264848249179E-2</v>
      </c>
      <c r="F54" s="18">
        <f>F53/Income_Statement!F5</f>
        <v>0</v>
      </c>
      <c r="G54" s="18">
        <f>G53/Income_Statement!G5</f>
        <v>0</v>
      </c>
      <c r="H54" s="25">
        <f>G54</f>
        <v>0</v>
      </c>
      <c r="I54" s="25">
        <f t="shared" ref="I54:L54" si="33">H54</f>
        <v>0</v>
      </c>
      <c r="J54" s="25">
        <f t="shared" si="33"/>
        <v>0</v>
      </c>
      <c r="K54" s="25">
        <f t="shared" si="33"/>
        <v>0</v>
      </c>
      <c r="L54" s="25">
        <f t="shared" si="33"/>
        <v>0</v>
      </c>
    </row>
    <row r="55" spans="2:12" ht="18.75" x14ac:dyDescent="0.25">
      <c r="B55" s="9" t="s">
        <v>117</v>
      </c>
      <c r="C55" s="7">
        <f xml:space="preserve"> C49-C51-C53</f>
        <v>4348.6359478561399</v>
      </c>
      <c r="D55" s="7">
        <f t="shared" ref="D55:L55" si="34" xml:space="preserve"> D49-D51-D53</f>
        <v>4222.3972891120184</v>
      </c>
      <c r="E55" s="7">
        <f t="shared" si="34"/>
        <v>6205.9252015413986</v>
      </c>
      <c r="F55" s="7">
        <f t="shared" si="34"/>
        <v>4661.8401199745658</v>
      </c>
      <c r="G55" s="7">
        <f t="shared" si="34"/>
        <v>16746.625988830339</v>
      </c>
      <c r="H55" s="27">
        <f t="shared" si="34"/>
        <v>19069.425093316597</v>
      </c>
      <c r="I55" s="27">
        <f t="shared" si="34"/>
        <v>20899.920443268653</v>
      </c>
      <c r="J55" s="27">
        <f t="shared" si="34"/>
        <v>23475.036861207762</v>
      </c>
      <c r="K55" s="27">
        <f t="shared" si="34"/>
        <v>26019.249776080491</v>
      </c>
      <c r="L55" s="27">
        <f t="shared" si="34"/>
        <v>28972.571015519381</v>
      </c>
    </row>
    <row r="56" spans="2:12" x14ac:dyDescent="0.25">
      <c r="B56" s="19" t="s">
        <v>263</v>
      </c>
      <c r="C56" s="21">
        <f>C55/Income_Statement!C5</f>
        <v>0.14541520697088844</v>
      </c>
      <c r="D56" s="21">
        <f>D55/Income_Statement!D5</f>
        <v>0.12122467574623587</v>
      </c>
      <c r="E56" s="21">
        <f>E55/Income_Statement!E5</f>
        <v>0.16863867604656285</v>
      </c>
      <c r="F56" s="21">
        <f>F55/Income_Statement!F5</f>
        <v>0.11861938081141202</v>
      </c>
      <c r="G56" s="21">
        <f>G55/Income_Statement!G5</f>
        <v>0.40240506466523346</v>
      </c>
      <c r="H56" s="29">
        <f>H55/Income_Statement!H5</f>
        <v>0.41595836125857066</v>
      </c>
      <c r="I56" s="29">
        <f>I55/Income_Statement!I5</f>
        <v>0.43248825129852431</v>
      </c>
      <c r="J56" s="29">
        <f>J55/Income_Statement!J5</f>
        <v>0.45139141386512099</v>
      </c>
      <c r="K56" s="29">
        <f>K55/Income_Statement!K5</f>
        <v>0.46536824851187281</v>
      </c>
      <c r="L56" s="29">
        <f>L55/Income_Statement!L5</f>
        <v>0.48190606027631039</v>
      </c>
    </row>
    <row r="57" spans="2:12" ht="18.75" x14ac:dyDescent="0.25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2:12" ht="18.75" x14ac:dyDescent="0.25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2:12" ht="18.75" x14ac:dyDescent="0.25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2:12" ht="18.75" x14ac:dyDescent="0.25">
      <c r="B60" s="8" t="s">
        <v>85</v>
      </c>
      <c r="C60" s="4">
        <v>16</v>
      </c>
      <c r="D60" s="4">
        <v>19</v>
      </c>
      <c r="E60" s="4">
        <v>21</v>
      </c>
      <c r="F60" s="4">
        <v>23</v>
      </c>
      <c r="G60" s="4">
        <v>24</v>
      </c>
      <c r="H60" s="4"/>
      <c r="I60" s="4"/>
      <c r="J60" s="4"/>
      <c r="K60" s="4"/>
      <c r="L60" s="4"/>
    </row>
    <row r="61" spans="2:12" ht="18.75" x14ac:dyDescent="0.25">
      <c r="B61" s="8" t="s">
        <v>118</v>
      </c>
      <c r="C61" s="4">
        <f>C49/C60</f>
        <v>500.52599674100873</v>
      </c>
      <c r="D61" s="4">
        <f t="shared" ref="D61:G61" si="35">D49/D60</f>
        <v>509.35617311115885</v>
      </c>
      <c r="E61" s="4">
        <f t="shared" si="35"/>
        <v>474.3754857876857</v>
      </c>
      <c r="F61" s="4">
        <f t="shared" si="35"/>
        <v>499.29696173802461</v>
      </c>
      <c r="G61" s="4">
        <f t="shared" si="35"/>
        <v>697.77608286793077</v>
      </c>
      <c r="H61" s="4"/>
      <c r="I61" s="4"/>
      <c r="J61" s="4"/>
      <c r="K61" s="4"/>
      <c r="L61" s="4"/>
    </row>
    <row r="62" spans="2:12" x14ac:dyDescent="0.25">
      <c r="B62" t="s">
        <v>266</v>
      </c>
      <c r="C62" s="23">
        <f>C31/Balance_Sheet!C40</f>
        <v>5.961962110917933E-2</v>
      </c>
      <c r="D62" s="23">
        <f>D31/Balance_Sheet!D40</f>
        <v>6.1622074194475074E-2</v>
      </c>
      <c r="E62" s="23">
        <f>E31/Balance_Sheet!E40</f>
        <v>6.4681246598980169E-2</v>
      </c>
      <c r="F62" s="23">
        <f>F31/Balance_Sheet!F40</f>
        <v>6.6109795110643077E-2</v>
      </c>
      <c r="G62" s="23">
        <f>G31/Balance_Sheet!G40</f>
        <v>6.2903210357371217E-2</v>
      </c>
      <c r="H62" s="23">
        <f>MEDIAN(C62:G62)</f>
        <v>6.2903210357371217E-2</v>
      </c>
      <c r="I62" s="23">
        <f t="shared" ref="I62:L62" si="36">H62</f>
        <v>6.2903210357371217E-2</v>
      </c>
      <c r="J62" s="23">
        <f t="shared" si="36"/>
        <v>6.2903210357371217E-2</v>
      </c>
      <c r="K62" s="23">
        <f t="shared" si="36"/>
        <v>6.2903210357371217E-2</v>
      </c>
      <c r="L62" s="23">
        <f t="shared" si="36"/>
        <v>6.2903210357371217E-2</v>
      </c>
    </row>
    <row r="63" spans="2:12" x14ac:dyDescent="0.25">
      <c r="B63" t="s">
        <v>267</v>
      </c>
      <c r="C63" s="23">
        <f>C35/Balance_Sheet!C21</f>
        <v>5.3389493769534557E-2</v>
      </c>
      <c r="D63" s="23">
        <f>D35/Balance_Sheet!D21</f>
        <v>5.998414396243984E-2</v>
      </c>
      <c r="E63" s="23">
        <f>E35/Balance_Sheet!E21</f>
        <v>6.354164376599275E-2</v>
      </c>
      <c r="F63" s="23">
        <f>F35/Balance_Sheet!F21</f>
        <v>5.696106494572107E-2</v>
      </c>
      <c r="G63" s="23">
        <f>G35/Balance_Sheet!G21</f>
        <v>5.5034215676035676E-2</v>
      </c>
      <c r="H63" s="23">
        <f>G63</f>
        <v>5.5034215676035676E-2</v>
      </c>
      <c r="I63" s="23">
        <f t="shared" ref="I63:L63" si="37">H63</f>
        <v>5.5034215676035676E-2</v>
      </c>
      <c r="J63" s="23">
        <f t="shared" si="37"/>
        <v>5.5034215676035676E-2</v>
      </c>
      <c r="K63" s="23">
        <f t="shared" si="37"/>
        <v>5.5034215676035676E-2</v>
      </c>
      <c r="L63" s="23">
        <f t="shared" si="37"/>
        <v>5.5034215676035676E-2</v>
      </c>
    </row>
    <row r="64" spans="2:12" x14ac:dyDescent="0.25">
      <c r="B64" t="s">
        <v>268</v>
      </c>
      <c r="C64" s="23">
        <f>C47/Income_Statement!C45</f>
        <v>0.39673703671105887</v>
      </c>
      <c r="D64" s="23">
        <f>D47/Income_Statement!D45</f>
        <v>-0.10081992139057323</v>
      </c>
      <c r="E64" s="23">
        <f>E47/Income_Statement!E45</f>
        <v>0.26167979399581237</v>
      </c>
      <c r="F64" s="23">
        <f>F47/Income_Statement!F45</f>
        <v>0.23175216965627921</v>
      </c>
      <c r="G64" s="23">
        <f>G47/Income_Statement!G45</f>
        <v>0.14261427653055259</v>
      </c>
      <c r="H64" s="23">
        <f>G64</f>
        <v>0.14261427653055259</v>
      </c>
      <c r="I64" s="23">
        <f t="shared" ref="I64:L64" si="38">H64</f>
        <v>0.14261427653055259</v>
      </c>
      <c r="J64" s="23">
        <f t="shared" si="38"/>
        <v>0.14261427653055259</v>
      </c>
      <c r="K64" s="23">
        <f t="shared" si="38"/>
        <v>0.14261427653055259</v>
      </c>
      <c r="L64" s="23">
        <f t="shared" si="38"/>
        <v>0.14261427653055259</v>
      </c>
    </row>
    <row r="65" spans="2:12" x14ac:dyDescent="0.25">
      <c r="B65" t="s">
        <v>269</v>
      </c>
      <c r="C65" s="23">
        <f>C53/Income_Statement!C51</f>
        <v>0.20612458104425033</v>
      </c>
      <c r="D65" s="23">
        <f>D53/Income_Statement!D51</f>
        <v>0.20831164573952296</v>
      </c>
      <c r="E65" s="23">
        <f>E53/Income_Statement!E51</f>
        <v>0.20459778962290173</v>
      </c>
      <c r="F65" s="23">
        <f>F53/Income_Statement!F51</f>
        <v>0</v>
      </c>
      <c r="G65" s="23" t="e">
        <f>G53/Income_Statement!G51</f>
        <v>#DIV/0!</v>
      </c>
      <c r="H65" s="23" t="e">
        <f>G65</f>
        <v>#DIV/0!</v>
      </c>
      <c r="I65" s="23" t="e">
        <f t="shared" ref="I65:L65" si="39">H65</f>
        <v>#DIV/0!</v>
      </c>
      <c r="J65" s="23" t="e">
        <f t="shared" si="39"/>
        <v>#DIV/0!</v>
      </c>
      <c r="K65" s="23" t="e">
        <f t="shared" si="39"/>
        <v>#DIV/0!</v>
      </c>
      <c r="L65" s="23" t="e">
        <f t="shared" si="39"/>
        <v>#DIV/0!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FB55475D-E7CA-4866-A8C5-0269142E6B92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A99CC-3A9B-4336-A11D-966DA46E6E38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</f>
        <v>Gross Sales</v>
      </c>
      <c r="C5" s="13">
        <f>Income_Statement!C5</f>
        <v>29904.959999999999</v>
      </c>
      <c r="D5" s="13">
        <f>Income_Statement!D5</f>
        <v>34831.17</v>
      </c>
      <c r="E5" s="13">
        <f>Income_Statement!E5</f>
        <v>36800.129999999997</v>
      </c>
      <c r="F5" s="13">
        <f>Income_Statement!F5</f>
        <v>39300.83</v>
      </c>
      <c r="G5" s="13">
        <f>Income_Statement!G5</f>
        <v>41616.339999999997</v>
      </c>
    </row>
    <row r="6" spans="2:15" ht="18.75" x14ac:dyDescent="0.25">
      <c r="B6" s="12" t="str">
        <f>Income_Statement!B15</f>
        <v>Total Income</v>
      </c>
      <c r="C6" s="13">
        <f>Income_Statement!C15</f>
        <v>30382.895947856137</v>
      </c>
      <c r="D6" s="13">
        <f>Income_Statement!D15</f>
        <v>35434.387289112019</v>
      </c>
      <c r="E6" s="13">
        <f>Income_Statement!E15</f>
        <v>37728.575201541404</v>
      </c>
      <c r="F6" s="13">
        <f>Income_Statement!F15</f>
        <v>40485.600119974566</v>
      </c>
      <c r="G6" s="13">
        <f>Income_Statement!G15</f>
        <v>42698.925988830342</v>
      </c>
    </row>
  </sheetData>
  <hyperlinks>
    <hyperlink ref="F1" location="Index_Data!A1" tooltip="Hi click here To return Index page" display="Index_Data!A1" xr:uid="{003A8EEC-17BF-4BC5-B2F0-9D9A7BB03CFC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D3119-C67E-41A3-A966-5B8E5F573078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225316.05000000005</v>
      </c>
      <c r="D5" s="13">
        <f>Balance_Sheet!D37</f>
        <v>246917.58728911204</v>
      </c>
      <c r="E5" s="13">
        <f>Balance_Sheet!E37</f>
        <v>256812.18249065342</v>
      </c>
      <c r="F5" s="13">
        <f>Balance_Sheet!F37</f>
        <v>255329.20261062798</v>
      </c>
      <c r="G5" s="13">
        <f>Balance_Sheet!G37</f>
        <v>262702.93859945831</v>
      </c>
    </row>
    <row r="6" spans="2:15" ht="18.75" x14ac:dyDescent="0.25">
      <c r="B6" s="12" t="str">
        <f>Balance_Sheet!B21</f>
        <v>Total Debt</v>
      </c>
      <c r="C6" s="13">
        <f>Balance_Sheet!C21</f>
        <v>137183.17000000001</v>
      </c>
      <c r="D6" s="13">
        <f>Balance_Sheet!D21</f>
        <v>145647.99000000002</v>
      </c>
      <c r="E6" s="13">
        <f>Balance_Sheet!E21</f>
        <v>149649.88999999998</v>
      </c>
      <c r="F6" s="13">
        <f>Balance_Sheet!F21</f>
        <v>142811.41</v>
      </c>
      <c r="G6" s="13">
        <f>Balance_Sheet!G21</f>
        <v>146022.25</v>
      </c>
    </row>
  </sheetData>
  <hyperlinks>
    <hyperlink ref="F1" location="Index_Data!A1" tooltip="Hi click here To return Index page" display="Index_Data!A1" xr:uid="{E00C2EC4-7BCE-4442-9626-557009CC321D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2FE0C-DBB4-4962-B14B-18420D8B1867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225316.05000000005</v>
      </c>
      <c r="D5" s="13">
        <f>Balance_Sheet!D37</f>
        <v>246917.58728911204</v>
      </c>
      <c r="E5" s="13">
        <f>Balance_Sheet!E37</f>
        <v>256812.18249065342</v>
      </c>
      <c r="F5" s="13">
        <f>Balance_Sheet!F37</f>
        <v>255329.20261062798</v>
      </c>
      <c r="G5" s="13">
        <f>Balance_Sheet!G37</f>
        <v>262702.93859945831</v>
      </c>
    </row>
    <row r="6" spans="2:15" ht="18.75" x14ac:dyDescent="0.25">
      <c r="B6" s="12" t="str">
        <f>Balance_Sheet!B33</f>
        <v>Total Current Liabilities</v>
      </c>
      <c r="C6" s="13">
        <f>Balance_Sheet!C33</f>
        <v>33706.89</v>
      </c>
      <c r="D6" s="13">
        <f>Balance_Sheet!D33</f>
        <v>42621.210000000006</v>
      </c>
      <c r="E6" s="13">
        <f>Balance_Sheet!E33</f>
        <v>42307.979999999996</v>
      </c>
      <c r="F6" s="13">
        <f>Balance_Sheet!F33</f>
        <v>43001.64</v>
      </c>
      <c r="G6" s="13">
        <f>Balance_Sheet!G33</f>
        <v>28674.050000000003</v>
      </c>
    </row>
  </sheetData>
  <hyperlinks>
    <hyperlink ref="F1" location="Index_Data!A1" tooltip="Hi click here To return Index page" display="Index_Data!A1" xr:uid="{7319C61E-F349-45E7-87D7-5F61B0386D27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6878F-15A4-4FD2-A0B2-0589E55B7EBD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225316.05</v>
      </c>
      <c r="D5" s="13">
        <f>Balance_Sheet!D74</f>
        <v>246917.58728911204</v>
      </c>
      <c r="E5" s="13">
        <f>Balance_Sheet!E74</f>
        <v>256812.18249065339</v>
      </c>
      <c r="F5" s="13">
        <f>Balance_Sheet!F74</f>
        <v>255329.20261062798</v>
      </c>
      <c r="G5" s="13">
        <f>Balance_Sheet!G74</f>
        <v>262702.93859945831</v>
      </c>
    </row>
    <row r="6" spans="2:15" ht="18.75" x14ac:dyDescent="0.25">
      <c r="B6" s="12" t="str">
        <f>Balance_Sheet!B54</f>
        <v>Total Non Current Assets</v>
      </c>
      <c r="C6" s="13">
        <f>Balance_Sheet!C54</f>
        <v>195090.81</v>
      </c>
      <c r="D6" s="13">
        <f>Balance_Sheet!D54</f>
        <v>200883.56</v>
      </c>
      <c r="E6" s="13">
        <f>Balance_Sheet!E54</f>
        <v>195299.63</v>
      </c>
      <c r="F6" s="13">
        <f>Balance_Sheet!F54</f>
        <v>175704.13999999998</v>
      </c>
      <c r="G6" s="13">
        <f>Balance_Sheet!G54</f>
        <v>161355.24000000002</v>
      </c>
    </row>
  </sheetData>
  <hyperlinks>
    <hyperlink ref="F1" location="Index_Data!A1" tooltip="Hi click here To return Index page" display="Index_Data!A1" xr:uid="{AEC78550-34B1-4825-B050-F1DAA2C40168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F0660-DE14-4C06-92FC-A43106BF52EF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225316.05</v>
      </c>
      <c r="D5" s="13">
        <f>Balance_Sheet!D74</f>
        <v>246917.58728911204</v>
      </c>
      <c r="E5" s="13">
        <f>Balance_Sheet!E74</f>
        <v>256812.18249065339</v>
      </c>
      <c r="F5" s="13">
        <f>Balance_Sheet!F74</f>
        <v>255329.20261062798</v>
      </c>
      <c r="G5" s="13">
        <f>Balance_Sheet!G74</f>
        <v>262702.93859945831</v>
      </c>
    </row>
    <row r="6" spans="2:15" ht="18.75" x14ac:dyDescent="0.25">
      <c r="B6" s="12" t="str">
        <f>Balance_Sheet!B72</f>
        <v>Total Current Assets</v>
      </c>
      <c r="C6" s="13">
        <f>Balance_Sheet!C72</f>
        <v>30225.239999999998</v>
      </c>
      <c r="D6" s="13">
        <f>Balance_Sheet!D72</f>
        <v>46034.027289112026</v>
      </c>
      <c r="E6" s="13">
        <f>Balance_Sheet!E72</f>
        <v>61512.55249065339</v>
      </c>
      <c r="F6" s="13">
        <f>Balance_Sheet!F72</f>
        <v>79625.062610627996</v>
      </c>
      <c r="G6" s="13">
        <f>Balance_Sheet!G72</f>
        <v>101347.69859945832</v>
      </c>
    </row>
  </sheetData>
  <hyperlinks>
    <hyperlink ref="F1" location="Index_Data!A1" tooltip="Hi click here To return Index page" display="Index_Data!A1" xr:uid="{84C929ED-A7D8-4EA4-9C6C-7D9DB97DABD5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56008-3CBE-4731-AEF0-9F9F95034632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Income_Statement!B25</f>
        <v>Total Expenditure</v>
      </c>
      <c r="C5" s="13">
        <f>Income_Statement!C25</f>
        <v>3836.79</v>
      </c>
      <c r="D5" s="13">
        <f>Income_Statement!D25</f>
        <v>4838.58</v>
      </c>
      <c r="E5" s="13">
        <f>Income_Statement!E25</f>
        <v>4803.3</v>
      </c>
      <c r="F5" s="13">
        <f>Income_Statement!F25</f>
        <v>4646.68</v>
      </c>
      <c r="G5" s="13">
        <f>Income_Statement!G25</f>
        <v>5049.4400000000005</v>
      </c>
    </row>
    <row r="6" spans="2:15" ht="18.75" x14ac:dyDescent="0.25">
      <c r="B6" s="12" t="str">
        <f>Income_Statement!B15</f>
        <v>Total Income</v>
      </c>
      <c r="C6" s="13">
        <f>Income_Statement!C15</f>
        <v>30382.895947856137</v>
      </c>
      <c r="D6" s="13">
        <f>Income_Statement!D15</f>
        <v>35434.387289112019</v>
      </c>
      <c r="E6" s="13">
        <f>Income_Statement!E15</f>
        <v>37728.575201541404</v>
      </c>
      <c r="F6" s="13">
        <f>Income_Statement!F15</f>
        <v>40485.600119974566</v>
      </c>
      <c r="G6" s="13">
        <f>Income_Statement!G15</f>
        <v>42698.925988830342</v>
      </c>
    </row>
  </sheetData>
  <hyperlinks>
    <hyperlink ref="F1" location="Index_Data!A1" tooltip="Hi click here To return Index page" display="Index_Data!A1" xr:uid="{461034E5-6989-4625-BE68-4BA9F0F92B93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8F456-E841-4786-B460-6A7A8E94E9FF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2.5703125" bestFit="1" customWidth="1"/>
    <col min="3" max="5" width="11.5703125" bestFit="1" customWidth="1"/>
    <col min="6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Income_Statement!B55</f>
        <v>Amount C\F to Balance Sheet</v>
      </c>
      <c r="C5" s="13">
        <f>Income_Statement!C55</f>
        <v>4348.6359478561399</v>
      </c>
      <c r="D5" s="13">
        <f>Income_Statement!D55</f>
        <v>4222.3972891120184</v>
      </c>
      <c r="E5" s="13">
        <f>Income_Statement!E55</f>
        <v>6205.9252015413986</v>
      </c>
      <c r="F5" s="13">
        <f>Income_Statement!F55</f>
        <v>4661.8401199745658</v>
      </c>
      <c r="G5" s="13">
        <f>Income_Statement!G55</f>
        <v>16746.625988830339</v>
      </c>
    </row>
    <row r="6" spans="2:15" ht="18.75" x14ac:dyDescent="0.25">
      <c r="B6" s="12" t="str">
        <f>Income_Statement!B49</f>
        <v>Reported Net Profit(PAT)</v>
      </c>
      <c r="C6" s="13">
        <f>Income_Statement!C49</f>
        <v>8008.4159478561396</v>
      </c>
      <c r="D6" s="13">
        <f>Income_Statement!D49</f>
        <v>9677.7672891120183</v>
      </c>
      <c r="E6" s="13">
        <f>Income_Statement!E49</f>
        <v>9961.8852015413995</v>
      </c>
      <c r="F6" s="13">
        <f>Income_Statement!F49</f>
        <v>11483.830119974566</v>
      </c>
      <c r="G6" s="13">
        <f>Income_Statement!G49</f>
        <v>16746.625988830339</v>
      </c>
    </row>
  </sheetData>
  <hyperlinks>
    <hyperlink ref="F1" location="Index_Data!A1" tooltip="Hi click here To return Index page" display="Index_Data!A1" xr:uid="{BE47252A-7BBD-4B19-A3A5-61F44BF56ECB}"/>
  </hyperlink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04B25-FFBF-4FCC-B12D-658C9FC0125A}">
  <dimension ref="B1:O40"/>
  <sheetViews>
    <sheetView showGridLines="0" workbookViewId="0"/>
  </sheetViews>
  <sheetFormatPr defaultRowHeight="15" x14ac:dyDescent="0.25"/>
  <cols>
    <col min="2" max="2" width="46" bestFit="1" customWidth="1"/>
    <col min="3" max="7" width="17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128</v>
      </c>
      <c r="C3" s="31"/>
      <c r="D3" s="31"/>
      <c r="E3" s="31"/>
      <c r="F3" s="31"/>
      <c r="G3" s="31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5</v>
      </c>
      <c r="C5" s="5">
        <v>5231.59</v>
      </c>
      <c r="D5" s="5">
        <v>5231.59</v>
      </c>
      <c r="E5" s="5">
        <v>5231.59</v>
      </c>
      <c r="F5" s="5">
        <v>5231.59</v>
      </c>
      <c r="G5" s="5">
        <v>6975.45</v>
      </c>
    </row>
    <row r="6" spans="2:15" ht="18.75" x14ac:dyDescent="0.25">
      <c r="B6" s="8" t="s">
        <v>121</v>
      </c>
      <c r="C6" s="4"/>
      <c r="D6" s="4"/>
      <c r="E6" s="4"/>
      <c r="F6" s="4"/>
      <c r="G6" s="4"/>
    </row>
    <row r="7" spans="2:15" ht="18.75" x14ac:dyDescent="0.25">
      <c r="B7" s="9" t="s">
        <v>6</v>
      </c>
      <c r="C7" s="7">
        <f>C5+C6</f>
        <v>5231.59</v>
      </c>
      <c r="D7" s="7">
        <f t="shared" ref="D7:G7" si="0">D5+D6</f>
        <v>5231.59</v>
      </c>
      <c r="E7" s="7">
        <f t="shared" si="0"/>
        <v>5231.59</v>
      </c>
      <c r="F7" s="7">
        <f t="shared" si="0"/>
        <v>5231.59</v>
      </c>
      <c r="G7" s="7">
        <f t="shared" si="0"/>
        <v>6975.45</v>
      </c>
    </row>
    <row r="8" spans="2:15" ht="18.75" x14ac:dyDescent="0.25">
      <c r="B8" s="8" t="s">
        <v>7</v>
      </c>
      <c r="C8" s="5">
        <v>49194.400000000001</v>
      </c>
      <c r="D8" s="5">
        <f>Income_Statement!D55+C8</f>
        <v>53416.797289112023</v>
      </c>
      <c r="E8" s="5">
        <f>Income_Statement!E55+D8</f>
        <v>59622.722490653425</v>
      </c>
      <c r="F8" s="5">
        <f>Income_Statement!F55+E8</f>
        <v>64284.562610627989</v>
      </c>
      <c r="G8" s="5">
        <f>Income_Statement!G55+F8</f>
        <v>81031.188599458328</v>
      </c>
    </row>
    <row r="9" spans="2:15" ht="18.75" x14ac:dyDescent="0.25">
      <c r="B9" s="9" t="s">
        <v>122</v>
      </c>
      <c r="C9" s="7">
        <f>C7+C8</f>
        <v>54425.990000000005</v>
      </c>
      <c r="D9" s="7">
        <f t="shared" ref="D9:G9" si="1">D7+D8</f>
        <v>58648.387289112026</v>
      </c>
      <c r="E9" s="7">
        <f t="shared" si="1"/>
        <v>64854.312490653421</v>
      </c>
      <c r="F9" s="7">
        <f t="shared" si="1"/>
        <v>69516.152610627993</v>
      </c>
      <c r="G9" s="7">
        <f t="shared" si="1"/>
        <v>88006.638599458325</v>
      </c>
    </row>
    <row r="10" spans="2:15" ht="18.75" x14ac:dyDescent="0.25">
      <c r="B10" s="8" t="s">
        <v>12</v>
      </c>
      <c r="C10" s="5">
        <v>122710.32</v>
      </c>
      <c r="D10" s="5">
        <v>131329.51</v>
      </c>
      <c r="E10" s="5">
        <v>135421.10999999999</v>
      </c>
      <c r="F10" s="5">
        <v>129174.79</v>
      </c>
      <c r="G10" s="5">
        <v>114199.4</v>
      </c>
    </row>
    <row r="11" spans="2:15" ht="18.75" x14ac:dyDescent="0.25">
      <c r="B11" s="8" t="s">
        <v>13</v>
      </c>
      <c r="C11" s="5">
        <v>13472.85</v>
      </c>
      <c r="D11" s="5">
        <v>10018.48</v>
      </c>
      <c r="E11" s="5">
        <v>11228.78</v>
      </c>
      <c r="F11" s="5">
        <v>11836.62</v>
      </c>
      <c r="G11" s="5">
        <v>11356.98</v>
      </c>
    </row>
    <row r="12" spans="2:15" ht="18.75" x14ac:dyDescent="0.25">
      <c r="B12" s="8" t="s">
        <v>18</v>
      </c>
      <c r="C12" s="5">
        <v>1000</v>
      </c>
      <c r="D12" s="5">
        <v>4300</v>
      </c>
      <c r="E12" s="5">
        <v>3000</v>
      </c>
      <c r="F12" s="5">
        <v>1800</v>
      </c>
      <c r="G12" s="5">
        <v>20465.87</v>
      </c>
    </row>
    <row r="13" spans="2:15" ht="18.75" x14ac:dyDescent="0.25">
      <c r="B13" s="9" t="s">
        <v>123</v>
      </c>
      <c r="C13" s="7">
        <f>C10+C11+C12</f>
        <v>137183.17000000001</v>
      </c>
      <c r="D13" s="7">
        <f t="shared" ref="D13:G13" si="2">D10+D11+D12</f>
        <v>145647.99000000002</v>
      </c>
      <c r="E13" s="7">
        <f t="shared" si="2"/>
        <v>149649.88999999998</v>
      </c>
      <c r="F13" s="7">
        <f t="shared" si="2"/>
        <v>142811.41</v>
      </c>
      <c r="G13" s="7">
        <f t="shared" si="2"/>
        <v>146022.25</v>
      </c>
    </row>
    <row r="14" spans="2:15" ht="18.75" x14ac:dyDescent="0.25">
      <c r="B14" s="8" t="s">
        <v>15</v>
      </c>
      <c r="C14" s="4">
        <v>716.87</v>
      </c>
      <c r="D14" s="4">
        <v>368.15</v>
      </c>
      <c r="E14" s="4">
        <v>424.71</v>
      </c>
      <c r="F14" s="4">
        <v>462.02</v>
      </c>
      <c r="G14" s="4">
        <v>517.14</v>
      </c>
    </row>
    <row r="15" spans="2:15" ht="18.75" x14ac:dyDescent="0.25">
      <c r="B15" s="8" t="s">
        <v>21</v>
      </c>
      <c r="C15" s="5">
        <v>1059.5999999999999</v>
      </c>
      <c r="D15" s="4">
        <v>701.14</v>
      </c>
      <c r="E15" s="4">
        <v>742.04</v>
      </c>
      <c r="F15" s="4">
        <v>845.12</v>
      </c>
      <c r="G15" s="5">
        <v>1167.1199999999999</v>
      </c>
    </row>
    <row r="16" spans="2:15" ht="18.75" x14ac:dyDescent="0.25">
      <c r="B16" s="8" t="s">
        <v>14</v>
      </c>
      <c r="C16" s="5">
        <v>916.76</v>
      </c>
      <c r="D16" s="5">
        <v>4481.1000000000004</v>
      </c>
      <c r="E16" s="5">
        <v>3885.67</v>
      </c>
      <c r="F16" s="5">
        <v>3972.24</v>
      </c>
      <c r="G16" s="4">
        <v>13308.01</v>
      </c>
    </row>
    <row r="17" spans="2:7" ht="18.75" x14ac:dyDescent="0.25">
      <c r="B17" s="8" t="s">
        <v>19</v>
      </c>
      <c r="C17" s="4">
        <v>240.44</v>
      </c>
      <c r="D17" s="4">
        <v>365.13</v>
      </c>
      <c r="E17" s="4">
        <v>226.54</v>
      </c>
      <c r="F17" s="4">
        <v>187.48</v>
      </c>
      <c r="G17" s="4">
        <v>267.10000000000002</v>
      </c>
    </row>
    <row r="18" spans="2:7" ht="18.75" x14ac:dyDescent="0.25">
      <c r="B18" s="8" t="s">
        <v>20</v>
      </c>
      <c r="C18" s="5">
        <v>30773.22</v>
      </c>
      <c r="D18" s="5">
        <v>36705.69</v>
      </c>
      <c r="E18" s="5">
        <v>37029.019999999997</v>
      </c>
      <c r="F18" s="5">
        <v>37534.78</v>
      </c>
      <c r="G18" s="5">
        <v>13414.68</v>
      </c>
    </row>
    <row r="19" spans="2:7" ht="18.75" x14ac:dyDescent="0.25">
      <c r="B19" s="9" t="s">
        <v>22</v>
      </c>
      <c r="C19" s="7">
        <f>C14+C15+C16+C17+C18</f>
        <v>33706.89</v>
      </c>
      <c r="D19" s="7">
        <f t="shared" ref="D19:G19" si="3">D14+D15+D16+D17+D18</f>
        <v>42621.210000000006</v>
      </c>
      <c r="E19" s="7">
        <f t="shared" si="3"/>
        <v>42307.979999999996</v>
      </c>
      <c r="F19" s="7">
        <f t="shared" si="3"/>
        <v>43001.64</v>
      </c>
      <c r="G19" s="7">
        <f t="shared" si="3"/>
        <v>28674.050000000003</v>
      </c>
    </row>
    <row r="20" spans="2:7" ht="18.75" x14ac:dyDescent="0.25">
      <c r="B20" s="8" t="s">
        <v>10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</row>
    <row r="21" spans="2:7" ht="18.75" x14ac:dyDescent="0.25">
      <c r="B21" s="9" t="s">
        <v>124</v>
      </c>
      <c r="C21" s="7">
        <f>C9+C13+C19+C20</f>
        <v>225316.05000000005</v>
      </c>
      <c r="D21" s="7">
        <f t="shared" ref="D21:G21" si="4">D9+D13+D19+D20</f>
        <v>246917.58728911204</v>
      </c>
      <c r="E21" s="7">
        <f t="shared" si="4"/>
        <v>256812.18249065342</v>
      </c>
      <c r="F21" s="7">
        <f t="shared" si="4"/>
        <v>255329.20261062798</v>
      </c>
      <c r="G21" s="7">
        <f t="shared" si="4"/>
        <v>262702.93859945831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154831.41</v>
      </c>
      <c r="D23" s="5">
        <v>171058.02</v>
      </c>
      <c r="E23" s="5">
        <v>179449.85</v>
      </c>
      <c r="F23" s="5">
        <v>182109.02</v>
      </c>
      <c r="G23" s="5">
        <v>204626.44</v>
      </c>
    </row>
    <row r="24" spans="2:7" ht="18.75" x14ac:dyDescent="0.25">
      <c r="B24" s="8" t="s">
        <v>27</v>
      </c>
      <c r="C24" s="4">
        <v>1366.86</v>
      </c>
      <c r="D24" s="5">
        <v>1681.6</v>
      </c>
      <c r="E24" s="5">
        <v>1662.28</v>
      </c>
      <c r="F24" s="5">
        <v>1616.95</v>
      </c>
      <c r="G24" s="5">
        <v>0</v>
      </c>
    </row>
    <row r="25" spans="2:7" ht="18.75" x14ac:dyDescent="0.25">
      <c r="B25" s="8" t="s">
        <v>125</v>
      </c>
      <c r="C25" s="4"/>
      <c r="D25" s="5">
        <f>Income_Statement!D31</f>
        <v>10540.95</v>
      </c>
      <c r="E25" s="5">
        <f>Income_Statement!E31+D25</f>
        <v>22147.99</v>
      </c>
      <c r="F25" s="5">
        <f>Income_Statement!F31+E25</f>
        <v>34187.18</v>
      </c>
      <c r="G25" s="5">
        <f>Income_Statement!G31+F25</f>
        <v>47058.84</v>
      </c>
    </row>
    <row r="26" spans="2:7" ht="18.75" x14ac:dyDescent="0.25">
      <c r="B26" s="9" t="s">
        <v>126</v>
      </c>
      <c r="C26" s="7">
        <f>C23+C24-C25</f>
        <v>156198.26999999999</v>
      </c>
      <c r="D26" s="7">
        <f t="shared" ref="D26:G26" si="5">D23+D24-D25</f>
        <v>162198.66999999998</v>
      </c>
      <c r="E26" s="7">
        <f t="shared" si="5"/>
        <v>158964.14000000001</v>
      </c>
      <c r="F26" s="7">
        <f t="shared" si="5"/>
        <v>149538.79</v>
      </c>
      <c r="G26" s="7">
        <f t="shared" si="5"/>
        <v>157567.6</v>
      </c>
    </row>
    <row r="27" spans="2:7" ht="18.75" x14ac:dyDescent="0.25">
      <c r="B27" s="8" t="s">
        <v>30</v>
      </c>
      <c r="C27" s="5">
        <v>1223.97</v>
      </c>
      <c r="D27" s="5">
        <v>1296.42</v>
      </c>
      <c r="E27" s="5">
        <v>1431.08</v>
      </c>
      <c r="F27" s="5">
        <v>1485.55</v>
      </c>
      <c r="G27" s="5">
        <v>3787.64</v>
      </c>
    </row>
    <row r="28" spans="2:7" ht="18.75" x14ac:dyDescent="0.25">
      <c r="B28" s="8" t="s">
        <v>36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</row>
    <row r="29" spans="2:7" ht="18.75" x14ac:dyDescent="0.25">
      <c r="B29" s="8" t="s">
        <v>28</v>
      </c>
      <c r="C29" s="4">
        <v>37668.57</v>
      </c>
      <c r="D29" s="5">
        <v>37388.47</v>
      </c>
      <c r="E29" s="5">
        <v>34904.410000000003</v>
      </c>
      <c r="F29" s="5">
        <v>24679.8</v>
      </c>
      <c r="G29" s="5">
        <v>0</v>
      </c>
    </row>
    <row r="30" spans="2:7" ht="18.75" x14ac:dyDescent="0.25">
      <c r="B30" s="9" t="s">
        <v>127</v>
      </c>
      <c r="C30" s="7">
        <f>C26+C27+C28+C29</f>
        <v>195090.81</v>
      </c>
      <c r="D30" s="7">
        <f t="shared" ref="D30:G30" si="6">D26+D27+D28+D29</f>
        <v>200883.56</v>
      </c>
      <c r="E30" s="7">
        <f t="shared" si="6"/>
        <v>195299.63</v>
      </c>
      <c r="F30" s="7">
        <f t="shared" si="6"/>
        <v>175704.13999999998</v>
      </c>
      <c r="G30" s="7">
        <f t="shared" si="6"/>
        <v>161355.24000000002</v>
      </c>
    </row>
    <row r="31" spans="2:7" ht="18.75" x14ac:dyDescent="0.25">
      <c r="B31" s="8" t="s">
        <v>31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</row>
    <row r="32" spans="2:7" ht="18.75" x14ac:dyDescent="0.25">
      <c r="B32" s="8" t="s">
        <v>32</v>
      </c>
      <c r="C32" s="4">
        <v>139.99</v>
      </c>
      <c r="D32" s="4">
        <v>188.13</v>
      </c>
      <c r="E32" s="4">
        <v>271.58</v>
      </c>
      <c r="F32" s="4">
        <v>322.58</v>
      </c>
      <c r="G32" s="4">
        <v>406.45</v>
      </c>
    </row>
    <row r="33" spans="2:7" ht="18.75" x14ac:dyDescent="0.25">
      <c r="B33" s="8" t="s">
        <v>33</v>
      </c>
      <c r="C33" s="5">
        <v>6614.03</v>
      </c>
      <c r="D33" s="5">
        <v>9757.2000000000007</v>
      </c>
      <c r="E33" s="5">
        <v>10426.030000000001</v>
      </c>
      <c r="F33" s="5">
        <v>9359.16</v>
      </c>
      <c r="G33" s="5">
        <v>9568.82</v>
      </c>
    </row>
    <row r="34" spans="2:7" ht="18.75" x14ac:dyDescent="0.25">
      <c r="B34" s="8" t="s">
        <v>40</v>
      </c>
      <c r="C34" s="4">
        <v>46.88</v>
      </c>
      <c r="D34" s="4">
        <v>130.99</v>
      </c>
      <c r="E34" s="4">
        <v>152.37</v>
      </c>
      <c r="F34" s="4">
        <v>127.05</v>
      </c>
      <c r="G34" s="4">
        <v>98.59</v>
      </c>
    </row>
    <row r="35" spans="2:7" ht="18.75" x14ac:dyDescent="0.25">
      <c r="B35" s="8" t="s">
        <v>41</v>
      </c>
      <c r="C35" s="5">
        <v>16545.95</v>
      </c>
      <c r="D35" s="5">
        <v>15302.17</v>
      </c>
      <c r="E35" s="5">
        <v>16169.48</v>
      </c>
      <c r="F35" s="5">
        <v>25489.84</v>
      </c>
      <c r="G35" s="5">
        <v>16575.07</v>
      </c>
    </row>
    <row r="36" spans="2:7" ht="18.75" x14ac:dyDescent="0.25">
      <c r="B36" s="8" t="s">
        <v>37</v>
      </c>
      <c r="C36" s="5">
        <v>1049.3499999999999</v>
      </c>
      <c r="D36" s="5">
        <v>1247.25</v>
      </c>
      <c r="E36" s="5">
        <v>1433.46</v>
      </c>
      <c r="F36" s="5">
        <v>1366.94</v>
      </c>
      <c r="G36" s="5">
        <v>1357.17</v>
      </c>
    </row>
    <row r="37" spans="2:7" ht="18.75" x14ac:dyDescent="0.25">
      <c r="B37" s="8" t="s">
        <v>38</v>
      </c>
      <c r="C37" s="5">
        <v>3640.02</v>
      </c>
      <c r="D37" s="5">
        <v>4728.1000000000004</v>
      </c>
      <c r="E37" s="5">
        <v>5040.71</v>
      </c>
      <c r="F37" s="5">
        <v>3675.53</v>
      </c>
      <c r="G37" s="5">
        <v>9475.07</v>
      </c>
    </row>
    <row r="38" spans="2:7" ht="18.75" x14ac:dyDescent="0.25">
      <c r="B38" s="8" t="s">
        <v>39</v>
      </c>
      <c r="C38" s="5">
        <v>2189.02</v>
      </c>
      <c r="D38" s="5">
        <f>CashFlow_Statement!D48+C38</f>
        <v>14680.187289112033</v>
      </c>
      <c r="E38" s="5">
        <f>CashFlow_Statement!E48+D38</f>
        <v>28018.922490653393</v>
      </c>
      <c r="F38" s="5">
        <f>CashFlow_Statement!F48+E38</f>
        <v>39283.96261062799</v>
      </c>
      <c r="G38" s="5">
        <f>CashFlow_Statement!G48+F38</f>
        <v>63866.528599458325</v>
      </c>
    </row>
    <row r="39" spans="2:7" ht="18.75" x14ac:dyDescent="0.25">
      <c r="B39" s="9" t="s">
        <v>42</v>
      </c>
      <c r="C39" s="7">
        <f>C31+C32+C33+C34+C35+C36+C37+C38</f>
        <v>30225.239999999998</v>
      </c>
      <c r="D39" s="7">
        <f t="shared" ref="D39:G39" si="7">D31+D32+D33+D34+D35+D36+D37+D38</f>
        <v>46034.027289112026</v>
      </c>
      <c r="E39" s="7">
        <f t="shared" si="7"/>
        <v>61512.55249065339</v>
      </c>
      <c r="F39" s="7">
        <f t="shared" si="7"/>
        <v>79625.062610627996</v>
      </c>
      <c r="G39" s="7">
        <f t="shared" si="7"/>
        <v>101347.69859945832</v>
      </c>
    </row>
    <row r="40" spans="2:7" ht="18.75" x14ac:dyDescent="0.25">
      <c r="B40" s="9" t="s">
        <v>43</v>
      </c>
      <c r="C40" s="7">
        <f>C30+C39</f>
        <v>225316.05</v>
      </c>
      <c r="D40" s="7">
        <f t="shared" ref="D40:G40" si="8">D30+D39</f>
        <v>246917.58728911204</v>
      </c>
      <c r="E40" s="7">
        <f t="shared" si="8"/>
        <v>256812.18249065339</v>
      </c>
      <c r="F40" s="7">
        <f t="shared" si="8"/>
        <v>255329.20261062798</v>
      </c>
      <c r="G40" s="7">
        <f t="shared" si="8"/>
        <v>262702.93859945831</v>
      </c>
    </row>
  </sheetData>
  <mergeCells count="1">
    <mergeCell ref="B3:G3"/>
  </mergeCells>
  <hyperlinks>
    <hyperlink ref="F1" location="Index_Data!A1" tooltip="Hi click here To return Index page" display="Index_Data!A1" xr:uid="{566B88C8-6423-458D-8BCD-16E5A27AA30F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76771-95CF-4409-BA0B-F34B7423293C}">
  <dimension ref="B1:O35"/>
  <sheetViews>
    <sheetView showGridLines="0" workbookViewId="0"/>
  </sheetViews>
  <sheetFormatPr defaultRowHeight="15" x14ac:dyDescent="0.25"/>
  <cols>
    <col min="2" max="2" width="57.140625" bestFit="1" customWidth="1"/>
    <col min="3" max="3" width="15.42578125" bestFit="1" customWidth="1"/>
    <col min="4" max="7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120</v>
      </c>
      <c r="C3" s="31"/>
      <c r="D3" s="31"/>
      <c r="E3" s="31"/>
      <c r="F3" s="31"/>
      <c r="G3" s="31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97</v>
      </c>
      <c r="C5" s="5">
        <v>29904.959999999999</v>
      </c>
      <c r="D5" s="5">
        <v>34831.17</v>
      </c>
      <c r="E5" s="5">
        <v>36800.129999999997</v>
      </c>
      <c r="F5" s="5">
        <v>39300.83</v>
      </c>
      <c r="G5" s="5">
        <v>41616.339999999997</v>
      </c>
    </row>
    <row r="6" spans="2:15" ht="18.75" x14ac:dyDescent="0.25">
      <c r="B6" s="8" t="s">
        <v>98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2:15" ht="18.75" x14ac:dyDescent="0.25">
      <c r="B7" s="9" t="s">
        <v>105</v>
      </c>
      <c r="C7" s="7">
        <f>C5 - C6</f>
        <v>29904.959999999999</v>
      </c>
      <c r="D7" s="7">
        <f t="shared" ref="D7:G7" si="0">D5 - D6</f>
        <v>34831.17</v>
      </c>
      <c r="E7" s="7">
        <f t="shared" si="0"/>
        <v>36800.129999999997</v>
      </c>
      <c r="F7" s="7">
        <f t="shared" si="0"/>
        <v>39300.83</v>
      </c>
      <c r="G7" s="7">
        <f t="shared" si="0"/>
        <v>41616.339999999997</v>
      </c>
    </row>
    <row r="8" spans="2:15" ht="18.75" x14ac:dyDescent="0.25">
      <c r="B8" s="8" t="s">
        <v>59</v>
      </c>
      <c r="C8" s="5">
        <v>476.92</v>
      </c>
      <c r="D8" s="5">
        <v>602.20000000000005</v>
      </c>
      <c r="E8" s="4">
        <v>927.42</v>
      </c>
      <c r="F8" s="4">
        <v>1183.74</v>
      </c>
      <c r="G8" s="4">
        <v>1081.56</v>
      </c>
    </row>
    <row r="9" spans="2:15" ht="18.75" x14ac:dyDescent="0.25">
      <c r="B9" s="8" t="s">
        <v>106</v>
      </c>
      <c r="C9" s="4"/>
      <c r="D9" s="4"/>
      <c r="E9" s="4"/>
      <c r="F9" s="4"/>
      <c r="G9" s="4"/>
    </row>
    <row r="10" spans="2:15" ht="18.75" x14ac:dyDescent="0.25">
      <c r="B10" s="9" t="s">
        <v>107</v>
      </c>
      <c r="C10" s="7">
        <f>SUM(C7:C9)</f>
        <v>30381.879999999997</v>
      </c>
      <c r="D10" s="7">
        <f t="shared" ref="D10:G10" si="1">SUM(D7:D9)</f>
        <v>35433.369999999995</v>
      </c>
      <c r="E10" s="7">
        <f t="shared" si="1"/>
        <v>37727.549999999996</v>
      </c>
      <c r="F10" s="7">
        <f t="shared" si="1"/>
        <v>40484.57</v>
      </c>
      <c r="G10" s="7">
        <f t="shared" si="1"/>
        <v>42697.899999999994</v>
      </c>
    </row>
    <row r="11" spans="2:15" ht="18.75" x14ac:dyDescent="0.25">
      <c r="B11" s="8" t="s">
        <v>62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</row>
    <row r="12" spans="2:15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15" ht="18.75" x14ac:dyDescent="0.25">
      <c r="B13" s="8" t="s">
        <v>66</v>
      </c>
      <c r="C13" s="5">
        <v>1599.09</v>
      </c>
      <c r="D13" s="5">
        <v>1783.57</v>
      </c>
      <c r="E13" s="5">
        <v>1959.75</v>
      </c>
      <c r="F13" s="5">
        <v>2114.7600000000002</v>
      </c>
      <c r="G13" s="5">
        <v>2243.89</v>
      </c>
    </row>
    <row r="14" spans="2:15" ht="18.75" x14ac:dyDescent="0.25">
      <c r="B14" s="8" t="s">
        <v>69</v>
      </c>
      <c r="C14" s="5">
        <v>2237.6999999999998</v>
      </c>
      <c r="D14" s="5">
        <v>3055.01</v>
      </c>
      <c r="E14" s="5">
        <v>2843.55</v>
      </c>
      <c r="F14" s="5">
        <v>2531.92</v>
      </c>
      <c r="G14" s="5">
        <v>2805.55</v>
      </c>
    </row>
    <row r="15" spans="2:15" ht="18.75" x14ac:dyDescent="0.25">
      <c r="B15" s="9" t="s">
        <v>108</v>
      </c>
      <c r="C15" s="7">
        <f>C11+C12+C13+C14</f>
        <v>3836.79</v>
      </c>
      <c r="D15" s="7">
        <f t="shared" ref="D15:G15" si="2">D11+D12+D13+D14</f>
        <v>4838.58</v>
      </c>
      <c r="E15" s="7">
        <f t="shared" si="2"/>
        <v>4803.3</v>
      </c>
      <c r="F15" s="7">
        <f t="shared" si="2"/>
        <v>4646.68</v>
      </c>
      <c r="G15" s="7">
        <f t="shared" si="2"/>
        <v>5049.4400000000005</v>
      </c>
    </row>
    <row r="16" spans="2:15" ht="18.75" x14ac:dyDescent="0.25">
      <c r="B16" s="9" t="s">
        <v>109</v>
      </c>
      <c r="C16" s="7">
        <f xml:space="preserve"> C10-C15-C8</f>
        <v>26068.17</v>
      </c>
      <c r="D16" s="7">
        <f t="shared" ref="D16:G16" si="3" xml:space="preserve"> D10-D15-D8</f>
        <v>29992.589999999993</v>
      </c>
      <c r="E16" s="7">
        <f t="shared" si="3"/>
        <v>31996.829999999994</v>
      </c>
      <c r="F16" s="7">
        <f t="shared" si="3"/>
        <v>34654.15</v>
      </c>
      <c r="G16" s="7">
        <f t="shared" si="3"/>
        <v>36566.899999999994</v>
      </c>
    </row>
    <row r="17" spans="2:7" ht="18.75" x14ac:dyDescent="0.25">
      <c r="B17" s="9" t="s">
        <v>110</v>
      </c>
      <c r="C17" s="7">
        <f xml:space="preserve"> C16+C8</f>
        <v>26545.089999999997</v>
      </c>
      <c r="D17" s="7">
        <f t="shared" ref="D17:G17" si="4" xml:space="preserve"> D16+D8</f>
        <v>30594.789999999994</v>
      </c>
      <c r="E17" s="7">
        <f t="shared" si="4"/>
        <v>32924.249999999993</v>
      </c>
      <c r="F17" s="7">
        <f t="shared" si="4"/>
        <v>35837.89</v>
      </c>
      <c r="G17" s="7">
        <f t="shared" si="4"/>
        <v>37648.459999999992</v>
      </c>
    </row>
    <row r="18" spans="2:7" ht="18.75" x14ac:dyDescent="0.25">
      <c r="B18" s="8" t="s">
        <v>68</v>
      </c>
      <c r="C18" s="5">
        <v>9230.99</v>
      </c>
      <c r="D18" s="5">
        <v>10540.95</v>
      </c>
      <c r="E18" s="5">
        <v>11607.04</v>
      </c>
      <c r="F18" s="5">
        <v>12039.19</v>
      </c>
      <c r="G18" s="5">
        <v>12871.66</v>
      </c>
    </row>
    <row r="19" spans="2:7" ht="18.75" x14ac:dyDescent="0.25">
      <c r="B19" s="9" t="s">
        <v>111</v>
      </c>
      <c r="C19" s="7">
        <f xml:space="preserve"> C17-C18</f>
        <v>17314.099999999999</v>
      </c>
      <c r="D19" s="7">
        <f t="shared" ref="D19:G19" si="5" xml:space="preserve"> D17-D18</f>
        <v>20053.839999999993</v>
      </c>
      <c r="E19" s="7">
        <f t="shared" si="5"/>
        <v>21317.209999999992</v>
      </c>
      <c r="F19" s="7">
        <f t="shared" si="5"/>
        <v>23798.699999999997</v>
      </c>
      <c r="G19" s="7">
        <f t="shared" si="5"/>
        <v>24776.799999999992</v>
      </c>
    </row>
    <row r="20" spans="2:7" ht="18.75" x14ac:dyDescent="0.25">
      <c r="B20" s="8" t="s">
        <v>67</v>
      </c>
      <c r="C20" s="5">
        <v>7324.14</v>
      </c>
      <c r="D20" s="5">
        <v>8736.57</v>
      </c>
      <c r="E20" s="5">
        <v>9509</v>
      </c>
      <c r="F20" s="5">
        <v>8134.69</v>
      </c>
      <c r="G20" s="5">
        <v>8036.22</v>
      </c>
    </row>
    <row r="21" spans="2:7" ht="18.75" x14ac:dyDescent="0.25">
      <c r="B21" s="9" t="s">
        <v>112</v>
      </c>
      <c r="C21" s="7">
        <f xml:space="preserve"> C19-C20</f>
        <v>9989.9599999999991</v>
      </c>
      <c r="D21" s="7">
        <f t="shared" ref="D21:G21" si="6" xml:space="preserve"> D19-D20</f>
        <v>11317.269999999993</v>
      </c>
      <c r="E21" s="7">
        <f t="shared" si="6"/>
        <v>11808.209999999992</v>
      </c>
      <c r="F21" s="7">
        <f t="shared" si="6"/>
        <v>15664.009999999998</v>
      </c>
      <c r="G21" s="7">
        <f t="shared" si="6"/>
        <v>16740.579999999991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9989.9599999999991</v>
      </c>
      <c r="D23" s="7">
        <f t="shared" ref="D23:G23" si="7" xml:space="preserve"> D21+D22</f>
        <v>11317.269999999993</v>
      </c>
      <c r="E23" s="7">
        <f t="shared" si="7"/>
        <v>11808.209999999992</v>
      </c>
      <c r="F23" s="7">
        <f t="shared" si="7"/>
        <v>15664.009999999998</v>
      </c>
      <c r="G23" s="7">
        <f t="shared" si="7"/>
        <v>16740.579999999991</v>
      </c>
    </row>
    <row r="24" spans="2:7" ht="18.75" x14ac:dyDescent="0.25">
      <c r="B24" s="8" t="s">
        <v>72</v>
      </c>
      <c r="C24" s="5">
        <v>3284.19</v>
      </c>
      <c r="D24" s="4">
        <v>-2526.87</v>
      </c>
      <c r="E24" s="5">
        <v>1683.4</v>
      </c>
      <c r="F24" s="5">
        <v>-716.96</v>
      </c>
      <c r="G24" s="5">
        <v>2790.59</v>
      </c>
    </row>
    <row r="25" spans="2:7" ht="18.75" x14ac:dyDescent="0.25">
      <c r="B25" s="9" t="s">
        <v>115</v>
      </c>
      <c r="C25" s="7">
        <f xml:space="preserve"> C23+C24</f>
        <v>13274.15</v>
      </c>
      <c r="D25" s="7">
        <f t="shared" ref="D25:G25" si="8" xml:space="preserve"> D23+D24</f>
        <v>8790.3999999999942</v>
      </c>
      <c r="E25" s="7">
        <f t="shared" si="8"/>
        <v>13491.609999999991</v>
      </c>
      <c r="F25" s="7">
        <f t="shared" si="8"/>
        <v>14947.05</v>
      </c>
      <c r="G25" s="7">
        <f t="shared" si="8"/>
        <v>19531.169999999991</v>
      </c>
    </row>
    <row r="26" spans="2:7" ht="18.75" x14ac:dyDescent="0.25">
      <c r="B26" s="8" t="s">
        <v>79</v>
      </c>
      <c r="C26" s="5">
        <v>5266.75</v>
      </c>
      <c r="D26" s="5">
        <v>-886.35</v>
      </c>
      <c r="E26" s="5">
        <v>3530.75</v>
      </c>
      <c r="F26" s="4">
        <v>3464.25</v>
      </c>
      <c r="G26" s="5">
        <v>2785.57</v>
      </c>
    </row>
    <row r="27" spans="2:7" ht="18.75" x14ac:dyDescent="0.25">
      <c r="B27" s="9" t="s">
        <v>116</v>
      </c>
      <c r="C27" s="7">
        <f xml:space="preserve"> C25-C26</f>
        <v>8007.4</v>
      </c>
      <c r="D27" s="7">
        <f t="shared" ref="D27:G27" si="9" xml:space="preserve"> D25-D26</f>
        <v>9676.7499999999945</v>
      </c>
      <c r="E27" s="7">
        <f t="shared" si="9"/>
        <v>9960.8599999999915</v>
      </c>
      <c r="F27" s="7">
        <f t="shared" si="9"/>
        <v>11482.8</v>
      </c>
      <c r="G27" s="7">
        <f t="shared" si="9"/>
        <v>16745.599999999991</v>
      </c>
    </row>
    <row r="28" spans="2:7" ht="18.75" x14ac:dyDescent="0.25">
      <c r="B28" s="8" t="s">
        <v>88</v>
      </c>
      <c r="C28" s="4">
        <v>3034.33</v>
      </c>
      <c r="D28" s="5">
        <v>4514.87</v>
      </c>
      <c r="E28" s="5">
        <v>3118.02</v>
      </c>
      <c r="F28" s="5">
        <v>6821.99</v>
      </c>
      <c r="G28" s="5">
        <v>0</v>
      </c>
    </row>
    <row r="29" spans="2:7" ht="18.75" x14ac:dyDescent="0.25">
      <c r="B29" s="8" t="s">
        <v>89</v>
      </c>
      <c r="C29" s="4">
        <v>625.45000000000005</v>
      </c>
      <c r="D29" s="4">
        <v>940.5</v>
      </c>
      <c r="E29" s="4">
        <v>637.94000000000005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4347.62</v>
      </c>
      <c r="D30" s="7">
        <f t="shared" ref="D30:G30" si="10" xml:space="preserve"> D27-D28-D29</f>
        <v>4221.3799999999947</v>
      </c>
      <c r="E30" s="7">
        <f t="shared" si="10"/>
        <v>6204.8999999999905</v>
      </c>
      <c r="F30" s="7">
        <f t="shared" si="10"/>
        <v>4660.8099999999995</v>
      </c>
      <c r="G30" s="7">
        <f t="shared" si="10"/>
        <v>16745.599999999991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16</v>
      </c>
      <c r="D34" s="4">
        <v>19</v>
      </c>
      <c r="E34" s="4">
        <v>21</v>
      </c>
      <c r="F34" s="4">
        <v>23</v>
      </c>
      <c r="G34" s="4">
        <v>24</v>
      </c>
    </row>
    <row r="35" spans="2:7" ht="18.75" x14ac:dyDescent="0.25">
      <c r="B35" s="8" t="s">
        <v>118</v>
      </c>
      <c r="C35" s="4">
        <f>C27/C34</f>
        <v>500.46249999999998</v>
      </c>
      <c r="D35" s="4">
        <f t="shared" ref="D35:G35" si="11">D27/D34</f>
        <v>509.30263157894706</v>
      </c>
      <c r="E35" s="4">
        <f t="shared" si="11"/>
        <v>474.32666666666626</v>
      </c>
      <c r="F35" s="4">
        <f t="shared" si="11"/>
        <v>499.25217391304346</v>
      </c>
      <c r="G35" s="4">
        <f t="shared" si="11"/>
        <v>697.73333333333301</v>
      </c>
    </row>
  </sheetData>
  <mergeCells count="1">
    <mergeCell ref="B3:G3"/>
  </mergeCells>
  <hyperlinks>
    <hyperlink ref="F1" location="Index_Data!A1" tooltip="Hi click here To return Index page" display="Index_Data!A1" xr:uid="{3076CBA0-FB96-4D29-B9D6-B6E3687412AD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30C0C-1FE7-4702-A025-D4F91A9B5B94}">
  <dimension ref="B1:O80"/>
  <sheetViews>
    <sheetView showGridLines="0" topLeftCell="A57" workbookViewId="0">
      <selection activeCell="H75" sqref="H75:L75"/>
    </sheetView>
  </sheetViews>
  <sheetFormatPr defaultRowHeight="15" x14ac:dyDescent="0.25"/>
  <cols>
    <col min="2" max="2" width="47.42578125" bestFit="1" customWidth="1"/>
    <col min="3" max="7" width="17.140625" bestFit="1" customWidth="1"/>
    <col min="8" max="12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128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5</v>
      </c>
      <c r="C5" s="5">
        <v>5231.59</v>
      </c>
      <c r="D5" s="5">
        <v>5231.59</v>
      </c>
      <c r="E5" s="5">
        <v>5231.59</v>
      </c>
      <c r="F5" s="5">
        <v>5231.59</v>
      </c>
      <c r="G5" s="5">
        <v>6975.45</v>
      </c>
      <c r="H5" s="24">
        <f>G5</f>
        <v>6975.45</v>
      </c>
      <c r="I5" s="24">
        <f t="shared" ref="I5:L5" si="0">H5</f>
        <v>6975.45</v>
      </c>
      <c r="J5" s="24">
        <f t="shared" si="0"/>
        <v>6975.45</v>
      </c>
      <c r="K5" s="24">
        <f t="shared" si="0"/>
        <v>6975.45</v>
      </c>
      <c r="L5" s="24">
        <f t="shared" si="0"/>
        <v>6975.45</v>
      </c>
    </row>
    <row r="6" spans="2:15" x14ac:dyDescent="0.25">
      <c r="B6" s="17" t="s">
        <v>203</v>
      </c>
      <c r="C6" s="18">
        <f>C5/Balance_Sheet!C74</f>
        <v>2.3218896301439692E-2</v>
      </c>
      <c r="D6" s="18">
        <f>D5/Balance_Sheet!D74</f>
        <v>2.1187595656660986E-2</v>
      </c>
      <c r="E6" s="18">
        <f>E5/Balance_Sheet!E74</f>
        <v>2.0371268797540018E-2</v>
      </c>
      <c r="F6" s="18">
        <f>F5/Balance_Sheet!F74</f>
        <v>2.0489587350406104E-2</v>
      </c>
      <c r="G6" s="18">
        <f>G5/Balance_Sheet!G74</f>
        <v>2.6552615045678758E-2</v>
      </c>
      <c r="H6" s="25">
        <f>G6</f>
        <v>2.6552615045678758E-2</v>
      </c>
      <c r="I6" s="25">
        <f t="shared" ref="I6:L6" si="1">H6</f>
        <v>2.6552615045678758E-2</v>
      </c>
      <c r="J6" s="25">
        <f t="shared" si="1"/>
        <v>2.6552615045678758E-2</v>
      </c>
      <c r="K6" s="25">
        <f t="shared" si="1"/>
        <v>2.6552615045678758E-2</v>
      </c>
      <c r="L6" s="25">
        <f t="shared" si="1"/>
        <v>2.6552615045678758E-2</v>
      </c>
    </row>
    <row r="7" spans="2:15" ht="18.75" x14ac:dyDescent="0.25">
      <c r="B7" s="8" t="s">
        <v>121</v>
      </c>
      <c r="C7" s="4"/>
      <c r="D7" s="4"/>
      <c r="E7" s="4"/>
      <c r="F7" s="4"/>
      <c r="G7" s="4"/>
      <c r="H7" s="26">
        <f>G7</f>
        <v>0</v>
      </c>
      <c r="I7" s="26">
        <f t="shared" ref="I7:L7" si="2">H7</f>
        <v>0</v>
      </c>
      <c r="J7" s="26">
        <f t="shared" si="2"/>
        <v>0</v>
      </c>
      <c r="K7" s="26">
        <f t="shared" si="2"/>
        <v>0</v>
      </c>
      <c r="L7" s="26">
        <f t="shared" si="2"/>
        <v>0</v>
      </c>
    </row>
    <row r="8" spans="2:15" x14ac:dyDescent="0.25">
      <c r="B8" s="17" t="s">
        <v>204</v>
      </c>
      <c r="C8" s="18">
        <f>C7/Balance_Sheet!C74</f>
        <v>0</v>
      </c>
      <c r="D8" s="18">
        <f>D7/Balance_Sheet!D74</f>
        <v>0</v>
      </c>
      <c r="E8" s="18">
        <f>E7/Balance_Sheet!E74</f>
        <v>0</v>
      </c>
      <c r="F8" s="18">
        <f>F7/Balance_Sheet!F74</f>
        <v>0</v>
      </c>
      <c r="G8" s="18">
        <f>G7/Balance_Sheet!G74</f>
        <v>0</v>
      </c>
      <c r="H8" s="25">
        <f>G8</f>
        <v>0</v>
      </c>
      <c r="I8" s="25">
        <f t="shared" ref="I8:L8" si="3">H8</f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</row>
    <row r="9" spans="2:15" ht="18.75" x14ac:dyDescent="0.25">
      <c r="B9" s="9" t="s">
        <v>6</v>
      </c>
      <c r="C9" s="7">
        <f>C5+C7</f>
        <v>5231.59</v>
      </c>
      <c r="D9" s="7">
        <f t="shared" ref="D9:L9" si="4">D5+D7</f>
        <v>5231.59</v>
      </c>
      <c r="E9" s="7">
        <f t="shared" si="4"/>
        <v>5231.59</v>
      </c>
      <c r="F9" s="7">
        <f t="shared" si="4"/>
        <v>5231.59</v>
      </c>
      <c r="G9" s="7">
        <f t="shared" si="4"/>
        <v>6975.45</v>
      </c>
      <c r="H9" s="27">
        <f t="shared" si="4"/>
        <v>6975.45</v>
      </c>
      <c r="I9" s="27">
        <f t="shared" si="4"/>
        <v>6975.45</v>
      </c>
      <c r="J9" s="27">
        <f t="shared" si="4"/>
        <v>6975.45</v>
      </c>
      <c r="K9" s="27">
        <f t="shared" si="4"/>
        <v>6975.45</v>
      </c>
      <c r="L9" s="27">
        <f t="shared" si="4"/>
        <v>6975.45</v>
      </c>
    </row>
    <row r="10" spans="2:15" x14ac:dyDescent="0.25">
      <c r="B10" s="19" t="s">
        <v>205</v>
      </c>
      <c r="C10" s="20">
        <f>C9/Balance_Sheet!C74</f>
        <v>2.3218896301439692E-2</v>
      </c>
      <c r="D10" s="20">
        <f>D9/Balance_Sheet!D74</f>
        <v>2.1187595656660986E-2</v>
      </c>
      <c r="E10" s="20">
        <f>E9/Balance_Sheet!E74</f>
        <v>2.0371268797540018E-2</v>
      </c>
      <c r="F10" s="20">
        <f>F9/Balance_Sheet!F74</f>
        <v>2.0489587350406104E-2</v>
      </c>
      <c r="G10" s="20">
        <f>G9/Balance_Sheet!G74</f>
        <v>2.6552615045678758E-2</v>
      </c>
      <c r="H10" s="28">
        <f>H9/Balance_Sheet!H74</f>
        <v>2.5287096776447773E-2</v>
      </c>
      <c r="I10" s="28">
        <f>I9/Balance_Sheet!I74</f>
        <v>2.499559224431986E-2</v>
      </c>
      <c r="J10" s="28">
        <f>J9/Balance_Sheet!J74</f>
        <v>2.439674420896347E-2</v>
      </c>
      <c r="K10" s="28">
        <f>K9/Balance_Sheet!K74</f>
        <v>2.3570976869667661E-2</v>
      </c>
      <c r="L10" s="28">
        <f>L9/Balance_Sheet!L74</f>
        <v>2.2972479427531771E-2</v>
      </c>
    </row>
    <row r="11" spans="2:15" ht="18.75" x14ac:dyDescent="0.25">
      <c r="B11" s="8" t="s">
        <v>7</v>
      </c>
      <c r="C11" s="5">
        <v>49194.400000000001</v>
      </c>
      <c r="D11" s="5">
        <f>Income_Statement!D55+C11</f>
        <v>53416.797289112023</v>
      </c>
      <c r="E11" s="5">
        <f>Income_Statement!E55+D11</f>
        <v>59622.722490653425</v>
      </c>
      <c r="F11" s="5">
        <f>Income_Statement!F55+E11</f>
        <v>64284.562610627989</v>
      </c>
      <c r="G11" s="5">
        <f>Income_Statement!G55+F11</f>
        <v>81031.188599458328</v>
      </c>
      <c r="H11" s="24">
        <f>H74-H9-H21-H33-H35</f>
        <v>60103.905510477365</v>
      </c>
      <c r="I11" s="24">
        <f t="shared" ref="I11:L11" si="5">I74-I9-I21-I33-I35</f>
        <v>60886.201024598107</v>
      </c>
      <c r="J11" s="24">
        <f t="shared" si="5"/>
        <v>62551.946192729578</v>
      </c>
      <c r="K11" s="24">
        <f t="shared" si="5"/>
        <v>64987.720380958737</v>
      </c>
      <c r="L11" s="24">
        <f t="shared" si="5"/>
        <v>66862.557519567898</v>
      </c>
    </row>
    <row r="12" spans="2:15" x14ac:dyDescent="0.25">
      <c r="B12" s="17" t="s">
        <v>206</v>
      </c>
      <c r="C12" s="18">
        <f>C11/Balance_Sheet!C74</f>
        <v>0.21833508975503521</v>
      </c>
      <c r="D12" s="18">
        <f>D11/Balance_Sheet!D74</f>
        <v>0.21633451823165237</v>
      </c>
      <c r="E12" s="18">
        <f>E11/Balance_Sheet!E74</f>
        <v>0.23216469683179217</v>
      </c>
      <c r="F12" s="18">
        <f>F11/Balance_Sheet!F74</f>
        <v>0.25177128958750827</v>
      </c>
      <c r="G12" s="18">
        <f>G11/Balance_Sheet!G74</f>
        <v>0.30845177839067162</v>
      </c>
      <c r="H12" s="25"/>
      <c r="I12" s="25"/>
      <c r="J12" s="25"/>
      <c r="K12" s="25"/>
      <c r="L12" s="25"/>
    </row>
    <row r="13" spans="2:15" ht="18.75" x14ac:dyDescent="0.25">
      <c r="B13" s="9" t="s">
        <v>122</v>
      </c>
      <c r="C13" s="7">
        <f>C9+C11</f>
        <v>54425.990000000005</v>
      </c>
      <c r="D13" s="7">
        <f t="shared" ref="D13:L13" si="6">D9+D11</f>
        <v>58648.387289112026</v>
      </c>
      <c r="E13" s="7">
        <f t="shared" si="6"/>
        <v>64854.312490653421</v>
      </c>
      <c r="F13" s="7">
        <f t="shared" si="6"/>
        <v>69516.152610627993</v>
      </c>
      <c r="G13" s="7">
        <f t="shared" si="6"/>
        <v>88006.638599458325</v>
      </c>
      <c r="H13" s="27">
        <f t="shared" si="6"/>
        <v>67079.35551047737</v>
      </c>
      <c r="I13" s="27">
        <f t="shared" si="6"/>
        <v>67861.651024598104</v>
      </c>
      <c r="J13" s="27">
        <f t="shared" si="6"/>
        <v>69527.396192729575</v>
      </c>
      <c r="K13" s="27">
        <f t="shared" si="6"/>
        <v>71963.170380958734</v>
      </c>
      <c r="L13" s="27">
        <f t="shared" si="6"/>
        <v>73838.007519567895</v>
      </c>
    </row>
    <row r="14" spans="2:15" x14ac:dyDescent="0.25">
      <c r="B14" s="19" t="s">
        <v>207</v>
      </c>
      <c r="C14" s="20">
        <f>C13/Balance_Sheet!C74</f>
        <v>0.24155398605647493</v>
      </c>
      <c r="D14" s="20">
        <f>D13/Balance_Sheet!D74</f>
        <v>0.23752211388831337</v>
      </c>
      <c r="E14" s="20">
        <f>E13/Balance_Sheet!E74</f>
        <v>0.25253596562933217</v>
      </c>
      <c r="F14" s="20">
        <f>F13/Balance_Sheet!F74</f>
        <v>0.2722608769379144</v>
      </c>
      <c r="G14" s="20">
        <f>G13/Balance_Sheet!G74</f>
        <v>0.33500439343635036</v>
      </c>
      <c r="H14" s="28">
        <f>H13/Balance_Sheet!H74</f>
        <v>0.24317315076377674</v>
      </c>
      <c r="I14" s="28">
        <f>I13/Balance_Sheet!I74</f>
        <v>0.24317315127155745</v>
      </c>
      <c r="J14" s="28">
        <f>J13/Balance_Sheet!J74</f>
        <v>0.24317314301289294</v>
      </c>
      <c r="K14" s="28">
        <f>K13/Balance_Sheet!K74</f>
        <v>0.24317316080217496</v>
      </c>
      <c r="L14" s="28">
        <f>L13/Balance_Sheet!L74</f>
        <v>0.24317314420047592</v>
      </c>
    </row>
    <row r="15" spans="2:15" ht="18.75" x14ac:dyDescent="0.25">
      <c r="B15" s="8" t="s">
        <v>12</v>
      </c>
      <c r="C15" s="5">
        <v>122710.32</v>
      </c>
      <c r="D15" s="5">
        <v>131329.51</v>
      </c>
      <c r="E15" s="5">
        <v>135421.10999999999</v>
      </c>
      <c r="F15" s="5">
        <v>129174.79</v>
      </c>
      <c r="G15" s="5">
        <v>114199.4</v>
      </c>
      <c r="H15" s="24">
        <f>ROUND(H74*H16,2)</f>
        <v>119914.62</v>
      </c>
      <c r="I15" s="24">
        <f t="shared" ref="I15:L15" si="7">ROUND(I74*I16,2)</f>
        <v>121313.1</v>
      </c>
      <c r="J15" s="24">
        <f t="shared" si="7"/>
        <v>124290.88</v>
      </c>
      <c r="K15" s="24">
        <f t="shared" si="7"/>
        <v>128645.19</v>
      </c>
      <c r="L15" s="24">
        <f t="shared" si="7"/>
        <v>131996.75</v>
      </c>
    </row>
    <row r="16" spans="2:15" x14ac:dyDescent="0.25">
      <c r="B16" s="17" t="s">
        <v>208</v>
      </c>
      <c r="C16" s="18">
        <f>C15/Balance_Sheet!C74</f>
        <v>0.54461419858904869</v>
      </c>
      <c r="D16" s="18">
        <f>D15/Balance_Sheet!D74</f>
        <v>0.5318758839410993</v>
      </c>
      <c r="E16" s="18">
        <f>E15/Balance_Sheet!E74</f>
        <v>0.52731575537670838</v>
      </c>
      <c r="F16" s="18">
        <f>F15/Balance_Sheet!F74</f>
        <v>0.50591467281942293</v>
      </c>
      <c r="G16" s="18">
        <f>G15/Balance_Sheet!G74</f>
        <v>0.43470925985384262</v>
      </c>
      <c r="H16" s="25">
        <f>G16</f>
        <v>0.43470925985384262</v>
      </c>
      <c r="I16" s="25">
        <f t="shared" ref="I16:L16" si="8">H16</f>
        <v>0.43470925985384262</v>
      </c>
      <c r="J16" s="25">
        <f t="shared" si="8"/>
        <v>0.43470925985384262</v>
      </c>
      <c r="K16" s="25">
        <f t="shared" si="8"/>
        <v>0.43470925985384262</v>
      </c>
      <c r="L16" s="25">
        <f t="shared" si="8"/>
        <v>0.43470925985384262</v>
      </c>
    </row>
    <row r="17" spans="2:12" ht="18.75" x14ac:dyDescent="0.25">
      <c r="B17" s="8" t="s">
        <v>13</v>
      </c>
      <c r="C17" s="5">
        <v>13472.85</v>
      </c>
      <c r="D17" s="5">
        <v>10018.48</v>
      </c>
      <c r="E17" s="5">
        <v>11228.78</v>
      </c>
      <c r="F17" s="5">
        <v>11836.62</v>
      </c>
      <c r="G17" s="5">
        <v>11356.98</v>
      </c>
      <c r="H17" s="24">
        <f>H74*H18</f>
        <v>12061.191437483425</v>
      </c>
      <c r="I17" s="24">
        <f t="shared" ref="I17:L17" si="9">I74*I18</f>
        <v>12201.851916039908</v>
      </c>
      <c r="J17" s="24">
        <f t="shared" si="9"/>
        <v>12501.361349964518</v>
      </c>
      <c r="K17" s="24">
        <f t="shared" si="9"/>
        <v>12939.324356615298</v>
      </c>
      <c r="L17" s="24">
        <f t="shared" si="9"/>
        <v>13276.430003170792</v>
      </c>
    </row>
    <row r="18" spans="2:12" x14ac:dyDescent="0.25">
      <c r="B18" s="17" t="s">
        <v>209</v>
      </c>
      <c r="C18" s="18">
        <f>C17/Balance_Sheet!C74</f>
        <v>5.9795340811273766E-2</v>
      </c>
      <c r="D18" s="18">
        <f>D17/Balance_Sheet!D74</f>
        <v>4.0574185540981793E-2</v>
      </c>
      <c r="E18" s="18">
        <f>E17/Balance_Sheet!E74</f>
        <v>4.3723704580909704E-2</v>
      </c>
      <c r="F18" s="18">
        <f>F17/Balance_Sheet!F74</f>
        <v>4.635826955544374E-2</v>
      </c>
      <c r="G18" s="18">
        <f>G17/Balance_Sheet!G74</f>
        <v>4.3231263649151343E-2</v>
      </c>
      <c r="H18" s="25">
        <f>MEDIAN(C18:G18)</f>
        <v>4.3723704580909704E-2</v>
      </c>
      <c r="I18" s="25">
        <f t="shared" ref="I18:L18" si="10">H18</f>
        <v>4.3723704580909704E-2</v>
      </c>
      <c r="J18" s="25">
        <f t="shared" si="10"/>
        <v>4.3723704580909704E-2</v>
      </c>
      <c r="K18" s="25">
        <f t="shared" si="10"/>
        <v>4.3723704580909704E-2</v>
      </c>
      <c r="L18" s="25">
        <f t="shared" si="10"/>
        <v>4.3723704580909704E-2</v>
      </c>
    </row>
    <row r="19" spans="2:12" ht="18.75" x14ac:dyDescent="0.25">
      <c r="B19" s="8" t="s">
        <v>18</v>
      </c>
      <c r="C19" s="5">
        <v>1000</v>
      </c>
      <c r="D19" s="5">
        <v>4300</v>
      </c>
      <c r="E19" s="5">
        <v>3000</v>
      </c>
      <c r="F19" s="5">
        <v>1800</v>
      </c>
      <c r="G19" s="5">
        <v>20465.87</v>
      </c>
      <c r="H19" s="24">
        <f>ROUND(H74*H20,2)</f>
        <v>21490.11</v>
      </c>
      <c r="I19" s="24">
        <f t="shared" ref="I19:L19" si="11">ROUND(I74*I20,2)</f>
        <v>21740.73</v>
      </c>
      <c r="J19" s="24">
        <f t="shared" si="11"/>
        <v>22274.38</v>
      </c>
      <c r="K19" s="24">
        <f t="shared" si="11"/>
        <v>23054.720000000001</v>
      </c>
      <c r="L19" s="24">
        <f t="shared" si="11"/>
        <v>23655.360000000001</v>
      </c>
    </row>
    <row r="20" spans="2:12" x14ac:dyDescent="0.25">
      <c r="B20" s="17" t="s">
        <v>210</v>
      </c>
      <c r="C20" s="18">
        <f>C19/Balance_Sheet!C74</f>
        <v>4.4382102384628169E-3</v>
      </c>
      <c r="D20" s="18">
        <f>D19/Balance_Sheet!D74</f>
        <v>1.7414717384894886E-2</v>
      </c>
      <c r="E20" s="18">
        <f>E19/Balance_Sheet!E74</f>
        <v>1.1681688815946977E-2</v>
      </c>
      <c r="F20" s="18">
        <f>F19/Balance_Sheet!F74</f>
        <v>7.0497224038449085E-3</v>
      </c>
      <c r="G20" s="18">
        <f>G19/Balance_Sheet!G74</f>
        <v>7.7904990743952796E-2</v>
      </c>
      <c r="H20" s="25">
        <f>G20</f>
        <v>7.7904990743952796E-2</v>
      </c>
      <c r="I20" s="25">
        <f t="shared" ref="I20:L20" si="12">H20</f>
        <v>7.7904990743952796E-2</v>
      </c>
      <c r="J20" s="25">
        <f t="shared" si="12"/>
        <v>7.7904990743952796E-2</v>
      </c>
      <c r="K20" s="25">
        <f t="shared" si="12"/>
        <v>7.7904990743952796E-2</v>
      </c>
      <c r="L20" s="25">
        <f t="shared" si="12"/>
        <v>7.7904990743952796E-2</v>
      </c>
    </row>
    <row r="21" spans="2:12" ht="18.75" x14ac:dyDescent="0.25">
      <c r="B21" s="9" t="s">
        <v>123</v>
      </c>
      <c r="C21" s="7">
        <f>C15+C17+C19</f>
        <v>137183.17000000001</v>
      </c>
      <c r="D21" s="7">
        <f t="shared" ref="D21:G21" si="13">D15+D17+D19</f>
        <v>145647.99000000002</v>
      </c>
      <c r="E21" s="7">
        <f t="shared" si="13"/>
        <v>149649.88999999998</v>
      </c>
      <c r="F21" s="7">
        <f t="shared" si="13"/>
        <v>142811.41</v>
      </c>
      <c r="G21" s="7">
        <f t="shared" si="13"/>
        <v>146022.25</v>
      </c>
      <c r="H21" s="27">
        <f>ROUND(H74*H22,2)</f>
        <v>153330.07999999999</v>
      </c>
      <c r="I21" s="27">
        <f t="shared" ref="I21:L21" si="14">ROUND(I74*I22,2)</f>
        <v>155118.25</v>
      </c>
      <c r="J21" s="27">
        <f t="shared" si="14"/>
        <v>158925.82</v>
      </c>
      <c r="K21" s="27">
        <f t="shared" si="14"/>
        <v>164493.5</v>
      </c>
      <c r="L21" s="27">
        <f t="shared" si="14"/>
        <v>168779.02</v>
      </c>
    </row>
    <row r="22" spans="2:12" x14ac:dyDescent="0.25">
      <c r="B22" s="19" t="s">
        <v>211</v>
      </c>
      <c r="C22" s="20">
        <f>C21/Balance_Sheet!C74</f>
        <v>0.6088477496387853</v>
      </c>
      <c r="D22" s="20">
        <f>D21/Balance_Sheet!D74</f>
        <v>0.58986478686697608</v>
      </c>
      <c r="E22" s="20">
        <f>E21/Balance_Sheet!E74</f>
        <v>0.58272114877356507</v>
      </c>
      <c r="F22" s="20">
        <f>F21/Balance_Sheet!F74</f>
        <v>0.55932266477871162</v>
      </c>
      <c r="G22" s="20">
        <f>G21/Balance_Sheet!G74</f>
        <v>0.55584551424694684</v>
      </c>
      <c r="H22" s="28">
        <f>G22</f>
        <v>0.55584551424694684</v>
      </c>
      <c r="I22" s="28">
        <f t="shared" ref="I22:L22" si="15">H22</f>
        <v>0.55584551424694684</v>
      </c>
      <c r="J22" s="28">
        <f t="shared" si="15"/>
        <v>0.55584551424694684</v>
      </c>
      <c r="K22" s="28">
        <f t="shared" si="15"/>
        <v>0.55584551424694684</v>
      </c>
      <c r="L22" s="28">
        <f t="shared" si="15"/>
        <v>0.55584551424694684</v>
      </c>
    </row>
    <row r="23" spans="2:12" ht="18.75" x14ac:dyDescent="0.25">
      <c r="B23" s="8" t="s">
        <v>15</v>
      </c>
      <c r="C23" s="4">
        <v>716.87</v>
      </c>
      <c r="D23" s="4">
        <v>368.15</v>
      </c>
      <c r="E23" s="4">
        <v>424.71</v>
      </c>
      <c r="F23" s="4">
        <v>462.02</v>
      </c>
      <c r="G23" s="4">
        <v>517.14</v>
      </c>
      <c r="H23" s="26">
        <f>H74*H24</f>
        <v>499.15283975628478</v>
      </c>
      <c r="I23" s="26">
        <f t="shared" ref="I23:L23" si="16">I74*I24</f>
        <v>504.97407870078473</v>
      </c>
      <c r="J23" s="26">
        <f t="shared" si="16"/>
        <v>517.36928735427239</v>
      </c>
      <c r="K23" s="26">
        <f t="shared" si="16"/>
        <v>535.49440207540567</v>
      </c>
      <c r="L23" s="26">
        <f t="shared" si="16"/>
        <v>549.44553133558122</v>
      </c>
    </row>
    <row r="24" spans="2:12" x14ac:dyDescent="0.25">
      <c r="B24" s="17" t="s">
        <v>212</v>
      </c>
      <c r="C24" s="18">
        <f>C23/Balance_Sheet!C74</f>
        <v>3.1816197736468398E-3</v>
      </c>
      <c r="D24" s="18">
        <f>D23/Balance_Sheet!D74</f>
        <v>1.4909833035462912E-3</v>
      </c>
      <c r="E24" s="18">
        <f>E23/Balance_Sheet!E74</f>
        <v>1.6537766856736136E-3</v>
      </c>
      <c r="F24" s="18">
        <f>F23/Balance_Sheet!F74</f>
        <v>1.8095070805691249E-3</v>
      </c>
      <c r="G24" s="18">
        <f>G23/Balance_Sheet!G74</f>
        <v>1.9685352693693328E-3</v>
      </c>
      <c r="H24" s="25">
        <f>MEDIAN(C24:G24)</f>
        <v>1.8095070805691249E-3</v>
      </c>
      <c r="I24" s="25">
        <f t="shared" ref="I24:L24" si="17">H24</f>
        <v>1.8095070805691249E-3</v>
      </c>
      <c r="J24" s="25">
        <f t="shared" si="17"/>
        <v>1.8095070805691249E-3</v>
      </c>
      <c r="K24" s="25">
        <f t="shared" si="17"/>
        <v>1.8095070805691249E-3</v>
      </c>
      <c r="L24" s="25">
        <f t="shared" si="17"/>
        <v>1.8095070805691249E-3</v>
      </c>
    </row>
    <row r="25" spans="2:12" ht="18.75" x14ac:dyDescent="0.25">
      <c r="B25" s="8" t="s">
        <v>21</v>
      </c>
      <c r="C25" s="5">
        <v>1059.5999999999999</v>
      </c>
      <c r="D25" s="4">
        <v>701.14</v>
      </c>
      <c r="E25" s="4">
        <v>742.04</v>
      </c>
      <c r="F25" s="4">
        <v>845.12</v>
      </c>
      <c r="G25" s="5">
        <v>1167.1199999999999</v>
      </c>
      <c r="H25" s="24">
        <f>H74*H26</f>
        <v>913.04282917369676</v>
      </c>
      <c r="I25" s="24">
        <f t="shared" ref="I25:L25" si="18">I74*I26</f>
        <v>923.69095145579661</v>
      </c>
      <c r="J25" s="24">
        <f t="shared" si="18"/>
        <v>946.36407975594693</v>
      </c>
      <c r="K25" s="24">
        <f t="shared" si="18"/>
        <v>979.51826562046404</v>
      </c>
      <c r="L25" s="24">
        <f t="shared" si="18"/>
        <v>1005.0374603747161</v>
      </c>
    </row>
    <row r="26" spans="2:12" x14ac:dyDescent="0.25">
      <c r="B26" s="17" t="s">
        <v>213</v>
      </c>
      <c r="C26" s="18">
        <f>C25/Balance_Sheet!C74</f>
        <v>4.702727568675201E-3</v>
      </c>
      <c r="D26" s="18">
        <f>D25/Balance_Sheet!D74</f>
        <v>2.839570917964E-3</v>
      </c>
      <c r="E26" s="18">
        <f>E25/Balance_Sheet!E74</f>
        <v>2.8894267896617649E-3</v>
      </c>
      <c r="F26" s="18">
        <f>F25/Balance_Sheet!F74</f>
        <v>3.309922998854116E-3</v>
      </c>
      <c r="G26" s="18">
        <f>G25/Balance_Sheet!G74</f>
        <v>4.4427367513368444E-3</v>
      </c>
      <c r="H26" s="25">
        <f>MEDIAN(C26:G26)</f>
        <v>3.309922998854116E-3</v>
      </c>
      <c r="I26" s="25">
        <f t="shared" ref="I26:L26" si="19">H26</f>
        <v>3.309922998854116E-3</v>
      </c>
      <c r="J26" s="25">
        <f t="shared" si="19"/>
        <v>3.309922998854116E-3</v>
      </c>
      <c r="K26" s="25">
        <f t="shared" si="19"/>
        <v>3.309922998854116E-3</v>
      </c>
      <c r="L26" s="25">
        <f t="shared" si="19"/>
        <v>3.309922998854116E-3</v>
      </c>
    </row>
    <row r="27" spans="2:12" ht="18.75" x14ac:dyDescent="0.25">
      <c r="B27" s="8" t="s">
        <v>14</v>
      </c>
      <c r="C27" s="5">
        <v>916.76</v>
      </c>
      <c r="D27" s="5">
        <v>4481.1000000000004</v>
      </c>
      <c r="E27" s="5">
        <v>3885.67</v>
      </c>
      <c r="F27" s="5">
        <v>3972.24</v>
      </c>
      <c r="G27" s="4">
        <v>13308.01</v>
      </c>
      <c r="H27" s="26">
        <f>ROUND(H74*H28,2)</f>
        <v>13974.02</v>
      </c>
      <c r="I27" s="26">
        <f t="shared" ref="I27:L27" si="20">ROUND(I74*I28,2)</f>
        <v>14136.99</v>
      </c>
      <c r="J27" s="26">
        <f t="shared" si="20"/>
        <v>14484</v>
      </c>
      <c r="K27" s="26">
        <f t="shared" si="20"/>
        <v>14991.42</v>
      </c>
      <c r="L27" s="26">
        <f t="shared" si="20"/>
        <v>15381.99</v>
      </c>
    </row>
    <row r="28" spans="2:12" x14ac:dyDescent="0.25">
      <c r="B28" s="17" t="s">
        <v>214</v>
      </c>
      <c r="C28" s="18">
        <f>C27/Balance_Sheet!C74</f>
        <v>4.068773618213172E-3</v>
      </c>
      <c r="D28" s="18">
        <f>D27/Balance_Sheet!D74</f>
        <v>1.814816048219825E-2</v>
      </c>
      <c r="E28" s="18">
        <f>E27/Balance_Sheet!E74</f>
        <v>1.5130395927153565E-2</v>
      </c>
      <c r="F28" s="18">
        <f>F27/Balance_Sheet!F74</f>
        <v>1.5557327400804944E-2</v>
      </c>
      <c r="G28" s="18">
        <f>G27/Balance_Sheet!G74</f>
        <v>5.0658017268282819E-2</v>
      </c>
      <c r="H28" s="25">
        <f>G28</f>
        <v>5.0658017268282819E-2</v>
      </c>
      <c r="I28" s="25">
        <f t="shared" ref="I28:L28" si="21">H28</f>
        <v>5.0658017268282819E-2</v>
      </c>
      <c r="J28" s="25">
        <f t="shared" si="21"/>
        <v>5.0658017268282819E-2</v>
      </c>
      <c r="K28" s="25">
        <f t="shared" si="21"/>
        <v>5.0658017268282819E-2</v>
      </c>
      <c r="L28" s="25">
        <f t="shared" si="21"/>
        <v>5.0658017268282819E-2</v>
      </c>
    </row>
    <row r="29" spans="2:12" ht="18.75" x14ac:dyDescent="0.25">
      <c r="B29" s="8" t="s">
        <v>19</v>
      </c>
      <c r="C29" s="4">
        <v>240.44</v>
      </c>
      <c r="D29" s="4">
        <v>365.13</v>
      </c>
      <c r="E29" s="4">
        <v>226.54</v>
      </c>
      <c r="F29" s="4">
        <v>187.48</v>
      </c>
      <c r="G29" s="4">
        <v>267.10000000000002</v>
      </c>
      <c r="H29" s="26">
        <f>H74*H30</f>
        <v>280.4672889655892</v>
      </c>
      <c r="I29" s="26">
        <f t="shared" ref="I29:L29" si="22">I74*I30</f>
        <v>283.73816508838553</v>
      </c>
      <c r="J29" s="26">
        <f t="shared" si="22"/>
        <v>290.70286665935902</v>
      </c>
      <c r="K29" s="26">
        <f t="shared" si="22"/>
        <v>300.88712563404226</v>
      </c>
      <c r="L29" s="26">
        <f t="shared" si="22"/>
        <v>308.72607813508461</v>
      </c>
    </row>
    <row r="30" spans="2:12" x14ac:dyDescent="0.25">
      <c r="B30" s="17" t="s">
        <v>215</v>
      </c>
      <c r="C30" s="18">
        <f>C29/Balance_Sheet!C74</f>
        <v>1.0671232697359997E-3</v>
      </c>
      <c r="D30" s="18">
        <f>D29/Balance_Sheet!D74</f>
        <v>1.4787525020341092E-3</v>
      </c>
      <c r="E30" s="18">
        <f>E29/Balance_Sheet!E74</f>
        <v>8.8212326145487615E-4</v>
      </c>
      <c r="F30" s="18">
        <f>F29/Balance_Sheet!F74</f>
        <v>7.3426775348491295E-4</v>
      </c>
      <c r="G30" s="18">
        <f>G29/Balance_Sheet!G74</f>
        <v>1.016737770136808E-3</v>
      </c>
      <c r="H30" s="25">
        <f>MEDIAN(C30:G30)</f>
        <v>1.016737770136808E-3</v>
      </c>
      <c r="I30" s="25">
        <f t="shared" ref="I30:L30" si="23">H30</f>
        <v>1.016737770136808E-3</v>
      </c>
      <c r="J30" s="25">
        <f t="shared" si="23"/>
        <v>1.016737770136808E-3</v>
      </c>
      <c r="K30" s="25">
        <f t="shared" si="23"/>
        <v>1.016737770136808E-3</v>
      </c>
      <c r="L30" s="25">
        <f t="shared" si="23"/>
        <v>1.016737770136808E-3</v>
      </c>
    </row>
    <row r="31" spans="2:12" ht="18.75" x14ac:dyDescent="0.25">
      <c r="B31" s="8" t="s">
        <v>20</v>
      </c>
      <c r="C31" s="5">
        <v>30773.22</v>
      </c>
      <c r="D31" s="5">
        <v>36705.69</v>
      </c>
      <c r="E31" s="5">
        <v>37029.019999999997</v>
      </c>
      <c r="F31" s="5">
        <v>37534.78</v>
      </c>
      <c r="G31" s="5">
        <v>13414.68</v>
      </c>
      <c r="H31" s="24">
        <f>H74*H32</f>
        <v>39774.05372288017</v>
      </c>
      <c r="I31" s="24">
        <f t="shared" ref="I31:L31" si="24">I74*I32</f>
        <v>40237.908182018</v>
      </c>
      <c r="J31" s="24">
        <f t="shared" si="24"/>
        <v>41225.597033254104</v>
      </c>
      <c r="K31" s="24">
        <f t="shared" si="24"/>
        <v>42669.862655390425</v>
      </c>
      <c r="L31" s="24">
        <f t="shared" si="24"/>
        <v>43781.532109099229</v>
      </c>
    </row>
    <row r="32" spans="2:12" x14ac:dyDescent="0.25">
      <c r="B32" s="17" t="s">
        <v>216</v>
      </c>
      <c r="C32" s="18">
        <f>C31/Balance_Sheet!C74</f>
        <v>0.13657802007446873</v>
      </c>
      <c r="D32" s="18">
        <f>D31/Balance_Sheet!D74</f>
        <v>0.14865563203896801</v>
      </c>
      <c r="E32" s="18">
        <f>E31/Balance_Sheet!E74</f>
        <v>0.14418716293315897</v>
      </c>
      <c r="F32" s="18">
        <f>F31/Balance_Sheet!F74</f>
        <v>0.14700543304966099</v>
      </c>
      <c r="G32" s="18">
        <f>G31/Balance_Sheet!G74</f>
        <v>5.1064065257577063E-2</v>
      </c>
      <c r="H32" s="25">
        <f>MEDIAN(C32:G32)</f>
        <v>0.14418716293315897</v>
      </c>
      <c r="I32" s="25">
        <f t="shared" ref="I32:L32" si="25">H32</f>
        <v>0.14418716293315897</v>
      </c>
      <c r="J32" s="25">
        <f t="shared" si="25"/>
        <v>0.14418716293315897</v>
      </c>
      <c r="K32" s="25">
        <f t="shared" si="25"/>
        <v>0.14418716293315897</v>
      </c>
      <c r="L32" s="25">
        <f t="shared" si="25"/>
        <v>0.14418716293315897</v>
      </c>
    </row>
    <row r="33" spans="2:12" ht="18.75" x14ac:dyDescent="0.25">
      <c r="B33" s="9" t="s">
        <v>22</v>
      </c>
      <c r="C33" s="7">
        <f>C23+C25+C27+C29+C31</f>
        <v>33706.89</v>
      </c>
      <c r="D33" s="7">
        <f t="shared" ref="D33:L33" si="26">D23+D25+D27+D29+D31</f>
        <v>42621.210000000006</v>
      </c>
      <c r="E33" s="7">
        <f t="shared" si="26"/>
        <v>42307.979999999996</v>
      </c>
      <c r="F33" s="7">
        <f t="shared" si="26"/>
        <v>43001.64</v>
      </c>
      <c r="G33" s="7">
        <f t="shared" si="26"/>
        <v>28674.050000000003</v>
      </c>
      <c r="H33" s="27">
        <f t="shared" si="26"/>
        <v>55440.736680775743</v>
      </c>
      <c r="I33" s="27">
        <f t="shared" si="26"/>
        <v>56087.301377262964</v>
      </c>
      <c r="J33" s="27">
        <f t="shared" si="26"/>
        <v>57464.033267023682</v>
      </c>
      <c r="K33" s="27">
        <f t="shared" si="26"/>
        <v>59477.182448720341</v>
      </c>
      <c r="L33" s="27">
        <f t="shared" si="26"/>
        <v>61026.73117894461</v>
      </c>
    </row>
    <row r="34" spans="2:12" x14ac:dyDescent="0.25">
      <c r="B34" s="19" t="s">
        <v>217</v>
      </c>
      <c r="C34" s="20">
        <f>C33/Balance_Sheet!C74</f>
        <v>0.14959826430473994</v>
      </c>
      <c r="D34" s="20">
        <f>D33/Balance_Sheet!D74</f>
        <v>0.17261309924471066</v>
      </c>
      <c r="E34" s="20">
        <f>E33/Balance_Sheet!E74</f>
        <v>0.16474288559710279</v>
      </c>
      <c r="F34" s="20">
        <f>F33/Balance_Sheet!F74</f>
        <v>0.16841645828337409</v>
      </c>
      <c r="G34" s="20">
        <f>G33/Balance_Sheet!G74</f>
        <v>0.10915009231670288</v>
      </c>
      <c r="H34" s="28">
        <f>H33/Balance_Sheet!H74</f>
        <v>0.20098133795014431</v>
      </c>
      <c r="I34" s="28">
        <f>I33/Balance_Sheet!I74</f>
        <v>0.20098134390044295</v>
      </c>
      <c r="J34" s="28">
        <f>J33/Balance_Sheet!J74</f>
        <v>0.2009813446918757</v>
      </c>
      <c r="K34" s="28">
        <f>K33/Balance_Sheet!K74</f>
        <v>0.20098134052595756</v>
      </c>
      <c r="L34" s="28">
        <f>L33/Balance_Sheet!L74</f>
        <v>0.20098134551001251</v>
      </c>
    </row>
    <row r="35" spans="2:12" ht="18.75" x14ac:dyDescent="0.25">
      <c r="B35" s="8" t="s">
        <v>10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26">
        <f>H74*H36</f>
        <v>0</v>
      </c>
      <c r="I35" s="26">
        <f t="shared" ref="I35:L35" si="27">I74*I36</f>
        <v>0</v>
      </c>
      <c r="J35" s="26">
        <f t="shared" si="27"/>
        <v>0</v>
      </c>
      <c r="K35" s="26">
        <f t="shared" si="27"/>
        <v>0</v>
      </c>
      <c r="L35" s="26">
        <f t="shared" si="27"/>
        <v>0</v>
      </c>
    </row>
    <row r="36" spans="2:12" x14ac:dyDescent="0.25">
      <c r="B36" s="17" t="s">
        <v>218</v>
      </c>
      <c r="C36" s="18">
        <f>C35/Balance_Sheet!C74</f>
        <v>0</v>
      </c>
      <c r="D36" s="18">
        <f>D35/Balance_Sheet!D74</f>
        <v>0</v>
      </c>
      <c r="E36" s="18">
        <f>E35/Balance_Sheet!E74</f>
        <v>0</v>
      </c>
      <c r="F36" s="18">
        <f>F35/Balance_Sheet!F74</f>
        <v>0</v>
      </c>
      <c r="G36" s="18">
        <f>G35/Balance_Sheet!G74</f>
        <v>0</v>
      </c>
      <c r="H36" s="25">
        <f>MEDIAN(C36:G36)</f>
        <v>0</v>
      </c>
      <c r="I36" s="25">
        <f t="shared" ref="I36:L36" si="28">H36</f>
        <v>0</v>
      </c>
      <c r="J36" s="25">
        <f t="shared" si="28"/>
        <v>0</v>
      </c>
      <c r="K36" s="25">
        <f t="shared" si="28"/>
        <v>0</v>
      </c>
      <c r="L36" s="25">
        <f t="shared" si="28"/>
        <v>0</v>
      </c>
    </row>
    <row r="37" spans="2:12" ht="18.75" x14ac:dyDescent="0.25">
      <c r="B37" s="9" t="s">
        <v>124</v>
      </c>
      <c r="C37" s="7">
        <f>C13+C21+C33+C35</f>
        <v>225316.05000000005</v>
      </c>
      <c r="D37" s="7">
        <f t="shared" ref="D37:L37" si="29">D13+D21+D33+D35</f>
        <v>246917.58728911204</v>
      </c>
      <c r="E37" s="7">
        <f t="shared" si="29"/>
        <v>256812.18249065342</v>
      </c>
      <c r="F37" s="7">
        <f t="shared" si="29"/>
        <v>255329.20261062798</v>
      </c>
      <c r="G37" s="7">
        <f t="shared" si="29"/>
        <v>262702.93859945831</v>
      </c>
      <c r="H37" s="27">
        <f t="shared" si="29"/>
        <v>275850.17219125311</v>
      </c>
      <c r="I37" s="27">
        <f t="shared" si="29"/>
        <v>279067.20240186108</v>
      </c>
      <c r="J37" s="27">
        <f t="shared" si="29"/>
        <v>285917.24945975328</v>
      </c>
      <c r="K37" s="27">
        <f t="shared" si="29"/>
        <v>295933.85282967909</v>
      </c>
      <c r="L37" s="27">
        <f t="shared" si="29"/>
        <v>303643.75869851245</v>
      </c>
    </row>
    <row r="38" spans="2:12" x14ac:dyDescent="0.25">
      <c r="B38" s="19" t="s">
        <v>219</v>
      </c>
      <c r="C38" s="20">
        <f>C37/Balance_Sheet!C74</f>
        <v>1.0000000000000002</v>
      </c>
      <c r="D38" s="20">
        <f>D37/Balance_Sheet!D74</f>
        <v>1</v>
      </c>
      <c r="E38" s="20">
        <f>E37/Balance_Sheet!E74</f>
        <v>1.0000000000000002</v>
      </c>
      <c r="F38" s="20">
        <f>F37/Balance_Sheet!F74</f>
        <v>1</v>
      </c>
      <c r="G38" s="20">
        <f>G37/Balance_Sheet!G74</f>
        <v>1</v>
      </c>
      <c r="H38" s="28">
        <f>H37/Balance_Sheet!H74</f>
        <v>1</v>
      </c>
      <c r="I38" s="28">
        <f>I37/Balance_Sheet!I74</f>
        <v>1</v>
      </c>
      <c r="J38" s="28">
        <f>J37/Balance_Sheet!J74</f>
        <v>1</v>
      </c>
      <c r="K38" s="28">
        <f>K37/Balance_Sheet!K74</f>
        <v>1</v>
      </c>
      <c r="L38" s="28">
        <f>L37/Balance_Sheet!L74</f>
        <v>0.99999999999999978</v>
      </c>
    </row>
    <row r="39" spans="2:12" ht="18.75" x14ac:dyDescent="0.25">
      <c r="B39" s="8"/>
      <c r="C39" s="5"/>
      <c r="D39" s="4"/>
      <c r="E39" s="4"/>
      <c r="F39" s="4"/>
      <c r="G39" s="4"/>
      <c r="H39" s="26"/>
      <c r="I39" s="26"/>
      <c r="J39" s="26"/>
      <c r="K39" s="26"/>
      <c r="L39" s="26"/>
    </row>
    <row r="40" spans="2:12" ht="18.75" x14ac:dyDescent="0.25">
      <c r="B40" s="8" t="s">
        <v>26</v>
      </c>
      <c r="C40" s="5">
        <v>154831.41</v>
      </c>
      <c r="D40" s="5">
        <v>171058.02</v>
      </c>
      <c r="E40" s="5">
        <v>179449.85</v>
      </c>
      <c r="F40" s="5">
        <v>182109.02</v>
      </c>
      <c r="G40" s="5">
        <v>204626.44</v>
      </c>
      <c r="H40" s="24">
        <f>ROUND(H74*H41,2)</f>
        <v>214867.18</v>
      </c>
      <c r="I40" s="24">
        <f t="shared" ref="I40:L40" si="30">ROUND(I74*I41,2)</f>
        <v>217373.01</v>
      </c>
      <c r="J40" s="24">
        <f t="shared" si="30"/>
        <v>222708.7</v>
      </c>
      <c r="K40" s="24">
        <f t="shared" si="30"/>
        <v>230510.9</v>
      </c>
      <c r="L40" s="24">
        <f t="shared" si="30"/>
        <v>236516.35</v>
      </c>
    </row>
    <row r="41" spans="2:12" x14ac:dyDescent="0.25">
      <c r="B41" s="17" t="s">
        <v>220</v>
      </c>
      <c r="C41" s="18">
        <f>C40/Balance_Sheet!C74</f>
        <v>0.6871743490976342</v>
      </c>
      <c r="D41" s="18">
        <f>D40/Balance_Sheet!D74</f>
        <v>0.69277373830690625</v>
      </c>
      <c r="E41" s="18">
        <f>E40/Balance_Sheet!E74</f>
        <v>0.69875910192278767</v>
      </c>
      <c r="F41" s="18">
        <f>F40/Balance_Sheet!F74</f>
        <v>0.71323224346457803</v>
      </c>
      <c r="G41" s="18">
        <f>G40/Balance_Sheet!G74</f>
        <v>0.77892710713827518</v>
      </c>
      <c r="H41" s="25">
        <f>G41</f>
        <v>0.77892710713827518</v>
      </c>
      <c r="I41" s="25">
        <f t="shared" ref="I41:L41" si="31">H41</f>
        <v>0.77892710713827518</v>
      </c>
      <c r="J41" s="25">
        <f t="shared" si="31"/>
        <v>0.77892710713827518</v>
      </c>
      <c r="K41" s="25">
        <f t="shared" si="31"/>
        <v>0.77892710713827518</v>
      </c>
      <c r="L41" s="25">
        <f t="shared" si="31"/>
        <v>0.77892710713827518</v>
      </c>
    </row>
    <row r="42" spans="2:12" ht="18.75" x14ac:dyDescent="0.25">
      <c r="B42" s="8" t="s">
        <v>27</v>
      </c>
      <c r="C42" s="4">
        <v>1366.86</v>
      </c>
      <c r="D42" s="5">
        <v>1681.6</v>
      </c>
      <c r="E42" s="5">
        <v>1662.28</v>
      </c>
      <c r="F42" s="5">
        <v>1616.95</v>
      </c>
      <c r="G42" s="5">
        <v>0</v>
      </c>
      <c r="H42" s="24">
        <f>ROUND(H74*H43,2)</f>
        <v>0</v>
      </c>
      <c r="I42" s="24">
        <f t="shared" ref="I42:L42" si="32">ROUND(I74*I43,2)</f>
        <v>0</v>
      </c>
      <c r="J42" s="24">
        <f t="shared" si="32"/>
        <v>0</v>
      </c>
      <c r="K42" s="24">
        <f t="shared" si="32"/>
        <v>0</v>
      </c>
      <c r="L42" s="24">
        <f t="shared" si="32"/>
        <v>0</v>
      </c>
    </row>
    <row r="43" spans="2:12" x14ac:dyDescent="0.25">
      <c r="B43" s="17" t="s">
        <v>221</v>
      </c>
      <c r="C43" s="18">
        <f>C42/Balance_Sheet!C74</f>
        <v>6.066412046545286E-3</v>
      </c>
      <c r="D43" s="18">
        <f>D42/Balance_Sheet!D74</f>
        <v>6.8103694777765676E-3</v>
      </c>
      <c r="E43" s="18">
        <f>E42/Balance_Sheet!E74</f>
        <v>6.4727458949907805E-3</v>
      </c>
      <c r="F43" s="18">
        <f>F42/Balance_Sheet!F74</f>
        <v>6.3328048004983473E-3</v>
      </c>
      <c r="G43" s="18">
        <f>G42/Balance_Sheet!G74</f>
        <v>0</v>
      </c>
      <c r="H43" s="25">
        <f>G43</f>
        <v>0</v>
      </c>
      <c r="I43" s="25">
        <f t="shared" ref="I43:L43" si="33">H43</f>
        <v>0</v>
      </c>
      <c r="J43" s="25">
        <f t="shared" si="33"/>
        <v>0</v>
      </c>
      <c r="K43" s="25">
        <f t="shared" si="33"/>
        <v>0</v>
      </c>
      <c r="L43" s="25">
        <f t="shared" si="33"/>
        <v>0</v>
      </c>
    </row>
    <row r="44" spans="2:12" ht="18.75" x14ac:dyDescent="0.25">
      <c r="B44" s="8" t="s">
        <v>125</v>
      </c>
      <c r="C44" s="4"/>
      <c r="D44" s="5">
        <f>Income_Statement!D31</f>
        <v>10540.95</v>
      </c>
      <c r="E44" s="5">
        <f>Income_Statement!E31+D44</f>
        <v>22147.99</v>
      </c>
      <c r="F44" s="5">
        <f>Income_Statement!F31+E44</f>
        <v>34187.18</v>
      </c>
      <c r="G44" s="5">
        <f>Income_Statement!G31+F44</f>
        <v>47058.84</v>
      </c>
      <c r="H44" s="24">
        <f>Income_Statement!H31+G44</f>
        <v>60574.675422435146</v>
      </c>
      <c r="I44" s="24">
        <f>Income_Statement!I31+H44</f>
        <v>74248.135596480104</v>
      </c>
      <c r="J44" s="24">
        <f>Income_Statement!J31+I44</f>
        <v>88257.227800996785</v>
      </c>
      <c r="K44" s="24">
        <f>Income_Statement!K31+J44</f>
        <v>102757.10343336375</v>
      </c>
      <c r="L44" s="24">
        <f>Income_Statement!L31+K44</f>
        <v>117634.74115037138</v>
      </c>
    </row>
    <row r="45" spans="2:12" x14ac:dyDescent="0.25">
      <c r="B45" s="17" t="s">
        <v>222</v>
      </c>
      <c r="C45" s="18">
        <f>C44/Balance_Sheet!C74</f>
        <v>0</v>
      </c>
      <c r="D45" s="18">
        <f>D44/Balance_Sheet!D74</f>
        <v>4.2690154701932041E-2</v>
      </c>
      <c r="E45" s="18">
        <f>E44/Balance_Sheet!E74</f>
        <v>8.6241975692901846E-2</v>
      </c>
      <c r="F45" s="18">
        <f>F44/Balance_Sheet!F74</f>
        <v>0.13389451598348812</v>
      </c>
      <c r="G45" s="18">
        <f>G44/Balance_Sheet!G74</f>
        <v>0.17913328358975969</v>
      </c>
      <c r="H45" s="25">
        <f>H44/Balance_Sheet!H74</f>
        <v>0.21959266851730427</v>
      </c>
      <c r="I45" s="25">
        <f>I44/Balance_Sheet!I74</f>
        <v>0.26605826466687993</v>
      </c>
      <c r="J45" s="25">
        <f>J44/Balance_Sheet!J74</f>
        <v>0.30868101860856839</v>
      </c>
      <c r="K45" s="25">
        <f>K44/Balance_Sheet!K74</f>
        <v>0.34722997200494082</v>
      </c>
      <c r="L45" s="25">
        <f>L44/Balance_Sheet!L74</f>
        <v>0.38741037080617474</v>
      </c>
    </row>
    <row r="46" spans="2:12" ht="18.75" x14ac:dyDescent="0.25">
      <c r="B46" s="9" t="s">
        <v>126</v>
      </c>
      <c r="C46" s="7">
        <f>C40+C42-C44</f>
        <v>156198.26999999999</v>
      </c>
      <c r="D46" s="7">
        <f t="shared" ref="D46:L46" si="34">D40+D42-D44</f>
        <v>162198.66999999998</v>
      </c>
      <c r="E46" s="7">
        <f t="shared" si="34"/>
        <v>158964.14000000001</v>
      </c>
      <c r="F46" s="7">
        <f t="shared" si="34"/>
        <v>149538.79</v>
      </c>
      <c r="G46" s="7">
        <f t="shared" si="34"/>
        <v>157567.6</v>
      </c>
      <c r="H46" s="27">
        <f t="shared" si="34"/>
        <v>154292.50457756483</v>
      </c>
      <c r="I46" s="27">
        <f t="shared" si="34"/>
        <v>143124.87440351991</v>
      </c>
      <c r="J46" s="27">
        <f t="shared" si="34"/>
        <v>134451.47219900321</v>
      </c>
      <c r="K46" s="27">
        <f t="shared" si="34"/>
        <v>127753.79656663624</v>
      </c>
      <c r="L46" s="27">
        <f t="shared" si="34"/>
        <v>118881.60884962862</v>
      </c>
    </row>
    <row r="47" spans="2:12" x14ac:dyDescent="0.25">
      <c r="B47" s="19" t="s">
        <v>223</v>
      </c>
      <c r="C47" s="20">
        <f>C46/Balance_Sheet!C74</f>
        <v>0.69324076114417943</v>
      </c>
      <c r="D47" s="20">
        <f>D46/Balance_Sheet!D74</f>
        <v>0.65689395308275078</v>
      </c>
      <c r="E47" s="20">
        <f>E46/Balance_Sheet!E74</f>
        <v>0.61898987212487655</v>
      </c>
      <c r="F47" s="20">
        <f>F46/Balance_Sheet!F74</f>
        <v>0.58567053228158839</v>
      </c>
      <c r="G47" s="20">
        <f>G46/Balance_Sheet!G74</f>
        <v>0.59979382354851551</v>
      </c>
      <c r="H47" s="28">
        <f>H46/Balance_Sheet!H74</f>
        <v>0.55933445084308442</v>
      </c>
      <c r="I47" s="28">
        <f>I46/Balance_Sheet!I74</f>
        <v>0.51286884725858206</v>
      </c>
      <c r="J47" s="28">
        <f>J46/Balance_Sheet!J74</f>
        <v>0.4702461025106115</v>
      </c>
      <c r="K47" s="28">
        <f>K46/Balance_Sheet!K74</f>
        <v>0.43169713550873579</v>
      </c>
      <c r="L47" s="28">
        <f>L46/Balance_Sheet!L74</f>
        <v>0.39151672130256437</v>
      </c>
    </row>
    <row r="48" spans="2:12" ht="18.75" x14ac:dyDescent="0.25">
      <c r="B48" s="8" t="s">
        <v>30</v>
      </c>
      <c r="C48" s="5">
        <v>1223.97</v>
      </c>
      <c r="D48" s="5">
        <v>1296.42</v>
      </c>
      <c r="E48" s="5">
        <v>1431.08</v>
      </c>
      <c r="F48" s="5">
        <v>1485.55</v>
      </c>
      <c r="G48" s="5">
        <v>3787.64</v>
      </c>
      <c r="H48" s="24">
        <f>H74*H49</f>
        <v>1537.1687611970112</v>
      </c>
      <c r="I48" s="24">
        <f t="shared" ref="I48:L48" si="35">I74*I49</f>
        <v>1555.0955883013462</v>
      </c>
      <c r="J48" s="24">
        <f t="shared" si="35"/>
        <v>1593.2673185071949</v>
      </c>
      <c r="K48" s="24">
        <f t="shared" si="35"/>
        <v>1649.0846111745905</v>
      </c>
      <c r="L48" s="24">
        <f t="shared" si="35"/>
        <v>1692.0478848937869</v>
      </c>
    </row>
    <row r="49" spans="2:12" x14ac:dyDescent="0.25">
      <c r="B49" s="17" t="s">
        <v>224</v>
      </c>
      <c r="C49" s="18">
        <f>C48/Balance_Sheet!C74</f>
        <v>5.4322361855713343E-3</v>
      </c>
      <c r="D49" s="18">
        <f>D48/Balance_Sheet!D74</f>
        <v>5.2504157935175421E-3</v>
      </c>
      <c r="E49" s="18">
        <f>E48/Balance_Sheet!E74</f>
        <v>5.5724770769084667E-3</v>
      </c>
      <c r="F49" s="18">
        <f>F48/Balance_Sheet!F74</f>
        <v>5.8181750650176684E-3</v>
      </c>
      <c r="G49" s="18">
        <f>G48/Balance_Sheet!G74</f>
        <v>1.4417958246652859E-2</v>
      </c>
      <c r="H49" s="25">
        <f>MEDIAN(C49:G49)</f>
        <v>5.5724770769084667E-3</v>
      </c>
      <c r="I49" s="25">
        <f t="shared" ref="I49:L49" si="36">H49</f>
        <v>5.5724770769084667E-3</v>
      </c>
      <c r="J49" s="25">
        <f t="shared" si="36"/>
        <v>5.5724770769084667E-3</v>
      </c>
      <c r="K49" s="25">
        <f t="shared" si="36"/>
        <v>5.5724770769084667E-3</v>
      </c>
      <c r="L49" s="25">
        <f t="shared" si="36"/>
        <v>5.5724770769084667E-3</v>
      </c>
    </row>
    <row r="50" spans="2:12" ht="18.75" x14ac:dyDescent="0.25">
      <c r="B50" s="8" t="s">
        <v>36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26">
        <f>H74*H51</f>
        <v>0</v>
      </c>
      <c r="I50" s="26">
        <f t="shared" ref="I50:L50" si="37">I74*I51</f>
        <v>0</v>
      </c>
      <c r="J50" s="26">
        <f t="shared" si="37"/>
        <v>0</v>
      </c>
      <c r="K50" s="26">
        <f t="shared" si="37"/>
        <v>0</v>
      </c>
      <c r="L50" s="26">
        <f t="shared" si="37"/>
        <v>0</v>
      </c>
    </row>
    <row r="51" spans="2:12" x14ac:dyDescent="0.25">
      <c r="B51" s="17" t="s">
        <v>225</v>
      </c>
      <c r="C51" s="18">
        <f>C50/Balance_Sheet!C74</f>
        <v>0</v>
      </c>
      <c r="D51" s="18">
        <f>D50/Balance_Sheet!D74</f>
        <v>0</v>
      </c>
      <c r="E51" s="18">
        <f>E50/Balance_Sheet!E74</f>
        <v>0</v>
      </c>
      <c r="F51" s="18">
        <f>F50/Balance_Sheet!F74</f>
        <v>0</v>
      </c>
      <c r="G51" s="18">
        <f>G50/Balance_Sheet!G74</f>
        <v>0</v>
      </c>
      <c r="H51" s="25">
        <f>MEDIAN(C51:G51)</f>
        <v>0</v>
      </c>
      <c r="I51" s="25">
        <f t="shared" ref="I51:L51" si="38">H51</f>
        <v>0</v>
      </c>
      <c r="J51" s="25">
        <f t="shared" si="38"/>
        <v>0</v>
      </c>
      <c r="K51" s="25">
        <f t="shared" si="38"/>
        <v>0</v>
      </c>
      <c r="L51" s="25">
        <f t="shared" si="38"/>
        <v>0</v>
      </c>
    </row>
    <row r="52" spans="2:12" ht="18.75" x14ac:dyDescent="0.25">
      <c r="B52" s="8" t="s">
        <v>28</v>
      </c>
      <c r="C52" s="4">
        <v>37668.57</v>
      </c>
      <c r="D52" s="5">
        <v>37388.47</v>
      </c>
      <c r="E52" s="5">
        <v>34904.410000000003</v>
      </c>
      <c r="F52" s="5">
        <v>24679.8</v>
      </c>
      <c r="G52" s="5">
        <v>0</v>
      </c>
      <c r="H52" s="24">
        <f>H74*H53</f>
        <v>37491.942225460902</v>
      </c>
      <c r="I52" s="24">
        <f t="shared" ref="I52:L52" si="39">I74*I53</f>
        <v>37929.182158412812</v>
      </c>
      <c r="J52" s="24">
        <f t="shared" si="39"/>
        <v>38860.200495273304</v>
      </c>
      <c r="K52" s="24">
        <f t="shared" si="39"/>
        <v>40221.598647964121</v>
      </c>
      <c r="L52" s="24">
        <f t="shared" si="39"/>
        <v>41269.483965931708</v>
      </c>
    </row>
    <row r="53" spans="2:12" x14ac:dyDescent="0.25">
      <c r="B53" s="17" t="s">
        <v>226</v>
      </c>
      <c r="C53" s="18">
        <f>C52/Balance_Sheet!C74</f>
        <v>0.16718103304225332</v>
      </c>
      <c r="D53" s="18">
        <f>D52/Balance_Sheet!D74</f>
        <v>0.15142084616363277</v>
      </c>
      <c r="E53" s="18">
        <f>E52/Balance_Sheet!E74</f>
        <v>0.13591415197474263</v>
      </c>
      <c r="F53" s="18">
        <f>F52/Balance_Sheet!F74</f>
        <v>9.6658743879117534E-2</v>
      </c>
      <c r="G53" s="18">
        <f>G52/Balance_Sheet!G74</f>
        <v>0</v>
      </c>
      <c r="H53" s="25">
        <f>MEDIAN(C53:G53)</f>
        <v>0.13591415197474263</v>
      </c>
      <c r="I53" s="25">
        <f t="shared" ref="I53:L53" si="40">H53</f>
        <v>0.13591415197474263</v>
      </c>
      <c r="J53" s="25">
        <f t="shared" si="40"/>
        <v>0.13591415197474263</v>
      </c>
      <c r="K53" s="25">
        <f t="shared" si="40"/>
        <v>0.13591415197474263</v>
      </c>
      <c r="L53" s="25">
        <f t="shared" si="40"/>
        <v>0.13591415197474263</v>
      </c>
    </row>
    <row r="54" spans="2:12" ht="18.75" x14ac:dyDescent="0.25">
      <c r="B54" s="9" t="s">
        <v>127</v>
      </c>
      <c r="C54" s="7">
        <f>C46+C48+C50+C52</f>
        <v>195090.81</v>
      </c>
      <c r="D54" s="7">
        <f t="shared" ref="D54:L54" si="41">D46+D48+D50+D52</f>
        <v>200883.56</v>
      </c>
      <c r="E54" s="7">
        <f t="shared" si="41"/>
        <v>195299.63</v>
      </c>
      <c r="F54" s="7">
        <f t="shared" si="41"/>
        <v>175704.13999999998</v>
      </c>
      <c r="G54" s="7">
        <f t="shared" si="41"/>
        <v>161355.24000000002</v>
      </c>
      <c r="H54" s="27">
        <f t="shared" si="41"/>
        <v>193321.61556422274</v>
      </c>
      <c r="I54" s="27">
        <f t="shared" si="41"/>
        <v>182609.15215023406</v>
      </c>
      <c r="J54" s="27">
        <f t="shared" si="41"/>
        <v>174904.94001278371</v>
      </c>
      <c r="K54" s="27">
        <f t="shared" si="41"/>
        <v>169624.47982577496</v>
      </c>
      <c r="L54" s="27">
        <f t="shared" si="41"/>
        <v>161843.14070045413</v>
      </c>
    </row>
    <row r="55" spans="2:12" x14ac:dyDescent="0.25">
      <c r="B55" s="19" t="s">
        <v>227</v>
      </c>
      <c r="C55" s="20">
        <f>C54/Balance_Sheet!C74</f>
        <v>0.86585403037200415</v>
      </c>
      <c r="D55" s="20">
        <f>D54/Balance_Sheet!D74</f>
        <v>0.8135652150399012</v>
      </c>
      <c r="E55" s="20">
        <f>E54/Balance_Sheet!E74</f>
        <v>0.76047650117652765</v>
      </c>
      <c r="F55" s="20">
        <f>F54/Balance_Sheet!F74</f>
        <v>0.68814745122572352</v>
      </c>
      <c r="G55" s="20">
        <f>G54/Balance_Sheet!G74</f>
        <v>0.61421178179516844</v>
      </c>
      <c r="H55" s="28">
        <f>H54/Balance_Sheet!H74</f>
        <v>0.70082107989473552</v>
      </c>
      <c r="I55" s="28">
        <f>I54/Balance_Sheet!I74</f>
        <v>0.65435547631023316</v>
      </c>
      <c r="J55" s="28">
        <f>J54/Balance_Sheet!J74</f>
        <v>0.6117327315622626</v>
      </c>
      <c r="K55" s="28">
        <f>K54/Balance_Sheet!K74</f>
        <v>0.57318376456038689</v>
      </c>
      <c r="L55" s="28">
        <f>L54/Balance_Sheet!L74</f>
        <v>0.53300335035421542</v>
      </c>
    </row>
    <row r="56" spans="2:12" ht="18.75" x14ac:dyDescent="0.25">
      <c r="B56" s="8" t="s">
        <v>31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26">
        <f>H74*H57</f>
        <v>0</v>
      </c>
      <c r="I56" s="26">
        <f t="shared" ref="I56:L56" si="42">I74*I57</f>
        <v>0</v>
      </c>
      <c r="J56" s="26">
        <f t="shared" si="42"/>
        <v>0</v>
      </c>
      <c r="K56" s="26">
        <f t="shared" si="42"/>
        <v>0</v>
      </c>
      <c r="L56" s="26">
        <f t="shared" si="42"/>
        <v>0</v>
      </c>
    </row>
    <row r="57" spans="2:12" x14ac:dyDescent="0.25">
      <c r="B57" s="17" t="s">
        <v>228</v>
      </c>
      <c r="C57" s="18">
        <f>C56/Balance_Sheet!C74</f>
        <v>0</v>
      </c>
      <c r="D57" s="18">
        <f>D56/Balance_Sheet!D74</f>
        <v>0</v>
      </c>
      <c r="E57" s="18">
        <f>E56/Balance_Sheet!E74</f>
        <v>0</v>
      </c>
      <c r="F57" s="18">
        <f>F56/Balance_Sheet!F74</f>
        <v>0</v>
      </c>
      <c r="G57" s="18">
        <f>G56/Balance_Sheet!G74</f>
        <v>0</v>
      </c>
      <c r="H57" s="25">
        <f>MEDIAN(C57:G57)</f>
        <v>0</v>
      </c>
      <c r="I57" s="25">
        <f t="shared" ref="I57:L57" si="43">H57</f>
        <v>0</v>
      </c>
      <c r="J57" s="25">
        <f t="shared" si="43"/>
        <v>0</v>
      </c>
      <c r="K57" s="25">
        <f t="shared" si="43"/>
        <v>0</v>
      </c>
      <c r="L57" s="25">
        <f t="shared" si="43"/>
        <v>0</v>
      </c>
    </row>
    <row r="58" spans="2:12" ht="18.75" x14ac:dyDescent="0.25">
      <c r="B58" s="8" t="s">
        <v>32</v>
      </c>
      <c r="C58" s="4">
        <v>139.99</v>
      </c>
      <c r="D58" s="4">
        <v>188.13</v>
      </c>
      <c r="E58" s="4">
        <v>271.58</v>
      </c>
      <c r="F58" s="4">
        <v>322.58</v>
      </c>
      <c r="G58" s="4">
        <v>406.45</v>
      </c>
      <c r="H58" s="26">
        <f>ROUND(H74*H59,2)</f>
        <v>426.79</v>
      </c>
      <c r="I58" s="26">
        <f t="shared" ref="I58:L58" si="44">ROUND(I74*I59,2)</f>
        <v>431.77</v>
      </c>
      <c r="J58" s="26">
        <f t="shared" si="44"/>
        <v>442.37</v>
      </c>
      <c r="K58" s="26">
        <f t="shared" si="44"/>
        <v>457.86</v>
      </c>
      <c r="L58" s="26">
        <f t="shared" si="44"/>
        <v>469.79</v>
      </c>
    </row>
    <row r="59" spans="2:12" x14ac:dyDescent="0.25">
      <c r="B59" s="17" t="s">
        <v>229</v>
      </c>
      <c r="C59" s="18">
        <f>C58/Balance_Sheet!C74</f>
        <v>6.213050512824098E-4</v>
      </c>
      <c r="D59" s="18">
        <f>D58/Balance_Sheet!D74</f>
        <v>7.6191413526052905E-4</v>
      </c>
      <c r="E59" s="18">
        <f>E58/Balance_Sheet!E74</f>
        <v>1.0575043495449599E-3</v>
      </c>
      <c r="F59" s="18">
        <f>F58/Balance_Sheet!F74</f>
        <v>1.2633885850179391E-3</v>
      </c>
      <c r="G59" s="18">
        <f>G58/Balance_Sheet!G74</f>
        <v>1.5471848246802903E-3</v>
      </c>
      <c r="H59" s="25">
        <f>G59</f>
        <v>1.5471848246802903E-3</v>
      </c>
      <c r="I59" s="25">
        <f t="shared" ref="I59:L59" si="45">H59</f>
        <v>1.5471848246802903E-3</v>
      </c>
      <c r="J59" s="25">
        <f t="shared" si="45"/>
        <v>1.5471848246802903E-3</v>
      </c>
      <c r="K59" s="25">
        <f t="shared" si="45"/>
        <v>1.5471848246802903E-3</v>
      </c>
      <c r="L59" s="25">
        <f t="shared" si="45"/>
        <v>1.5471848246802903E-3</v>
      </c>
    </row>
    <row r="60" spans="2:12" ht="18.75" x14ac:dyDescent="0.25">
      <c r="B60" s="8" t="s">
        <v>33</v>
      </c>
      <c r="C60" s="5">
        <v>6614.03</v>
      </c>
      <c r="D60" s="5">
        <v>9757.2000000000007</v>
      </c>
      <c r="E60" s="5">
        <v>10426.030000000001</v>
      </c>
      <c r="F60" s="5">
        <v>9359.16</v>
      </c>
      <c r="G60" s="5">
        <v>9568.82</v>
      </c>
      <c r="H60" s="24"/>
      <c r="I60" s="24"/>
      <c r="J60" s="24"/>
      <c r="K60" s="24"/>
      <c r="L60" s="24"/>
    </row>
    <row r="61" spans="2:12" x14ac:dyDescent="0.25">
      <c r="B61" s="17" t="s">
        <v>230</v>
      </c>
      <c r="C61" s="18">
        <f>C60/Balance_Sheet!C74</f>
        <v>2.9354455663500225E-2</v>
      </c>
      <c r="D61" s="18">
        <f>D60/Balance_Sheet!D74</f>
        <v>3.9516018713464281E-2</v>
      </c>
      <c r="E61" s="18">
        <f>E60/Balance_Sheet!E74</f>
        <v>4.0597879348575894E-2</v>
      </c>
      <c r="F61" s="18">
        <f>F60/Balance_Sheet!F74</f>
        <v>3.6655266629538399E-2</v>
      </c>
      <c r="G61" s="18">
        <f>G60/Balance_Sheet!G74</f>
        <v>3.6424487868365739E-2</v>
      </c>
      <c r="H61" s="25"/>
      <c r="I61" s="25"/>
      <c r="J61" s="25"/>
      <c r="K61" s="25"/>
      <c r="L61" s="25"/>
    </row>
    <row r="62" spans="2:12" ht="18.75" x14ac:dyDescent="0.25">
      <c r="B62" s="8" t="s">
        <v>40</v>
      </c>
      <c r="C62" s="4">
        <v>46.88</v>
      </c>
      <c r="D62" s="4">
        <v>130.99</v>
      </c>
      <c r="E62" s="4">
        <v>152.37</v>
      </c>
      <c r="F62" s="4">
        <v>127.05</v>
      </c>
      <c r="G62" s="4">
        <v>98.59</v>
      </c>
      <c r="H62" s="26">
        <f>ROUND(H74*H63,2)</f>
        <v>103.52</v>
      </c>
      <c r="I62" s="26">
        <f t="shared" ref="I62:L62" si="46">ROUND(I74*I63,2)</f>
        <v>104.73</v>
      </c>
      <c r="J62" s="26">
        <f t="shared" si="46"/>
        <v>107.3</v>
      </c>
      <c r="K62" s="26">
        <f t="shared" si="46"/>
        <v>111.06</v>
      </c>
      <c r="L62" s="26">
        <f t="shared" si="46"/>
        <v>113.95</v>
      </c>
    </row>
    <row r="63" spans="2:12" x14ac:dyDescent="0.25">
      <c r="B63" s="17" t="s">
        <v>231</v>
      </c>
      <c r="C63" s="18">
        <f>C62/Balance_Sheet!C74</f>
        <v>2.0806329597913687E-4</v>
      </c>
      <c r="D63" s="18">
        <f>D62/Balance_Sheet!D74</f>
        <v>5.30500890755205E-4</v>
      </c>
      <c r="E63" s="18">
        <f>E62/Balance_Sheet!E74</f>
        <v>5.9331297496194703E-4</v>
      </c>
      <c r="F63" s="18">
        <f>F62/Balance_Sheet!F74</f>
        <v>4.9759290633805315E-4</v>
      </c>
      <c r="G63" s="18">
        <f>G62/Balance_Sheet!G74</f>
        <v>3.752908152668959E-4</v>
      </c>
      <c r="H63" s="25">
        <f>G63</f>
        <v>3.752908152668959E-4</v>
      </c>
      <c r="I63" s="25">
        <f t="shared" ref="I63:L63" si="47">H63</f>
        <v>3.752908152668959E-4</v>
      </c>
      <c r="J63" s="25">
        <f t="shared" si="47"/>
        <v>3.752908152668959E-4</v>
      </c>
      <c r="K63" s="25">
        <f t="shared" si="47"/>
        <v>3.752908152668959E-4</v>
      </c>
      <c r="L63" s="25">
        <f t="shared" si="47"/>
        <v>3.752908152668959E-4</v>
      </c>
    </row>
    <row r="64" spans="2:12" ht="18.75" x14ac:dyDescent="0.25">
      <c r="B64" s="8" t="s">
        <v>41</v>
      </c>
      <c r="C64" s="5">
        <v>16545.95</v>
      </c>
      <c r="D64" s="5">
        <v>15302.17</v>
      </c>
      <c r="E64" s="5">
        <v>16169.48</v>
      </c>
      <c r="F64" s="5">
        <v>25489.84</v>
      </c>
      <c r="G64" s="5">
        <v>16575.07</v>
      </c>
      <c r="H64" s="24">
        <f>H74*H65</f>
        <v>17404.586100018227</v>
      </c>
      <c r="I64" s="24">
        <f t="shared" ref="I64:L64" si="48">I74*I65</f>
        <v>17607.562515954869</v>
      </c>
      <c r="J64" s="24">
        <f t="shared" si="48"/>
        <v>18039.761752450548</v>
      </c>
      <c r="K64" s="24">
        <f t="shared" si="48"/>
        <v>18671.752787282083</v>
      </c>
      <c r="L64" s="24">
        <f t="shared" si="48"/>
        <v>19158.204252768614</v>
      </c>
    </row>
    <row r="65" spans="2:12" x14ac:dyDescent="0.25">
      <c r="B65" s="17" t="s">
        <v>232</v>
      </c>
      <c r="C65" s="18">
        <f>C64/Balance_Sheet!C74</f>
        <v>7.3434404695093852E-2</v>
      </c>
      <c r="D65" s="18">
        <f>D64/Balance_Sheet!D74</f>
        <v>6.19727827733993E-2</v>
      </c>
      <c r="E65" s="18">
        <f>E64/Balance_Sheet!E74</f>
        <v>6.2962277891892779E-2</v>
      </c>
      <c r="F65" s="18">
        <f>F64/Balance_Sheet!F74</f>
        <v>9.9831275621345611E-2</v>
      </c>
      <c r="G65" s="18">
        <f>G64/Balance_Sheet!G74</f>
        <v>6.3094345607119059E-2</v>
      </c>
      <c r="H65" s="25">
        <f>MEDIAN(C65:G65)</f>
        <v>6.3094345607119059E-2</v>
      </c>
      <c r="I65" s="25">
        <f t="shared" ref="I65:L65" si="49">H65</f>
        <v>6.3094345607119059E-2</v>
      </c>
      <c r="J65" s="25">
        <f t="shared" si="49"/>
        <v>6.3094345607119059E-2</v>
      </c>
      <c r="K65" s="25">
        <f t="shared" si="49"/>
        <v>6.3094345607119059E-2</v>
      </c>
      <c r="L65" s="25">
        <f t="shared" si="49"/>
        <v>6.3094345607119059E-2</v>
      </c>
    </row>
    <row r="66" spans="2:12" ht="18.75" x14ac:dyDescent="0.25">
      <c r="B66" s="8" t="s">
        <v>37</v>
      </c>
      <c r="C66" s="5">
        <v>1049.3499999999999</v>
      </c>
      <c r="D66" s="5">
        <v>1247.25</v>
      </c>
      <c r="E66" s="5">
        <v>1433.46</v>
      </c>
      <c r="F66" s="5">
        <v>1366.94</v>
      </c>
      <c r="G66" s="5">
        <v>1357.17</v>
      </c>
      <c r="H66" s="24">
        <f>H74*H67</f>
        <v>1425.0909418398676</v>
      </c>
      <c r="I66" s="24">
        <f t="shared" ref="I66:L66" si="50">I74*I67</f>
        <v>1441.7106908012133</v>
      </c>
      <c r="J66" s="24">
        <f t="shared" si="50"/>
        <v>1477.0992495098549</v>
      </c>
      <c r="K66" s="24">
        <f t="shared" si="50"/>
        <v>1528.846800062722</v>
      </c>
      <c r="L66" s="24">
        <f t="shared" si="50"/>
        <v>1568.6775419790067</v>
      </c>
    </row>
    <row r="67" spans="2:12" x14ac:dyDescent="0.25">
      <c r="B67" s="17" t="s">
        <v>233</v>
      </c>
      <c r="C67" s="18">
        <f>C66/Balance_Sheet!C74</f>
        <v>4.6572359137309572E-3</v>
      </c>
      <c r="D67" s="18">
        <f>D66/Balance_Sheet!D74</f>
        <v>5.0512805251884067E-3</v>
      </c>
      <c r="E67" s="18">
        <f>E66/Balance_Sheet!E74</f>
        <v>5.5817445500357847E-3</v>
      </c>
      <c r="F67" s="18">
        <f>F66/Balance_Sheet!F74</f>
        <v>5.3536375237287553E-3</v>
      </c>
      <c r="G67" s="18">
        <f>G66/Balance_Sheet!G74</f>
        <v>5.1661774597400656E-3</v>
      </c>
      <c r="H67" s="25">
        <f>MEDIAN(C67:G67)</f>
        <v>5.1661774597400656E-3</v>
      </c>
      <c r="I67" s="25">
        <f t="shared" ref="I67:L67" si="51">H67</f>
        <v>5.1661774597400656E-3</v>
      </c>
      <c r="J67" s="25">
        <f t="shared" si="51"/>
        <v>5.1661774597400656E-3</v>
      </c>
      <c r="K67" s="25">
        <f t="shared" si="51"/>
        <v>5.1661774597400656E-3</v>
      </c>
      <c r="L67" s="25">
        <f t="shared" si="51"/>
        <v>5.1661774597400656E-3</v>
      </c>
    </row>
    <row r="68" spans="2:12" ht="18.75" x14ac:dyDescent="0.25">
      <c r="B68" s="8" t="s">
        <v>38</v>
      </c>
      <c r="C68" s="5">
        <v>3640.02</v>
      </c>
      <c r="D68" s="5">
        <v>4728.1000000000004</v>
      </c>
      <c r="E68" s="5">
        <v>5040.71</v>
      </c>
      <c r="F68" s="5">
        <v>3675.53</v>
      </c>
      <c r="G68" s="5">
        <v>9475.07</v>
      </c>
      <c r="H68" s="24">
        <f>H69*H74</f>
        <v>8175.4957451444598</v>
      </c>
      <c r="I68" s="24">
        <f t="shared" ref="I68:L68" si="52">I69*I74</f>
        <v>8270.8403178518201</v>
      </c>
      <c r="J68" s="24">
        <f t="shared" si="52"/>
        <v>8473.8582465011787</v>
      </c>
      <c r="K68" s="24">
        <f t="shared" si="52"/>
        <v>8770.724830201736</v>
      </c>
      <c r="L68" s="24">
        <f t="shared" si="52"/>
        <v>8999.2267815523774</v>
      </c>
    </row>
    <row r="69" spans="2:12" x14ac:dyDescent="0.25">
      <c r="B69" s="17" t="s">
        <v>234</v>
      </c>
      <c r="C69" s="18">
        <f>C68/Balance_Sheet!C74</f>
        <v>1.6155174032209424E-2</v>
      </c>
      <c r="D69" s="18">
        <f>D68/Balance_Sheet!D74</f>
        <v>1.9148494248260817E-2</v>
      </c>
      <c r="E69" s="18">
        <f>E68/Balance_Sheet!E74</f>
        <v>1.962800187714403E-2</v>
      </c>
      <c r="F69" s="18">
        <f>F68/Balance_Sheet!F74</f>
        <v>1.4395258992780043E-2</v>
      </c>
      <c r="G69" s="18">
        <f>G68/Balance_Sheet!G74</f>
        <v>3.6067620904867703E-2</v>
      </c>
      <c r="H69" s="25">
        <f>GROWTH(C69:G69,C4:G4,H4)</f>
        <v>2.9637450215097946E-2</v>
      </c>
      <c r="I69" s="25">
        <f t="shared" ref="I69:L69" si="53">H69</f>
        <v>2.9637450215097946E-2</v>
      </c>
      <c r="J69" s="25">
        <f t="shared" si="53"/>
        <v>2.9637450215097946E-2</v>
      </c>
      <c r="K69" s="25">
        <f t="shared" si="53"/>
        <v>2.9637450215097946E-2</v>
      </c>
      <c r="L69" s="25">
        <f t="shared" si="53"/>
        <v>2.9637450215097946E-2</v>
      </c>
    </row>
    <row r="70" spans="2:12" ht="18.75" x14ac:dyDescent="0.25">
      <c r="B70" s="8" t="s">
        <v>39</v>
      </c>
      <c r="C70" s="5">
        <v>2189.02</v>
      </c>
      <c r="D70" s="5">
        <f>CashFlow_Statement!D48+C70</f>
        <v>14680.187289112033</v>
      </c>
      <c r="E70" s="5">
        <f>CashFlow_Statement!E48+D70</f>
        <v>28018.922490653393</v>
      </c>
      <c r="F70" s="5">
        <f>CashFlow_Statement!F48+E70</f>
        <v>39283.96261062799</v>
      </c>
      <c r="G70" s="5">
        <f>CashFlow_Statement!G48+F70</f>
        <v>63866.528599458325</v>
      </c>
      <c r="H70" s="24">
        <f>CashFlow_Statement!H48+G70</f>
        <v>95125.623459808761</v>
      </c>
      <c r="I70" s="24">
        <f>CashFlow_Statement!I48+H70</f>
        <v>128853.20175450448</v>
      </c>
      <c r="J70" s="24">
        <f>CashFlow_Statement!J48+I70</f>
        <v>164536.34635299424</v>
      </c>
      <c r="K70" s="24">
        <f>CashFlow_Statement!K48+J70</f>
        <v>202421.96333534596</v>
      </c>
      <c r="L70" s="24">
        <f>CashFlow_Statement!L48+K70</f>
        <v>244245.1236942125</v>
      </c>
    </row>
    <row r="71" spans="2:12" x14ac:dyDescent="0.25">
      <c r="B71" s="17" t="s">
        <v>235</v>
      </c>
      <c r="C71" s="18">
        <f>C70/Balance_Sheet!C74</f>
        <v>9.7153309761998756E-3</v>
      </c>
      <c r="D71" s="18">
        <f>D70/Balance_Sheet!D74</f>
        <v>5.9453793673770294E-2</v>
      </c>
      <c r="E71" s="18">
        <f>E70/Balance_Sheet!E74</f>
        <v>0.109102777831317</v>
      </c>
      <c r="F71" s="18">
        <f>F70/Balance_Sheet!F74</f>
        <v>0.15385612851552771</v>
      </c>
      <c r="G71" s="18">
        <f>G70/Balance_Sheet!G74</f>
        <v>0.24311311072479194</v>
      </c>
      <c r="H71" s="25">
        <f>H70/Balance_Sheet!H74</f>
        <v>0.34484525677169431</v>
      </c>
      <c r="I71" s="25">
        <f>I70/Balance_Sheet!I74</f>
        <v>0.4617282168792945</v>
      </c>
      <c r="J71" s="25">
        <f>J70/Balance_Sheet!J74</f>
        <v>0.57546841494834311</v>
      </c>
      <c r="K71" s="25">
        <f>K70/Balance_Sheet!K74</f>
        <v>0.68401084025979042</v>
      </c>
      <c r="L71" s="25">
        <f>L70/Balance_Sheet!L74</f>
        <v>0.80438051729139326</v>
      </c>
    </row>
    <row r="72" spans="2:12" ht="18.75" x14ac:dyDescent="0.25">
      <c r="B72" s="9" t="s">
        <v>42</v>
      </c>
      <c r="C72" s="7">
        <f>C56+C58+C60+C62+C64+C66+C68+C70</f>
        <v>30225.239999999998</v>
      </c>
      <c r="D72" s="7">
        <f t="shared" ref="D72:L72" si="54">D56+D58+D60+D62+D64+D66+D68+D70</f>
        <v>46034.027289112026</v>
      </c>
      <c r="E72" s="7">
        <f t="shared" si="54"/>
        <v>61512.55249065339</v>
      </c>
      <c r="F72" s="7">
        <f t="shared" si="54"/>
        <v>79625.062610627996</v>
      </c>
      <c r="G72" s="7">
        <f t="shared" si="54"/>
        <v>101347.69859945832</v>
      </c>
      <c r="H72" s="27">
        <f t="shared" si="54"/>
        <v>122661.10624681131</v>
      </c>
      <c r="I72" s="27">
        <f t="shared" si="54"/>
        <v>156709.81527911237</v>
      </c>
      <c r="J72" s="27">
        <f t="shared" si="54"/>
        <v>193076.73560145582</v>
      </c>
      <c r="K72" s="27">
        <f t="shared" si="54"/>
        <v>231962.20775289251</v>
      </c>
      <c r="L72" s="27">
        <f t="shared" si="54"/>
        <v>274554.97227051249</v>
      </c>
    </row>
    <row r="73" spans="2:12" x14ac:dyDescent="0.25">
      <c r="B73" s="19" t="s">
        <v>236</v>
      </c>
      <c r="C73" s="20">
        <f>C72/Balance_Sheet!C74</f>
        <v>0.13414596962799588</v>
      </c>
      <c r="D73" s="20">
        <f>D72/Balance_Sheet!D74</f>
        <v>0.1864347849600988</v>
      </c>
      <c r="E73" s="20">
        <f>E72/Balance_Sheet!E74</f>
        <v>0.23952349882347237</v>
      </c>
      <c r="F73" s="20">
        <f>F72/Balance_Sheet!F74</f>
        <v>0.31185254877427654</v>
      </c>
      <c r="G73" s="20">
        <f>G72/Balance_Sheet!G74</f>
        <v>0.38578821820483167</v>
      </c>
      <c r="H73" s="28">
        <f>H72/Balance_Sheet!H74</f>
        <v>0.44466568671114554</v>
      </c>
      <c r="I73" s="28">
        <f>I72/Balance_Sheet!I74</f>
        <v>0.56154866616481791</v>
      </c>
      <c r="J73" s="28">
        <f>J72/Balance_Sheet!J74</f>
        <v>0.67528886755268669</v>
      </c>
      <c r="K73" s="28">
        <f>K72/Balance_Sheet!K74</f>
        <v>0.78383127018048648</v>
      </c>
      <c r="L73" s="28">
        <f>L72/Balance_Sheet!L74</f>
        <v>0.90420094075807356</v>
      </c>
    </row>
    <row r="74" spans="2:12" ht="18.75" x14ac:dyDescent="0.25">
      <c r="B74" s="9" t="s">
        <v>43</v>
      </c>
      <c r="C74" s="7">
        <f>C54+C72</f>
        <v>225316.05</v>
      </c>
      <c r="D74" s="7">
        <f t="shared" ref="D74:G74" si="55">D54+D72</f>
        <v>246917.58728911204</v>
      </c>
      <c r="E74" s="7">
        <f t="shared" si="55"/>
        <v>256812.18249065339</v>
      </c>
      <c r="F74" s="7">
        <f t="shared" si="55"/>
        <v>255329.20261062798</v>
      </c>
      <c r="G74" s="7">
        <f t="shared" si="55"/>
        <v>262702.93859945831</v>
      </c>
      <c r="H74" s="27">
        <f>Income_Statement!H5/H80</f>
        <v>275850.17219125311</v>
      </c>
      <c r="I74" s="27">
        <f>Income_Statement!I5/I80</f>
        <v>279067.20240186108</v>
      </c>
      <c r="J74" s="27">
        <f>Income_Statement!J5/J80</f>
        <v>285917.24945975328</v>
      </c>
      <c r="K74" s="27">
        <f>Income_Statement!K5/K80</f>
        <v>295933.85282967909</v>
      </c>
      <c r="L74" s="27">
        <f>Income_Statement!L5/L80</f>
        <v>303643.75869851251</v>
      </c>
    </row>
    <row r="75" spans="2:12" x14ac:dyDescent="0.25">
      <c r="B75" s="19" t="s">
        <v>237</v>
      </c>
      <c r="C75" s="20">
        <f>C74/Balance_Sheet!C74</f>
        <v>1</v>
      </c>
      <c r="D75" s="20">
        <f>D74/Balance_Sheet!D74</f>
        <v>1</v>
      </c>
      <c r="E75" s="20">
        <f>E74/Balance_Sheet!E74</f>
        <v>1</v>
      </c>
      <c r="F75" s="20">
        <f>F74/Balance_Sheet!F74</f>
        <v>1</v>
      </c>
      <c r="G75" s="20">
        <f>G74/Balance_Sheet!G74</f>
        <v>1</v>
      </c>
      <c r="H75" s="28">
        <f>H74/Balance_Sheet!H74</f>
        <v>1</v>
      </c>
      <c r="I75" s="28">
        <f>I74/Balance_Sheet!I74</f>
        <v>1</v>
      </c>
      <c r="J75" s="28">
        <f>J74/Balance_Sheet!J74</f>
        <v>1</v>
      </c>
      <c r="K75" s="28">
        <f>K74/Balance_Sheet!K74</f>
        <v>1</v>
      </c>
      <c r="L75" s="28">
        <f>L74/Balance_Sheet!L74</f>
        <v>1</v>
      </c>
    </row>
    <row r="80" spans="2:12" x14ac:dyDescent="0.25">
      <c r="B80" t="s">
        <v>265</v>
      </c>
      <c r="C80">
        <f>Income_Statement!C5/C74</f>
        <v>0.13272449965282102</v>
      </c>
      <c r="D80">
        <f>Income_Statement!D5/D74</f>
        <v>0.14106394924075097</v>
      </c>
      <c r="E80">
        <f>Income_Statement!E5/E74</f>
        <v>0.14329588901546494</v>
      </c>
      <c r="F80">
        <f>Income_Statement!F5/F74</f>
        <v>0.1539221898559445</v>
      </c>
      <c r="G80">
        <f>Income_Statement!G5/G74</f>
        <v>0.15841596680215364</v>
      </c>
      <c r="H80">
        <f>GROWTH(C80:G80,C4:G4,H4)</f>
        <v>0.16619367146728486</v>
      </c>
      <c r="I80">
        <f t="shared" ref="I80:L80" si="56">GROWTH(D80:H80,D4:H4,I4)</f>
        <v>0.17316555935564018</v>
      </c>
      <c r="J80">
        <f t="shared" si="56"/>
        <v>0.18189159519286777</v>
      </c>
      <c r="K80">
        <f t="shared" si="56"/>
        <v>0.18893106525110298</v>
      </c>
      <c r="L80">
        <f t="shared" si="56"/>
        <v>0.19799776566060817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4CA6BCA6-27A8-48C6-8878-8303DB7AAC24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17EB0-18D9-4F49-B207-DED0C6BC9D46}">
  <dimension ref="B1:O48"/>
  <sheetViews>
    <sheetView showGridLines="0" topLeftCell="A37" workbookViewId="0">
      <selection activeCell="H48" sqref="H48:L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4" width="16.5703125" bestFit="1" customWidth="1"/>
    <col min="5" max="5" width="15.42578125" bestFit="1" customWidth="1"/>
    <col min="6" max="6" width="16.5703125" bestFit="1" customWidth="1"/>
    <col min="7" max="7" width="15.42578125" bestFit="1" customWidth="1"/>
    <col min="8" max="8" width="19.85546875" bestFit="1" customWidth="1"/>
    <col min="9" max="12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143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129</v>
      </c>
      <c r="C5" s="4"/>
      <c r="D5" s="5">
        <f>Income_Statement!D45</f>
        <v>8791.4172891120179</v>
      </c>
      <c r="E5" s="5">
        <f>Income_Statement!E45</f>
        <v>13492.6352015414</v>
      </c>
      <c r="F5" s="5">
        <f>Income_Statement!F45</f>
        <v>14948.080119974566</v>
      </c>
      <c r="G5" s="5">
        <f>Income_Statement!G45</f>
        <v>19532.195988830339</v>
      </c>
      <c r="H5" s="24">
        <f>Income_Statement!H45</f>
        <v>22241.360651716201</v>
      </c>
      <c r="I5" s="24">
        <f>Income_Statement!I45</f>
        <v>24376.333628108765</v>
      </c>
      <c r="J5" s="24">
        <f>Income_Statement!J45</f>
        <v>27379.785105605722</v>
      </c>
      <c r="K5" s="24">
        <f>Income_Statement!K45</f>
        <v>30347.192709009079</v>
      </c>
      <c r="L5" s="24">
        <f>Income_Statement!L45</f>
        <v>33791.758157904304</v>
      </c>
    </row>
    <row r="6" spans="2:15" ht="18.75" x14ac:dyDescent="0.25">
      <c r="B6" s="8" t="s">
        <v>130</v>
      </c>
      <c r="C6" s="4"/>
      <c r="D6" s="4"/>
      <c r="E6" s="4"/>
      <c r="F6" s="4"/>
      <c r="G6" s="4"/>
      <c r="H6" s="26"/>
      <c r="I6" s="26"/>
      <c r="J6" s="26"/>
      <c r="K6" s="26"/>
      <c r="L6" s="26"/>
    </row>
    <row r="7" spans="2:15" ht="18.75" x14ac:dyDescent="0.25">
      <c r="B7" s="8" t="s">
        <v>125</v>
      </c>
      <c r="C7" s="4"/>
      <c r="D7" s="5">
        <f>Income_Statement!D31</f>
        <v>10540.95</v>
      </c>
      <c r="E7" s="5">
        <f>Income_Statement!E31</f>
        <v>11607.04</v>
      </c>
      <c r="F7" s="5">
        <f>Income_Statement!F31</f>
        <v>12039.19</v>
      </c>
      <c r="G7" s="5">
        <f>Income_Statement!G31</f>
        <v>12871.66</v>
      </c>
      <c r="H7" s="24">
        <f>Income_Statement!H31</f>
        <v>13515.835422435146</v>
      </c>
      <c r="I7" s="24">
        <f>Income_Statement!I31</f>
        <v>13673.460174044958</v>
      </c>
      <c r="J7" s="24">
        <f>Income_Statement!J31</f>
        <v>14009.092204516681</v>
      </c>
      <c r="K7" s="24">
        <f>Income_Statement!K31</f>
        <v>14499.87563236696</v>
      </c>
      <c r="L7" s="24">
        <f>Income_Statement!L31</f>
        <v>14877.637717007636</v>
      </c>
    </row>
    <row r="8" spans="2:15" ht="18.75" x14ac:dyDescent="0.25">
      <c r="B8" s="8" t="s">
        <v>131</v>
      </c>
      <c r="C8" s="4"/>
      <c r="D8" s="5">
        <f>Income_Statement!D35</f>
        <v>8736.57</v>
      </c>
      <c r="E8" s="5">
        <f>Income_Statement!E35</f>
        <v>9509</v>
      </c>
      <c r="F8" s="5">
        <f>Income_Statement!F35</f>
        <v>8134.69</v>
      </c>
      <c r="G8" s="5">
        <f>Income_Statement!G35</f>
        <v>8036.22</v>
      </c>
      <c r="H8" s="24">
        <f>Income_Statement!H35</f>
        <v>8438.4006923438028</v>
      </c>
      <c r="I8" s="24">
        <f>Income_Statement!I35</f>
        <v>8536.8112257892208</v>
      </c>
      <c r="J8" s="24">
        <f>Income_Statement!J35</f>
        <v>8746.3578543708245</v>
      </c>
      <c r="K8" s="24">
        <f>Income_Statement!K35</f>
        <v>9052.7707563059739</v>
      </c>
      <c r="L8" s="24">
        <f>Income_Statement!L35</f>
        <v>9288.6209882699386</v>
      </c>
    </row>
    <row r="9" spans="2:15" ht="18.75" x14ac:dyDescent="0.25">
      <c r="B9" s="8" t="s">
        <v>59</v>
      </c>
      <c r="C9" s="4"/>
      <c r="D9" s="5">
        <f>Income_Statement!D11</f>
        <v>602.20000000000005</v>
      </c>
      <c r="E9" s="5">
        <f>Income_Statement!E11</f>
        <v>927.42</v>
      </c>
      <c r="F9" s="5">
        <f>Income_Statement!F11</f>
        <v>1183.74</v>
      </c>
      <c r="G9" s="5">
        <f>Income_Statement!G11</f>
        <v>1081.56</v>
      </c>
      <c r="H9" s="24">
        <f>Income_Statement!H11</f>
        <v>1155.3533980041132</v>
      </c>
      <c r="I9" s="24">
        <f>Income_Statement!I11</f>
        <v>1217.8601589410207</v>
      </c>
      <c r="J9" s="24">
        <f>Income_Statement!J11</f>
        <v>1310.6299662124279</v>
      </c>
      <c r="K9" s="24">
        <f>Income_Statement!K11</f>
        <v>1409.0458528775318</v>
      </c>
      <c r="L9" s="24">
        <f>Income_Statement!L11</f>
        <v>1515.1364722691924</v>
      </c>
    </row>
    <row r="10" spans="2:15" ht="18.75" x14ac:dyDescent="0.25">
      <c r="B10" s="9" t="s">
        <v>132</v>
      </c>
      <c r="C10" s="6"/>
      <c r="D10" s="7">
        <f>D7+D8-D9</f>
        <v>18675.32</v>
      </c>
      <c r="E10" s="7">
        <f t="shared" ref="E10:L10" si="0">E7+E8-E9</f>
        <v>20188.620000000003</v>
      </c>
      <c r="F10" s="7">
        <f t="shared" si="0"/>
        <v>18990.14</v>
      </c>
      <c r="G10" s="7">
        <f t="shared" si="0"/>
        <v>19826.32</v>
      </c>
      <c r="H10" s="27">
        <f t="shared" si="0"/>
        <v>20798.882716774835</v>
      </c>
      <c r="I10" s="27">
        <f t="shared" si="0"/>
        <v>20992.411240893158</v>
      </c>
      <c r="J10" s="27">
        <f t="shared" si="0"/>
        <v>21444.820092675076</v>
      </c>
      <c r="K10" s="27">
        <f t="shared" si="0"/>
        <v>22143.600535795402</v>
      </c>
      <c r="L10" s="27">
        <f t="shared" si="0"/>
        <v>22651.122233008384</v>
      </c>
    </row>
    <row r="11" spans="2:15" ht="18.75" x14ac:dyDescent="0.25">
      <c r="B11" s="8" t="s">
        <v>133</v>
      </c>
      <c r="C11" s="4"/>
      <c r="D11" s="4"/>
      <c r="E11" s="4"/>
      <c r="F11" s="4"/>
      <c r="G11" s="4"/>
      <c r="H11" s="26"/>
      <c r="I11" s="26"/>
      <c r="J11" s="26"/>
      <c r="K11" s="26"/>
      <c r="L11" s="26"/>
    </row>
    <row r="12" spans="2:15" ht="18.75" x14ac:dyDescent="0.25">
      <c r="B12" s="8" t="str">
        <f>Balance_Sheet!B56</f>
        <v>Deferred Tax Assets [Net]</v>
      </c>
      <c r="C12" s="4"/>
      <c r="D12" s="4">
        <f>Balance_Sheet!C56-Balance_Sheet!D56</f>
        <v>0</v>
      </c>
      <c r="E12" s="4">
        <f>Balance_Sheet!D56-Balance_Sheet!E56</f>
        <v>0</v>
      </c>
      <c r="F12" s="4">
        <f>Balance_Sheet!E56-Balance_Sheet!F56</f>
        <v>0</v>
      </c>
      <c r="G12" s="4">
        <f>Balance_Sheet!F56-Balance_Sheet!G56</f>
        <v>0</v>
      </c>
      <c r="H12" s="26">
        <f>Balance_Sheet!G56-Balance_Sheet!H56</f>
        <v>0</v>
      </c>
      <c r="I12" s="26">
        <f>Balance_Sheet!H56-Balance_Sheet!I56</f>
        <v>0</v>
      </c>
      <c r="J12" s="26">
        <f>Balance_Sheet!I56-Balance_Sheet!J56</f>
        <v>0</v>
      </c>
      <c r="K12" s="26">
        <f>Balance_Sheet!J56-Balance_Sheet!K56</f>
        <v>0</v>
      </c>
      <c r="L12" s="26">
        <f>Balance_Sheet!K56-Balance_Sheet!L56</f>
        <v>0</v>
      </c>
    </row>
    <row r="13" spans="2:15" ht="18.75" x14ac:dyDescent="0.25">
      <c r="B13" s="8" t="str">
        <f>Balance_Sheet!B58</f>
        <v>Long Term Loans And Advances</v>
      </c>
      <c r="C13" s="4"/>
      <c r="D13" s="4">
        <f>Balance_Sheet!C58-Balance_Sheet!D58</f>
        <v>-48.139999999999986</v>
      </c>
      <c r="E13" s="4">
        <f>Balance_Sheet!D58-Balance_Sheet!E58</f>
        <v>-83.449999999999989</v>
      </c>
      <c r="F13" s="4">
        <f>Balance_Sheet!E58-Balance_Sheet!F58</f>
        <v>-51</v>
      </c>
      <c r="G13" s="4">
        <f>Balance_Sheet!F58-Balance_Sheet!G58</f>
        <v>-83.87</v>
      </c>
      <c r="H13" s="26">
        <f>Balance_Sheet!G58-Balance_Sheet!H58</f>
        <v>-20.340000000000032</v>
      </c>
      <c r="I13" s="26">
        <f>Balance_Sheet!H58-Balance_Sheet!I58</f>
        <v>-4.9799999999999613</v>
      </c>
      <c r="J13" s="26">
        <f>Balance_Sheet!I58-Balance_Sheet!J58</f>
        <v>-10.600000000000023</v>
      </c>
      <c r="K13" s="26">
        <f>Balance_Sheet!J58-Balance_Sheet!K58</f>
        <v>-15.490000000000009</v>
      </c>
      <c r="L13" s="26">
        <f>Balance_Sheet!K58-Balance_Sheet!L58</f>
        <v>-11.930000000000007</v>
      </c>
    </row>
    <row r="14" spans="2:15" ht="18.75" x14ac:dyDescent="0.25">
      <c r="B14" s="8" t="str">
        <f>Balance_Sheet!B60</f>
        <v>Other Non-Current Assets</v>
      </c>
      <c r="C14" s="4"/>
      <c r="D14" s="5">
        <f>Balance_Sheet!C60-Balance_Sheet!D60</f>
        <v>-3143.170000000001</v>
      </c>
      <c r="E14" s="5">
        <f>Balance_Sheet!D60-Balance_Sheet!E60</f>
        <v>-668.82999999999993</v>
      </c>
      <c r="F14" s="5">
        <f>Balance_Sheet!E60-Balance_Sheet!F60</f>
        <v>1066.8700000000008</v>
      </c>
      <c r="G14" s="5">
        <f>Balance_Sheet!F60-Balance_Sheet!G60</f>
        <v>-209.65999999999985</v>
      </c>
      <c r="H14" s="24">
        <f>Balance_Sheet!G60-Balance_Sheet!H60</f>
        <v>9568.82</v>
      </c>
      <c r="I14" s="24">
        <f>Balance_Sheet!H60-Balance_Sheet!I60</f>
        <v>0</v>
      </c>
      <c r="J14" s="24">
        <f>Balance_Sheet!I60-Balance_Sheet!J60</f>
        <v>0</v>
      </c>
      <c r="K14" s="24">
        <f>Balance_Sheet!J60-Balance_Sheet!K60</f>
        <v>0</v>
      </c>
      <c r="L14" s="24">
        <f>Balance_Sheet!K60-Balance_Sheet!L60</f>
        <v>0</v>
      </c>
    </row>
    <row r="15" spans="2:15" ht="18.75" x14ac:dyDescent="0.25">
      <c r="B15" s="8" t="str">
        <f>Balance_Sheet!B62</f>
        <v>Short Term Loans And Advances</v>
      </c>
      <c r="C15" s="4"/>
      <c r="D15" s="4">
        <f>Balance_Sheet!C62-Balance_Sheet!D62</f>
        <v>-84.110000000000014</v>
      </c>
      <c r="E15" s="4">
        <f>Balance_Sheet!D62-Balance_Sheet!E62</f>
        <v>-21.379999999999995</v>
      </c>
      <c r="F15" s="4">
        <f>Balance_Sheet!E62-Balance_Sheet!F62</f>
        <v>25.320000000000007</v>
      </c>
      <c r="G15" s="4">
        <f>Balance_Sheet!F62-Balance_Sheet!G62</f>
        <v>28.459999999999994</v>
      </c>
      <c r="H15" s="26">
        <f>Balance_Sheet!G62-Balance_Sheet!H62</f>
        <v>-4.9299999999999926</v>
      </c>
      <c r="I15" s="26">
        <f>Balance_Sheet!H62-Balance_Sheet!I62</f>
        <v>-1.210000000000008</v>
      </c>
      <c r="J15" s="26">
        <f>Balance_Sheet!I62-Balance_Sheet!J62</f>
        <v>-2.5699999999999932</v>
      </c>
      <c r="K15" s="26">
        <f>Balance_Sheet!J62-Balance_Sheet!K62</f>
        <v>-3.7600000000000051</v>
      </c>
      <c r="L15" s="26">
        <f>Balance_Sheet!K62-Balance_Sheet!L62</f>
        <v>-2.8900000000000006</v>
      </c>
    </row>
    <row r="16" spans="2:15" ht="18.75" x14ac:dyDescent="0.25">
      <c r="B16" s="8" t="str">
        <f>Balance_Sheet!B64</f>
        <v>OtherCurrentAssets</v>
      </c>
      <c r="C16" s="4"/>
      <c r="D16" s="5">
        <f>Balance_Sheet!C64-Balance_Sheet!D64</f>
        <v>1243.7800000000007</v>
      </c>
      <c r="E16" s="5">
        <f>Balance_Sheet!D64-Balance_Sheet!E64</f>
        <v>-867.30999999999949</v>
      </c>
      <c r="F16" s="5">
        <f>Balance_Sheet!E64-Balance_Sheet!F64</f>
        <v>-9320.36</v>
      </c>
      <c r="G16" s="5">
        <f>Balance_Sheet!F64-Balance_Sheet!G64</f>
        <v>8914.77</v>
      </c>
      <c r="H16" s="24">
        <f>Balance_Sheet!G64-Balance_Sheet!H64</f>
        <v>-829.51610001822701</v>
      </c>
      <c r="I16" s="24">
        <f>Balance_Sheet!H64-Balance_Sheet!I64</f>
        <v>-202.9764159366423</v>
      </c>
      <c r="J16" s="24">
        <f>Balance_Sheet!I64-Balance_Sheet!J64</f>
        <v>-432.19923649567863</v>
      </c>
      <c r="K16" s="24">
        <f>Balance_Sheet!J64-Balance_Sheet!K64</f>
        <v>-631.99103483153522</v>
      </c>
      <c r="L16" s="24">
        <f>Balance_Sheet!K64-Balance_Sheet!L64</f>
        <v>-486.45146548653065</v>
      </c>
    </row>
    <row r="17" spans="2:12" ht="18.75" x14ac:dyDescent="0.25">
      <c r="B17" s="8" t="str">
        <f>Balance_Sheet!B66</f>
        <v>Inventories</v>
      </c>
      <c r="C17" s="4"/>
      <c r="D17" s="5">
        <f>Balance_Sheet!C66-Balance_Sheet!D66</f>
        <v>-197.90000000000009</v>
      </c>
      <c r="E17" s="5">
        <f>Balance_Sheet!D66-Balance_Sheet!E66</f>
        <v>-186.21000000000004</v>
      </c>
      <c r="F17" s="5">
        <f>Balance_Sheet!E66-Balance_Sheet!F66</f>
        <v>66.519999999999982</v>
      </c>
      <c r="G17" s="5">
        <f>Balance_Sheet!F66-Balance_Sheet!G66</f>
        <v>9.7699999999999818</v>
      </c>
      <c r="H17" s="24">
        <f>Balance_Sheet!G66-Balance_Sheet!H66</f>
        <v>-67.92094183986751</v>
      </c>
      <c r="I17" s="24">
        <f>Balance_Sheet!H66-Balance_Sheet!I66</f>
        <v>-16.619748961345749</v>
      </c>
      <c r="J17" s="24">
        <f>Balance_Sheet!I66-Balance_Sheet!J66</f>
        <v>-35.38855870864154</v>
      </c>
      <c r="K17" s="24">
        <f>Balance_Sheet!J66-Balance_Sheet!K66</f>
        <v>-51.747550552867096</v>
      </c>
      <c r="L17" s="24">
        <f>Balance_Sheet!K66-Balance_Sheet!L66</f>
        <v>-39.830741916284751</v>
      </c>
    </row>
    <row r="18" spans="2:12" ht="18.75" x14ac:dyDescent="0.25">
      <c r="B18" s="8" t="str">
        <f>Balance_Sheet!B68</f>
        <v>Trade Receivables</v>
      </c>
      <c r="C18" s="4"/>
      <c r="D18" s="5">
        <f>Balance_Sheet!C68-Balance_Sheet!D68</f>
        <v>-1088.0800000000004</v>
      </c>
      <c r="E18" s="5">
        <f>Balance_Sheet!D68-Balance_Sheet!E68</f>
        <v>-312.60999999999967</v>
      </c>
      <c r="F18" s="5">
        <f>Balance_Sheet!E68-Balance_Sheet!F68</f>
        <v>1365.1799999999998</v>
      </c>
      <c r="G18" s="5">
        <f>Balance_Sheet!F68-Balance_Sheet!G68</f>
        <v>-5799.5399999999991</v>
      </c>
      <c r="H18" s="24">
        <f>Balance_Sheet!G68-Balance_Sheet!H68</f>
        <v>1299.5742548555399</v>
      </c>
      <c r="I18" s="24">
        <f>Balance_Sheet!H68-Balance_Sheet!I68</f>
        <v>-95.344572707360385</v>
      </c>
      <c r="J18" s="24">
        <f>Balance_Sheet!I68-Balance_Sheet!J68</f>
        <v>-203.01792864935851</v>
      </c>
      <c r="K18" s="24">
        <f>Balance_Sheet!J68-Balance_Sheet!K68</f>
        <v>-296.86658370055738</v>
      </c>
      <c r="L18" s="24">
        <f>Balance_Sheet!K68-Balance_Sheet!L68</f>
        <v>-228.50195135064132</v>
      </c>
    </row>
    <row r="19" spans="2:12" ht="18.75" x14ac:dyDescent="0.25">
      <c r="B19" s="8" t="s">
        <v>134</v>
      </c>
      <c r="C19" s="4"/>
      <c r="D19" s="4"/>
      <c r="E19" s="4"/>
      <c r="F19" s="4"/>
      <c r="G19" s="4"/>
      <c r="H19" s="26"/>
      <c r="I19" s="26"/>
      <c r="J19" s="26"/>
      <c r="K19" s="26"/>
      <c r="L19" s="26"/>
    </row>
    <row r="20" spans="2:12" ht="18.75" x14ac:dyDescent="0.25">
      <c r="B20" s="8" t="str">
        <f>Balance_Sheet!B23</f>
        <v>Long Term Provisions</v>
      </c>
      <c r="C20" s="4"/>
      <c r="D20" s="4">
        <f>Balance_Sheet!D23-Balance_Sheet!C23</f>
        <v>-348.72</v>
      </c>
      <c r="E20" s="4">
        <f>Balance_Sheet!E23-Balance_Sheet!D23</f>
        <v>56.56</v>
      </c>
      <c r="F20" s="4">
        <f>Balance_Sheet!F23-Balance_Sheet!E23</f>
        <v>37.31</v>
      </c>
      <c r="G20" s="4">
        <f>Balance_Sheet!G23-Balance_Sheet!F23</f>
        <v>55.120000000000005</v>
      </c>
      <c r="H20" s="26">
        <f>Balance_Sheet!H23-Balance_Sheet!G23</f>
        <v>-17.987160243715209</v>
      </c>
      <c r="I20" s="26">
        <f>Balance_Sheet!I23-Balance_Sheet!H23</f>
        <v>5.821238944499953</v>
      </c>
      <c r="J20" s="26">
        <f>Balance_Sheet!J23-Balance_Sheet!I23</f>
        <v>12.395208653487657</v>
      </c>
      <c r="K20" s="26">
        <f>Balance_Sheet!K23-Balance_Sheet!J23</f>
        <v>18.125114721133286</v>
      </c>
      <c r="L20" s="26">
        <f>Balance_Sheet!L23-Balance_Sheet!K23</f>
        <v>13.951129260175549</v>
      </c>
    </row>
    <row r="21" spans="2:12" ht="18.75" x14ac:dyDescent="0.25">
      <c r="B21" s="8" t="str">
        <f>Balance_Sheet!B25</f>
        <v>Short Term Provisions</v>
      </c>
      <c r="C21" s="4"/>
      <c r="D21" s="5">
        <f>Balance_Sheet!D25-Balance_Sheet!C25</f>
        <v>-358.45999999999992</v>
      </c>
      <c r="E21" s="5">
        <f>Balance_Sheet!E25-Balance_Sheet!D25</f>
        <v>40.899999999999977</v>
      </c>
      <c r="F21" s="5">
        <f>Balance_Sheet!F25-Balance_Sheet!E25</f>
        <v>103.08000000000004</v>
      </c>
      <c r="G21" s="5">
        <f>Balance_Sheet!G25-Balance_Sheet!F25</f>
        <v>321.99999999999989</v>
      </c>
      <c r="H21" s="24">
        <f>Balance_Sheet!H25-Balance_Sheet!G25</f>
        <v>-254.07717082630313</v>
      </c>
      <c r="I21" s="24">
        <f>Balance_Sheet!I25-Balance_Sheet!H25</f>
        <v>10.648122282099848</v>
      </c>
      <c r="J21" s="24">
        <f>Balance_Sheet!J25-Balance_Sheet!I25</f>
        <v>22.673128300150324</v>
      </c>
      <c r="K21" s="24">
        <f>Balance_Sheet!K25-Balance_Sheet!J25</f>
        <v>33.154185864517103</v>
      </c>
      <c r="L21" s="24">
        <f>Balance_Sheet!L25-Balance_Sheet!K25</f>
        <v>25.519194754252112</v>
      </c>
    </row>
    <row r="22" spans="2:12" ht="18.75" x14ac:dyDescent="0.25">
      <c r="B22" s="8" t="str">
        <f>Balance_Sheet!B27</f>
        <v>Other Long Term Liabilities</v>
      </c>
      <c r="C22" s="4"/>
      <c r="D22" s="5">
        <f>Balance_Sheet!D27-Balance_Sheet!C27</f>
        <v>3564.34</v>
      </c>
      <c r="E22" s="5">
        <f>Balance_Sheet!E27-Balance_Sheet!D27</f>
        <v>-595.43000000000029</v>
      </c>
      <c r="F22" s="5">
        <f>Balance_Sheet!F27-Balance_Sheet!E27</f>
        <v>86.569999999999709</v>
      </c>
      <c r="G22" s="5">
        <f>Balance_Sheet!G27-Balance_Sheet!F27</f>
        <v>9335.77</v>
      </c>
      <c r="H22" s="24">
        <f>Balance_Sheet!H27-Balance_Sheet!G27</f>
        <v>666.01000000000022</v>
      </c>
      <c r="I22" s="24">
        <f>Balance_Sheet!I27-Balance_Sheet!H27</f>
        <v>162.96999999999935</v>
      </c>
      <c r="J22" s="24">
        <f>Balance_Sheet!J27-Balance_Sheet!I27</f>
        <v>347.01000000000022</v>
      </c>
      <c r="K22" s="24">
        <f>Balance_Sheet!K27-Balance_Sheet!J27</f>
        <v>507.42000000000007</v>
      </c>
      <c r="L22" s="24">
        <f>Balance_Sheet!L27-Balance_Sheet!K27</f>
        <v>390.56999999999971</v>
      </c>
    </row>
    <row r="23" spans="2:12" ht="18.75" x14ac:dyDescent="0.25">
      <c r="B23" s="8" t="str">
        <f>Balance_Sheet!B29</f>
        <v>Trade Payables</v>
      </c>
      <c r="C23" s="4"/>
      <c r="D23" s="4">
        <f>Balance_Sheet!D29-Balance_Sheet!C29</f>
        <v>124.69</v>
      </c>
      <c r="E23" s="4">
        <f>Balance_Sheet!E29-Balance_Sheet!D29</f>
        <v>-138.59</v>
      </c>
      <c r="F23" s="4">
        <f>Balance_Sheet!F29-Balance_Sheet!E29</f>
        <v>-39.06</v>
      </c>
      <c r="G23" s="4">
        <f>Balance_Sheet!G29-Balance_Sheet!F29</f>
        <v>79.620000000000033</v>
      </c>
      <c r="H23" s="26">
        <f>Balance_Sheet!H29-Balance_Sheet!G29</f>
        <v>13.367288965589182</v>
      </c>
      <c r="I23" s="26">
        <f>Balance_Sheet!I29-Balance_Sheet!H29</f>
        <v>3.2708761227963237</v>
      </c>
      <c r="J23" s="26">
        <f>Balance_Sheet!J29-Balance_Sheet!I29</f>
        <v>6.9647015709734887</v>
      </c>
      <c r="K23" s="26">
        <f>Balance_Sheet!K29-Balance_Sheet!J29</f>
        <v>10.184258974683246</v>
      </c>
      <c r="L23" s="26">
        <f>Balance_Sheet!L29-Balance_Sheet!K29</f>
        <v>7.8389525010423426</v>
      </c>
    </row>
    <row r="24" spans="2:12" ht="18.75" x14ac:dyDescent="0.25">
      <c r="B24" s="8" t="str">
        <f>Balance_Sheet!B31</f>
        <v>Other Current Liabilities</v>
      </c>
      <c r="C24" s="4"/>
      <c r="D24" s="5">
        <f>Balance_Sheet!D31-Balance_Sheet!C31</f>
        <v>5932.4700000000012</v>
      </c>
      <c r="E24" s="5">
        <f>Balance_Sheet!E31-Balance_Sheet!D31</f>
        <v>323.32999999999447</v>
      </c>
      <c r="F24" s="5">
        <f>Balance_Sheet!F31-Balance_Sheet!E31</f>
        <v>505.76000000000204</v>
      </c>
      <c r="G24" s="5">
        <f>Balance_Sheet!G31-Balance_Sheet!F31</f>
        <v>-24120.1</v>
      </c>
      <c r="H24" s="24">
        <f>Balance_Sheet!H31-Balance_Sheet!G31</f>
        <v>26359.373722880169</v>
      </c>
      <c r="I24" s="24">
        <f>Balance_Sheet!I31-Balance_Sheet!H31</f>
        <v>463.85445913783042</v>
      </c>
      <c r="J24" s="24">
        <f>Balance_Sheet!J31-Balance_Sheet!I31</f>
        <v>987.6888512361038</v>
      </c>
      <c r="K24" s="24">
        <f>Balance_Sheet!K31-Balance_Sheet!J31</f>
        <v>1444.2656221363213</v>
      </c>
      <c r="L24" s="24">
        <f>Balance_Sheet!L31-Balance_Sheet!K31</f>
        <v>1111.6694537088042</v>
      </c>
    </row>
    <row r="25" spans="2:12" ht="18.75" x14ac:dyDescent="0.25">
      <c r="B25" s="8" t="s">
        <v>103</v>
      </c>
      <c r="C25" s="4"/>
      <c r="D25" s="4"/>
      <c r="E25" s="4"/>
      <c r="F25" s="4"/>
      <c r="G25" s="4"/>
      <c r="H25" s="26"/>
      <c r="I25" s="26"/>
      <c r="J25" s="26"/>
      <c r="K25" s="26"/>
      <c r="L25" s="26"/>
    </row>
    <row r="26" spans="2:12" ht="18.75" x14ac:dyDescent="0.25">
      <c r="B26" s="8" t="str">
        <f>Income_Statement!B47</f>
        <v>Total Tax Expenses</v>
      </c>
      <c r="C26" s="4"/>
      <c r="D26" s="5">
        <f>Income_Statement!D47</f>
        <v>-886.35</v>
      </c>
      <c r="E26" s="5">
        <f>Income_Statement!E47</f>
        <v>3530.75</v>
      </c>
      <c r="F26" s="5">
        <f>Income_Statement!F47</f>
        <v>3464.25</v>
      </c>
      <c r="G26" s="5">
        <f>Income_Statement!G47</f>
        <v>2785.57</v>
      </c>
      <c r="H26" s="24">
        <f>Income_Statement!H47</f>
        <v>3171.9355583996057</v>
      </c>
      <c r="I26" s="24">
        <f>Income_Statement!I47</f>
        <v>3476.4131848401116</v>
      </c>
      <c r="J26" s="24">
        <f>Income_Statement!J47</f>
        <v>3904.7482443979593</v>
      </c>
      <c r="K26" s="24">
        <f>Income_Statement!K47</f>
        <v>4327.9429329285904</v>
      </c>
      <c r="L26" s="24">
        <f>Income_Statement!L47</f>
        <v>4819.1871423849207</v>
      </c>
    </row>
    <row r="27" spans="2:12" ht="18.75" x14ac:dyDescent="0.25">
      <c r="B27" s="9" t="s">
        <v>135</v>
      </c>
      <c r="C27" s="6"/>
      <c r="D27" s="7">
        <f>D12+D13+D14+D15+D16+D17+D18+D20+D21+D22+D23+D24-D26+D10+D5</f>
        <v>33949.787289112021</v>
      </c>
      <c r="E27" s="7">
        <f t="shared" ref="E27:L27" si="1">E12+E13+E14+E15+E16+E17+E18+E20+E21+E22+E23+E24-E26+E10+E5</f>
        <v>27697.4852015414</v>
      </c>
      <c r="F27" s="7">
        <f t="shared" si="1"/>
        <v>24320.160119974567</v>
      </c>
      <c r="G27" s="7">
        <f t="shared" si="1"/>
        <v>25105.285988830343</v>
      </c>
      <c r="H27" s="27">
        <f t="shared" si="1"/>
        <v>76580.681703864611</v>
      </c>
      <c r="I27" s="27">
        <f t="shared" si="1"/>
        <v>42217.765643043691</v>
      </c>
      <c r="J27" s="27">
        <f t="shared" si="1"/>
        <v>45612.813119789877</v>
      </c>
      <c r="K27" s="27">
        <f t="shared" si="1"/>
        <v>49176.144324487585</v>
      </c>
      <c r="L27" s="27">
        <f t="shared" si="1"/>
        <v>52403.637819998585</v>
      </c>
    </row>
    <row r="28" spans="2:12" ht="18.75" x14ac:dyDescent="0.25">
      <c r="B28" s="8" t="s">
        <v>136</v>
      </c>
      <c r="C28" s="4"/>
      <c r="D28" s="4"/>
      <c r="E28" s="4"/>
      <c r="F28" s="4"/>
      <c r="G28" s="4"/>
      <c r="H28" s="26"/>
      <c r="I28" s="26"/>
      <c r="J28" s="26"/>
      <c r="K28" s="26"/>
      <c r="L28" s="26"/>
    </row>
    <row r="29" spans="2:12" ht="18.75" x14ac:dyDescent="0.25">
      <c r="B29" s="8" t="str">
        <f>Balance_Sheet!B40</f>
        <v>Tangible Assets</v>
      </c>
      <c r="C29" s="4"/>
      <c r="D29" s="5">
        <f>Balance_Sheet!C40-Balance_Sheet!D40</f>
        <v>-16226.609999999986</v>
      </c>
      <c r="E29" s="5">
        <f>Balance_Sheet!D40-Balance_Sheet!E40</f>
        <v>-8391.8300000000163</v>
      </c>
      <c r="F29" s="5">
        <f>Balance_Sheet!E40-Balance_Sheet!F40</f>
        <v>-2659.1699999999837</v>
      </c>
      <c r="G29" s="5">
        <f>Balance_Sheet!F40-Balance_Sheet!G40</f>
        <v>-22517.420000000013</v>
      </c>
      <c r="H29" s="24">
        <f>Balance_Sheet!G40-Balance_Sheet!H40</f>
        <v>-10240.739999999991</v>
      </c>
      <c r="I29" s="24">
        <f>Balance_Sheet!H40-Balance_Sheet!I40</f>
        <v>-2505.8300000000163</v>
      </c>
      <c r="J29" s="24">
        <f>Balance_Sheet!I40-Balance_Sheet!J40</f>
        <v>-5335.6900000000023</v>
      </c>
      <c r="K29" s="24">
        <f>Balance_Sheet!J40-Balance_Sheet!K40</f>
        <v>-7802.1999999999825</v>
      </c>
      <c r="L29" s="24">
        <f>Balance_Sheet!K40-Balance_Sheet!L40</f>
        <v>-6005.4500000000116</v>
      </c>
    </row>
    <row r="30" spans="2:12" ht="18.75" x14ac:dyDescent="0.25">
      <c r="B30" s="8" t="str">
        <f>Balance_Sheet!B42</f>
        <v>Intangible Assets</v>
      </c>
      <c r="C30" s="4"/>
      <c r="D30" s="5">
        <f>Balance_Sheet!C42-Balance_Sheet!D42</f>
        <v>-314.74</v>
      </c>
      <c r="E30" s="5">
        <f>Balance_Sheet!D42-Balance_Sheet!E42</f>
        <v>19.319999999999936</v>
      </c>
      <c r="F30" s="5">
        <f>Balance_Sheet!E42-Balance_Sheet!F42</f>
        <v>45.329999999999927</v>
      </c>
      <c r="G30" s="5">
        <f>Balance_Sheet!F42-Balance_Sheet!G42</f>
        <v>1616.95</v>
      </c>
      <c r="H30" s="24">
        <f>Balance_Sheet!G42-Balance_Sheet!H42</f>
        <v>0</v>
      </c>
      <c r="I30" s="24">
        <f>Balance_Sheet!H42-Balance_Sheet!I42</f>
        <v>0</v>
      </c>
      <c r="J30" s="24">
        <f>Balance_Sheet!I42-Balance_Sheet!J42</f>
        <v>0</v>
      </c>
      <c r="K30" s="24">
        <f>Balance_Sheet!J42-Balance_Sheet!K42</f>
        <v>0</v>
      </c>
      <c r="L30" s="24">
        <f>Balance_Sheet!K42-Balance_Sheet!L42</f>
        <v>0</v>
      </c>
    </row>
    <row r="31" spans="2:12" ht="18.75" x14ac:dyDescent="0.25">
      <c r="B31" s="8" t="str">
        <f>Balance_Sheet!B48</f>
        <v>Non-Current Investments</v>
      </c>
      <c r="C31" s="4"/>
      <c r="D31" s="5">
        <f>Balance_Sheet!C48-Balance_Sheet!D48</f>
        <v>-72.450000000000045</v>
      </c>
      <c r="E31" s="5">
        <f>Balance_Sheet!D48-Balance_Sheet!E48</f>
        <v>-134.65999999999985</v>
      </c>
      <c r="F31" s="5">
        <f>Balance_Sheet!E48-Balance_Sheet!F48</f>
        <v>-54.470000000000027</v>
      </c>
      <c r="G31" s="5">
        <f>Balance_Sheet!F48-Balance_Sheet!G48</f>
        <v>-2302.09</v>
      </c>
      <c r="H31" s="24">
        <f>Balance_Sheet!G48-Balance_Sheet!H48</f>
        <v>2250.4712388029884</v>
      </c>
      <c r="I31" s="24">
        <f>Balance_Sheet!H48-Balance_Sheet!I48</f>
        <v>-17.926827104334961</v>
      </c>
      <c r="J31" s="24">
        <f>Balance_Sheet!I48-Balance_Sheet!J48</f>
        <v>-38.171730205848689</v>
      </c>
      <c r="K31" s="24">
        <f>Balance_Sheet!J48-Balance_Sheet!K48</f>
        <v>-55.817292667395577</v>
      </c>
      <c r="L31" s="24">
        <f>Balance_Sheet!K48-Balance_Sheet!L48</f>
        <v>-42.963273719196422</v>
      </c>
    </row>
    <row r="32" spans="2:12" ht="18.75" x14ac:dyDescent="0.25">
      <c r="B32" s="8" t="str">
        <f>Balance_Sheet!B50</f>
        <v>Current Investments</v>
      </c>
      <c r="C32" s="4"/>
      <c r="D32" s="4">
        <f>Balance_Sheet!C50-Balance_Sheet!D50</f>
        <v>0</v>
      </c>
      <c r="E32" s="4">
        <f>Balance_Sheet!D50-Balance_Sheet!E50</f>
        <v>0</v>
      </c>
      <c r="F32" s="4">
        <f>Balance_Sheet!E50-Balance_Sheet!F50</f>
        <v>0</v>
      </c>
      <c r="G32" s="4">
        <f>Balance_Sheet!F50-Balance_Sheet!G50</f>
        <v>0</v>
      </c>
      <c r="H32" s="26">
        <f>Balance_Sheet!G50-Balance_Sheet!H50</f>
        <v>0</v>
      </c>
      <c r="I32" s="26">
        <f>Balance_Sheet!H50-Balance_Sheet!I50</f>
        <v>0</v>
      </c>
      <c r="J32" s="26">
        <f>Balance_Sheet!I50-Balance_Sheet!J50</f>
        <v>0</v>
      </c>
      <c r="K32" s="26">
        <f>Balance_Sheet!J50-Balance_Sheet!K50</f>
        <v>0</v>
      </c>
      <c r="L32" s="26">
        <f>Balance_Sheet!K50-Balance_Sheet!L50</f>
        <v>0</v>
      </c>
    </row>
    <row r="33" spans="2:12" ht="18.75" x14ac:dyDescent="0.25">
      <c r="B33" s="8" t="str">
        <f>Balance_Sheet!B52</f>
        <v>Capital Work-In-Progress</v>
      </c>
      <c r="C33" s="4"/>
      <c r="D33" s="5">
        <f>Balance_Sheet!C52-Balance_Sheet!D52</f>
        <v>280.09999999999854</v>
      </c>
      <c r="E33" s="5">
        <f>Balance_Sheet!D52-Balance_Sheet!E52</f>
        <v>2484.0599999999977</v>
      </c>
      <c r="F33" s="5">
        <f>Balance_Sheet!E52-Balance_Sheet!F52</f>
        <v>10224.610000000004</v>
      </c>
      <c r="G33" s="5">
        <f>Balance_Sheet!F52-Balance_Sheet!G52</f>
        <v>24679.8</v>
      </c>
      <c r="H33" s="24">
        <f>Balance_Sheet!G52-Balance_Sheet!H52</f>
        <v>-37491.942225460902</v>
      </c>
      <c r="I33" s="24">
        <f>Balance_Sheet!H52-Balance_Sheet!I52</f>
        <v>-437.2399329519103</v>
      </c>
      <c r="J33" s="24">
        <f>Balance_Sheet!I52-Balance_Sheet!J52</f>
        <v>-931.01833686049213</v>
      </c>
      <c r="K33" s="24">
        <f>Balance_Sheet!J52-Balance_Sheet!K52</f>
        <v>-1361.3981526908174</v>
      </c>
      <c r="L33" s="24">
        <f>Balance_Sheet!K52-Balance_Sheet!L52</f>
        <v>-1047.8853179675862</v>
      </c>
    </row>
    <row r="34" spans="2:12" ht="18.75" x14ac:dyDescent="0.25">
      <c r="B34" s="8" t="s">
        <v>59</v>
      </c>
      <c r="C34" s="4"/>
      <c r="D34" s="5">
        <f>Income_Statement!D11</f>
        <v>602.20000000000005</v>
      </c>
      <c r="E34" s="5">
        <f>Income_Statement!E11</f>
        <v>927.42</v>
      </c>
      <c r="F34" s="5">
        <f>Income_Statement!F11</f>
        <v>1183.74</v>
      </c>
      <c r="G34" s="5">
        <f>Income_Statement!G11</f>
        <v>1081.56</v>
      </c>
      <c r="H34" s="24">
        <f>Income_Statement!H11</f>
        <v>1155.3533980041132</v>
      </c>
      <c r="I34" s="24">
        <f>Income_Statement!I11</f>
        <v>1217.8601589410207</v>
      </c>
      <c r="J34" s="24">
        <f>Income_Statement!J11</f>
        <v>1310.6299662124279</v>
      </c>
      <c r="K34" s="24">
        <f>Income_Statement!K11</f>
        <v>1409.0458528775318</v>
      </c>
      <c r="L34" s="24">
        <f>Income_Statement!L11</f>
        <v>1515.1364722691924</v>
      </c>
    </row>
    <row r="35" spans="2:12" ht="18.75" x14ac:dyDescent="0.25">
      <c r="B35" s="9" t="s">
        <v>137</v>
      </c>
      <c r="C35" s="6"/>
      <c r="D35" s="7">
        <f>D29+D30+D31+D32+D33+D34</f>
        <v>-15731.499999999989</v>
      </c>
      <c r="E35" s="7">
        <f t="shared" ref="E35:L35" si="2">E29+E30+E31+E32+E33+E34</f>
        <v>-5095.6900000000187</v>
      </c>
      <c r="F35" s="7">
        <f t="shared" si="2"/>
        <v>8740.0400000000209</v>
      </c>
      <c r="G35" s="7">
        <f t="shared" si="2"/>
        <v>2558.799999999987</v>
      </c>
      <c r="H35" s="27">
        <f t="shared" si="2"/>
        <v>-44326.857588653795</v>
      </c>
      <c r="I35" s="27">
        <f t="shared" si="2"/>
        <v>-1743.1366011152406</v>
      </c>
      <c r="J35" s="27">
        <f t="shared" si="2"/>
        <v>-4994.2501008539148</v>
      </c>
      <c r="K35" s="27">
        <f t="shared" si="2"/>
        <v>-7810.3695924806643</v>
      </c>
      <c r="L35" s="27">
        <f t="shared" si="2"/>
        <v>-5581.1621194176023</v>
      </c>
    </row>
    <row r="36" spans="2:12" ht="18.75" x14ac:dyDescent="0.25">
      <c r="B36" s="8" t="s">
        <v>138</v>
      </c>
      <c r="C36" s="4"/>
      <c r="D36" s="4"/>
      <c r="E36" s="4"/>
      <c r="F36" s="4"/>
      <c r="G36" s="4"/>
      <c r="H36" s="26"/>
      <c r="I36" s="26"/>
      <c r="J36" s="26"/>
      <c r="K36" s="26"/>
      <c r="L36" s="26"/>
    </row>
    <row r="37" spans="2:12" ht="18.75" x14ac:dyDescent="0.25">
      <c r="B37" s="8" t="str">
        <f>Balance_Sheet!B5</f>
        <v>Equity Share Capital</v>
      </c>
      <c r="C37" s="4"/>
      <c r="D37" s="5">
        <f>Balance_Sheet!D5-Balance_Sheet!C5</f>
        <v>0</v>
      </c>
      <c r="E37" s="5">
        <f>Balance_Sheet!E5-Balance_Sheet!D5</f>
        <v>0</v>
      </c>
      <c r="F37" s="5">
        <f>Balance_Sheet!F5-Balance_Sheet!E5</f>
        <v>0</v>
      </c>
      <c r="G37" s="5">
        <f>Balance_Sheet!G5-Balance_Sheet!F5</f>
        <v>1743.8599999999997</v>
      </c>
      <c r="H37" s="24">
        <f>Balance_Sheet!H5-Balance_Sheet!G5</f>
        <v>0</v>
      </c>
      <c r="I37" s="24">
        <f>Balance_Sheet!I5-Balance_Sheet!H5</f>
        <v>0</v>
      </c>
      <c r="J37" s="24">
        <f>Balance_Sheet!J5-Balance_Sheet!I5</f>
        <v>0</v>
      </c>
      <c r="K37" s="24">
        <f>Balance_Sheet!K5-Balance_Sheet!J5</f>
        <v>0</v>
      </c>
      <c r="L37" s="24">
        <f>Balance_Sheet!L5-Balance_Sheet!K5</f>
        <v>0</v>
      </c>
    </row>
    <row r="38" spans="2:12" ht="18.75" x14ac:dyDescent="0.25">
      <c r="B38" s="8" t="str">
        <f>Balance_Sheet!B7</f>
        <v>Preference Share Capital</v>
      </c>
      <c r="C38" s="4"/>
      <c r="D38" s="4">
        <f>Balance_Sheet!D7-Balance_Sheet!C7</f>
        <v>0</v>
      </c>
      <c r="E38" s="4">
        <f>Balance_Sheet!E7-Balance_Sheet!D7</f>
        <v>0</v>
      </c>
      <c r="F38" s="4">
        <f>Balance_Sheet!F7-Balance_Sheet!E7</f>
        <v>0</v>
      </c>
      <c r="G38" s="4">
        <f>Balance_Sheet!G7-Balance_Sheet!F7</f>
        <v>0</v>
      </c>
      <c r="H38" s="26">
        <f>Balance_Sheet!H7-Balance_Sheet!G7</f>
        <v>0</v>
      </c>
      <c r="I38" s="26">
        <f>Balance_Sheet!I7-Balance_Sheet!H7</f>
        <v>0</v>
      </c>
      <c r="J38" s="26">
        <f>Balance_Sheet!J7-Balance_Sheet!I7</f>
        <v>0</v>
      </c>
      <c r="K38" s="26">
        <f>Balance_Sheet!K7-Balance_Sheet!J7</f>
        <v>0</v>
      </c>
      <c r="L38" s="26">
        <f>Balance_Sheet!L7-Balance_Sheet!K7</f>
        <v>0</v>
      </c>
    </row>
    <row r="39" spans="2:12" ht="18.75" x14ac:dyDescent="0.25">
      <c r="B39" s="8" t="str">
        <f>Balance_Sheet!B15</f>
        <v>Long Term Borrowings</v>
      </c>
      <c r="C39" s="4"/>
      <c r="D39" s="5">
        <f>Balance_Sheet!D15-Balance_Sheet!C15</f>
        <v>8619.1900000000023</v>
      </c>
      <c r="E39" s="5">
        <f>Balance_Sheet!E15-Balance_Sheet!D15</f>
        <v>4091.5999999999767</v>
      </c>
      <c r="F39" s="5">
        <f>Balance_Sheet!F15-Balance_Sheet!E15</f>
        <v>-6246.3199999999924</v>
      </c>
      <c r="G39" s="5">
        <f>Balance_Sheet!G15-Balance_Sheet!F15</f>
        <v>-14975.39</v>
      </c>
      <c r="H39" s="24">
        <f>Balance_Sheet!H15-Balance_Sheet!G15</f>
        <v>5715.2200000000012</v>
      </c>
      <c r="I39" s="24">
        <f>Balance_Sheet!I15-Balance_Sheet!H15</f>
        <v>1398.4800000000105</v>
      </c>
      <c r="J39" s="24">
        <f>Balance_Sheet!J15-Balance_Sheet!I15</f>
        <v>2977.7799999999988</v>
      </c>
      <c r="K39" s="24">
        <f>Balance_Sheet!K15-Balance_Sheet!J15</f>
        <v>4354.3099999999977</v>
      </c>
      <c r="L39" s="24">
        <f>Balance_Sheet!L15-Balance_Sheet!K15</f>
        <v>3351.5599999999977</v>
      </c>
    </row>
    <row r="40" spans="2:12" ht="18.75" x14ac:dyDescent="0.25">
      <c r="B40" s="8" t="str">
        <f>Balance_Sheet!B17</f>
        <v>Deferred Tax Liabilities [Net]</v>
      </c>
      <c r="C40" s="4"/>
      <c r="D40" s="5">
        <f>Balance_Sheet!D17-Balance_Sheet!C17</f>
        <v>-3454.3700000000008</v>
      </c>
      <c r="E40" s="5">
        <f>Balance_Sheet!E17-Balance_Sheet!D17</f>
        <v>1210.3000000000011</v>
      </c>
      <c r="F40" s="5">
        <f>Balance_Sheet!F17-Balance_Sheet!E17</f>
        <v>607.84000000000015</v>
      </c>
      <c r="G40" s="5">
        <f>Balance_Sheet!G17-Balance_Sheet!F17</f>
        <v>-479.64000000000124</v>
      </c>
      <c r="H40" s="24">
        <f>Balance_Sheet!H17-Balance_Sheet!G17</f>
        <v>704.21143748342547</v>
      </c>
      <c r="I40" s="24">
        <f>Balance_Sheet!I17-Balance_Sheet!H17</f>
        <v>140.66047855648321</v>
      </c>
      <c r="J40" s="24">
        <f>Balance_Sheet!J17-Balance_Sheet!I17</f>
        <v>299.50943392460977</v>
      </c>
      <c r="K40" s="24">
        <f>Balance_Sheet!K17-Balance_Sheet!J17</f>
        <v>437.96300665077979</v>
      </c>
      <c r="L40" s="24">
        <f>Balance_Sheet!L17-Balance_Sheet!K17</f>
        <v>337.10564655549388</v>
      </c>
    </row>
    <row r="41" spans="2:12" ht="18.75" x14ac:dyDescent="0.25">
      <c r="B41" s="8" t="str">
        <f>Balance_Sheet!B19</f>
        <v>Short Term Borrowings</v>
      </c>
      <c r="C41" s="4"/>
      <c r="D41" s="5">
        <f>Balance_Sheet!D19-Balance_Sheet!C19</f>
        <v>3300</v>
      </c>
      <c r="E41" s="5">
        <f>Balance_Sheet!E19-Balance_Sheet!D19</f>
        <v>-1300</v>
      </c>
      <c r="F41" s="5">
        <f>Balance_Sheet!F19-Balance_Sheet!E19</f>
        <v>-1200</v>
      </c>
      <c r="G41" s="5">
        <f>Balance_Sheet!G19-Balance_Sheet!F19</f>
        <v>18665.87</v>
      </c>
      <c r="H41" s="24">
        <f>Balance_Sheet!H19-Balance_Sheet!G19</f>
        <v>1024.2400000000016</v>
      </c>
      <c r="I41" s="24">
        <f>Balance_Sheet!I19-Balance_Sheet!H19</f>
        <v>250.61999999999898</v>
      </c>
      <c r="J41" s="24">
        <f>Balance_Sheet!J19-Balance_Sheet!I19</f>
        <v>533.65000000000146</v>
      </c>
      <c r="K41" s="24">
        <f>Balance_Sheet!K19-Balance_Sheet!J19</f>
        <v>780.34000000000015</v>
      </c>
      <c r="L41" s="24">
        <f>Balance_Sheet!L19-Balance_Sheet!K19</f>
        <v>600.63999999999942</v>
      </c>
    </row>
    <row r="42" spans="2:12" ht="18.75" x14ac:dyDescent="0.25">
      <c r="B42" s="8" t="str">
        <f>Balance_Sheet!B35:G35</f>
        <v>Minority Interest</v>
      </c>
      <c r="C42" s="4"/>
      <c r="D42" s="4">
        <f>Balance_Sheet!D35-Balance_Sheet!C35</f>
        <v>0</v>
      </c>
      <c r="E42" s="4">
        <f>Balance_Sheet!E35-Balance_Sheet!D35</f>
        <v>0</v>
      </c>
      <c r="F42" s="4">
        <f>Balance_Sheet!F35-Balance_Sheet!E35</f>
        <v>0</v>
      </c>
      <c r="G42" s="4">
        <f>Balance_Sheet!G35-Balance_Sheet!F35</f>
        <v>0</v>
      </c>
      <c r="H42" s="26">
        <f>Balance_Sheet!H35-Balance_Sheet!G35</f>
        <v>0</v>
      </c>
      <c r="I42" s="26">
        <f>Balance_Sheet!I35-Balance_Sheet!H35</f>
        <v>0</v>
      </c>
      <c r="J42" s="26">
        <f>Balance_Sheet!J35-Balance_Sheet!I35</f>
        <v>0</v>
      </c>
      <c r="K42" s="26">
        <f>Balance_Sheet!K35-Balance_Sheet!J35</f>
        <v>0</v>
      </c>
      <c r="L42" s="26">
        <f>Balance_Sheet!L35-Balance_Sheet!K35</f>
        <v>0</v>
      </c>
    </row>
    <row r="43" spans="2:12" ht="18.75" x14ac:dyDescent="0.25">
      <c r="B43" s="8" t="s">
        <v>139</v>
      </c>
      <c r="C43" s="4"/>
      <c r="D43" s="4"/>
      <c r="E43" s="4"/>
      <c r="F43" s="4"/>
      <c r="G43" s="4"/>
      <c r="H43" s="26"/>
      <c r="I43" s="26"/>
      <c r="J43" s="26"/>
      <c r="K43" s="26"/>
      <c r="L43" s="26"/>
    </row>
    <row r="44" spans="2:12" ht="18.75" x14ac:dyDescent="0.25">
      <c r="B44" s="8" t="str">
        <f>Income_Statement!B51</f>
        <v>Equity Share Dividend</v>
      </c>
      <c r="C44" s="4"/>
      <c r="D44" s="5">
        <f>Income_Statement!D51</f>
        <v>4514.87</v>
      </c>
      <c r="E44" s="5">
        <f>Income_Statement!E51</f>
        <v>3118.02</v>
      </c>
      <c r="F44" s="5">
        <f>Income_Statement!F51</f>
        <v>6821.99</v>
      </c>
      <c r="G44" s="5">
        <f>Income_Statement!G51</f>
        <v>0</v>
      </c>
      <c r="H44" s="24">
        <f>Income_Statement!H51</f>
        <v>0</v>
      </c>
      <c r="I44" s="24">
        <f>Income_Statement!I51</f>
        <v>0</v>
      </c>
      <c r="J44" s="24">
        <f>Income_Statement!J51</f>
        <v>0</v>
      </c>
      <c r="K44" s="24">
        <f>Income_Statement!K51</f>
        <v>0</v>
      </c>
      <c r="L44" s="24">
        <f>Income_Statement!L51</f>
        <v>0</v>
      </c>
    </row>
    <row r="45" spans="2:12" ht="18.75" x14ac:dyDescent="0.25">
      <c r="B45" s="8" t="str">
        <f>Income_Statement!B53</f>
        <v>Tax On Dividend</v>
      </c>
      <c r="C45" s="4"/>
      <c r="D45" s="4">
        <f>Income_Statement!D53</f>
        <v>940.5</v>
      </c>
      <c r="E45" s="4">
        <f>Income_Statement!E53</f>
        <v>637.94000000000005</v>
      </c>
      <c r="F45" s="4">
        <f>Income_Statement!F53</f>
        <v>0</v>
      </c>
      <c r="G45" s="4">
        <f>Income_Statement!G53</f>
        <v>0</v>
      </c>
      <c r="H45" s="26">
        <f>Income_Statement!H53</f>
        <v>0</v>
      </c>
      <c r="I45" s="26">
        <f>Income_Statement!I53</f>
        <v>0</v>
      </c>
      <c r="J45" s="26">
        <f>Income_Statement!J53</f>
        <v>0</v>
      </c>
      <c r="K45" s="26">
        <f>Income_Statement!K53</f>
        <v>0</v>
      </c>
      <c r="L45" s="26">
        <f>Income_Statement!L53</f>
        <v>0</v>
      </c>
    </row>
    <row r="46" spans="2:12" ht="18.75" x14ac:dyDescent="0.25">
      <c r="B46" s="8" t="s">
        <v>140</v>
      </c>
      <c r="C46" s="4"/>
      <c r="D46" s="5">
        <f>Income_Statement!D35</f>
        <v>8736.57</v>
      </c>
      <c r="E46" s="5">
        <f>Income_Statement!E35</f>
        <v>9509</v>
      </c>
      <c r="F46" s="5">
        <f>Income_Statement!F35</f>
        <v>8134.69</v>
      </c>
      <c r="G46" s="5">
        <f>Income_Statement!G35</f>
        <v>8036.22</v>
      </c>
      <c r="H46" s="24">
        <f>Income_Statement!H35</f>
        <v>8438.4006923438028</v>
      </c>
      <c r="I46" s="24">
        <f>Income_Statement!I35</f>
        <v>8536.8112257892208</v>
      </c>
      <c r="J46" s="24">
        <f>Income_Statement!J35</f>
        <v>8746.3578543708245</v>
      </c>
      <c r="K46" s="24">
        <f>Income_Statement!K35</f>
        <v>9052.7707563059739</v>
      </c>
      <c r="L46" s="24">
        <f>Income_Statement!L35</f>
        <v>9288.6209882699386</v>
      </c>
    </row>
    <row r="47" spans="2:12" ht="18.75" x14ac:dyDescent="0.25">
      <c r="B47" s="9" t="s">
        <v>141</v>
      </c>
      <c r="C47" s="6"/>
      <c r="D47" s="7">
        <f>D37+D38+D39+D40+D41+D42-D44-D45-D46</f>
        <v>-5727.1199999999981</v>
      </c>
      <c r="E47" s="7">
        <f t="shared" ref="E47:L47" si="3">E37+E38+E39+E40+E41+E42-E44-E45-E46</f>
        <v>-9263.0600000000231</v>
      </c>
      <c r="F47" s="7">
        <f t="shared" si="3"/>
        <v>-21795.159999999993</v>
      </c>
      <c r="G47" s="7">
        <f t="shared" si="3"/>
        <v>-3081.5200000000013</v>
      </c>
      <c r="H47" s="27">
        <f t="shared" si="3"/>
        <v>-994.72925486037457</v>
      </c>
      <c r="I47" s="27">
        <f t="shared" si="3"/>
        <v>-6747.0507472327281</v>
      </c>
      <c r="J47" s="27">
        <f t="shared" si="3"/>
        <v>-4935.4184204462144</v>
      </c>
      <c r="K47" s="27">
        <f t="shared" si="3"/>
        <v>-3480.1577496551963</v>
      </c>
      <c r="L47" s="27">
        <f t="shared" si="3"/>
        <v>-4999.3153417144476</v>
      </c>
    </row>
    <row r="48" spans="2:12" ht="18.75" x14ac:dyDescent="0.25">
      <c r="B48" s="9" t="s">
        <v>142</v>
      </c>
      <c r="C48" s="6"/>
      <c r="D48" s="7">
        <f>D27+D35+D47</f>
        <v>12491.167289112032</v>
      </c>
      <c r="E48" s="7">
        <f t="shared" ref="E48:L48" si="4">E27+E35+E47</f>
        <v>13338.73520154136</v>
      </c>
      <c r="F48" s="7">
        <f t="shared" si="4"/>
        <v>11265.040119974594</v>
      </c>
      <c r="G48" s="7">
        <f t="shared" si="4"/>
        <v>24582.565988830331</v>
      </c>
      <c r="H48" s="27">
        <f t="shared" si="4"/>
        <v>31259.094860350444</v>
      </c>
      <c r="I48" s="27">
        <f t="shared" si="4"/>
        <v>33727.578294695719</v>
      </c>
      <c r="J48" s="27">
        <f t="shared" si="4"/>
        <v>35683.144598489751</v>
      </c>
      <c r="K48" s="27">
        <f t="shared" si="4"/>
        <v>37885.616982351719</v>
      </c>
      <c r="L48" s="27">
        <f t="shared" si="4"/>
        <v>41823.160358866531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628FF0D8-76EB-4FDE-944F-455D74EEB84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D216A-F515-4A8C-B07F-34E8788C6FA8}">
  <dimension ref="B1:O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5" width="14.85546875" bestFit="1" customWidth="1"/>
    <col min="6" max="6" width="15.140625" bestFit="1" customWidth="1"/>
    <col min="7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9.5" thickBot="1" x14ac:dyDescent="0.3">
      <c r="B5" s="43" t="s">
        <v>145</v>
      </c>
      <c r="C5" s="43"/>
      <c r="D5" s="43"/>
      <c r="E5" s="43"/>
      <c r="F5" s="43"/>
      <c r="G5" s="43"/>
    </row>
    <row r="6" spans="2:15" ht="19.5" thickTop="1" x14ac:dyDescent="0.25">
      <c r="B6" s="12" t="str">
        <f>Income_Statement!B49</f>
        <v>Reported Net Profit(PAT)</v>
      </c>
      <c r="C6" s="13">
        <f>Income_Statement!C49</f>
        <v>8008.4159478561396</v>
      </c>
      <c r="D6" s="13">
        <f>Income_Statement!D49</f>
        <v>9677.7672891120183</v>
      </c>
      <c r="E6" s="13">
        <f>Income_Statement!E49</f>
        <v>9961.8852015413995</v>
      </c>
      <c r="F6" s="13">
        <f>Income_Statement!F49</f>
        <v>11483.830119974566</v>
      </c>
      <c r="G6" s="13">
        <f>Income_Statement!G49</f>
        <v>16746.625988830339</v>
      </c>
      <c r="I6" s="34"/>
      <c r="J6" s="35"/>
      <c r="K6" s="35"/>
      <c r="L6" s="36"/>
    </row>
    <row r="7" spans="2:15" ht="18.75" x14ac:dyDescent="0.25">
      <c r="B7" s="12" t="str">
        <f>Income_Statement!B61</f>
        <v>Total Shares Outstanding(cr)</v>
      </c>
      <c r="C7" s="13">
        <f>Income_Statement!C61</f>
        <v>500.52599674100873</v>
      </c>
      <c r="D7" s="13">
        <f>Income_Statement!D61</f>
        <v>509.35617311115885</v>
      </c>
      <c r="E7" s="13">
        <f>Income_Statement!E61</f>
        <v>474.3754857876857</v>
      </c>
      <c r="F7" s="13">
        <f>Income_Statement!F61</f>
        <v>499.29696173802461</v>
      </c>
      <c r="G7" s="13">
        <f>Income_Statement!G61</f>
        <v>697.77608286793077</v>
      </c>
      <c r="I7" s="37"/>
      <c r="J7" s="38"/>
      <c r="K7" s="38"/>
      <c r="L7" s="39"/>
    </row>
    <row r="8" spans="2:15" ht="19.5" thickBot="1" x14ac:dyDescent="0.3">
      <c r="B8" s="14" t="s">
        <v>146</v>
      </c>
      <c r="C8" s="14">
        <f>ROUND(C6/C7, 2)</f>
        <v>16</v>
      </c>
      <c r="D8" s="14">
        <f t="shared" ref="D8:G8" si="0">ROUND(D6/D7, 2)</f>
        <v>19</v>
      </c>
      <c r="E8" s="14">
        <f t="shared" si="0"/>
        <v>21</v>
      </c>
      <c r="F8" s="14">
        <f t="shared" si="0"/>
        <v>23</v>
      </c>
      <c r="G8" s="14">
        <f t="shared" si="0"/>
        <v>24</v>
      </c>
      <c r="I8" s="40"/>
      <c r="J8" s="41"/>
      <c r="K8" s="41"/>
      <c r="L8" s="42"/>
    </row>
    <row r="9" spans="2:15" ht="15.75" thickTop="1" x14ac:dyDescent="0.25"/>
    <row r="10" spans="2:15" ht="19.5" thickBot="1" x14ac:dyDescent="0.3">
      <c r="B10" s="43" t="s">
        <v>147</v>
      </c>
      <c r="C10" s="43"/>
      <c r="D10" s="43"/>
      <c r="E10" s="43"/>
      <c r="F10" s="43"/>
      <c r="G10" s="43"/>
    </row>
    <row r="11" spans="2:15" ht="19.5" thickTop="1" x14ac:dyDescent="0.25">
      <c r="B11" s="12" t="str">
        <f>Income_Statement!B51</f>
        <v>Equity Share Dividend</v>
      </c>
      <c r="C11" s="13">
        <f>Income_Statement!C51</f>
        <v>3034.33</v>
      </c>
      <c r="D11" s="13">
        <f>Income_Statement!D51</f>
        <v>4514.87</v>
      </c>
      <c r="E11" s="13">
        <f>Income_Statement!E51</f>
        <v>3118.02</v>
      </c>
      <c r="F11" s="13">
        <f>Income_Statement!F51</f>
        <v>6821.99</v>
      </c>
      <c r="G11" s="13">
        <f>Income_Statement!G51</f>
        <v>0</v>
      </c>
      <c r="I11" s="34"/>
      <c r="J11" s="35"/>
      <c r="K11" s="35"/>
      <c r="L11" s="36"/>
    </row>
    <row r="12" spans="2:15" ht="18.75" x14ac:dyDescent="0.25">
      <c r="B12" s="12" t="str">
        <f>Income_Statement!B61</f>
        <v>Total Shares Outstanding(cr)</v>
      </c>
      <c r="C12" s="13">
        <f>Income_Statement!C61</f>
        <v>500.52599674100873</v>
      </c>
      <c r="D12" s="13">
        <f>Income_Statement!D61</f>
        <v>509.35617311115885</v>
      </c>
      <c r="E12" s="13">
        <f>Income_Statement!E61</f>
        <v>474.3754857876857</v>
      </c>
      <c r="F12" s="13">
        <f>Income_Statement!F61</f>
        <v>499.29696173802461</v>
      </c>
      <c r="G12" s="13">
        <f>Income_Statement!G61</f>
        <v>697.77608286793077</v>
      </c>
      <c r="I12" s="37"/>
      <c r="J12" s="38"/>
      <c r="K12" s="38"/>
      <c r="L12" s="39"/>
    </row>
    <row r="13" spans="2:15" ht="19.5" thickBot="1" x14ac:dyDescent="0.3">
      <c r="B13" s="14" t="s">
        <v>148</v>
      </c>
      <c r="C13" s="14">
        <f>ROUND(C11/C12, 2)</f>
        <v>6.06</v>
      </c>
      <c r="D13" s="14">
        <f t="shared" ref="D13:G13" si="1">ROUND(D11/D12, 2)</f>
        <v>8.86</v>
      </c>
      <c r="E13" s="14">
        <f t="shared" si="1"/>
        <v>6.57</v>
      </c>
      <c r="F13" s="14">
        <f t="shared" si="1"/>
        <v>13.66</v>
      </c>
      <c r="G13" s="14">
        <f t="shared" si="1"/>
        <v>0</v>
      </c>
      <c r="I13" s="40"/>
      <c r="J13" s="41"/>
      <c r="K13" s="41"/>
      <c r="L13" s="42"/>
    </row>
    <row r="14" spans="2:15" ht="15.75" thickTop="1" x14ac:dyDescent="0.25"/>
    <row r="15" spans="2:15" ht="19.5" thickBot="1" x14ac:dyDescent="0.3">
      <c r="B15" s="43" t="s">
        <v>149</v>
      </c>
      <c r="C15" s="43"/>
      <c r="D15" s="43"/>
      <c r="E15" s="43"/>
      <c r="F15" s="43"/>
      <c r="G15" s="43"/>
    </row>
    <row r="16" spans="2:15" ht="19.5" thickTop="1" x14ac:dyDescent="0.25">
      <c r="B16" s="12" t="str">
        <f>Balance_Sheet!B13</f>
        <v>Net Worth</v>
      </c>
      <c r="C16" s="13">
        <f>Balance_Sheet!C13</f>
        <v>54425.990000000005</v>
      </c>
      <c r="D16" s="13">
        <f>Balance_Sheet!D13</f>
        <v>58648.387289112026</v>
      </c>
      <c r="E16" s="13">
        <f>Balance_Sheet!E13</f>
        <v>64854.312490653421</v>
      </c>
      <c r="F16" s="13">
        <f>Balance_Sheet!F13</f>
        <v>69516.152610627993</v>
      </c>
      <c r="G16" s="13">
        <f>Balance_Sheet!G13</f>
        <v>88006.638599458325</v>
      </c>
      <c r="I16" s="34"/>
      <c r="J16" s="35"/>
      <c r="K16" s="35"/>
      <c r="L16" s="36"/>
    </row>
    <row r="17" spans="2:12" ht="18.75" x14ac:dyDescent="0.25">
      <c r="B17" s="12" t="str">
        <f>Income_Statement!B61</f>
        <v>Total Shares Outstanding(cr)</v>
      </c>
      <c r="C17" s="13">
        <f>Income_Statement!C61</f>
        <v>500.52599674100873</v>
      </c>
      <c r="D17" s="13">
        <f>Income_Statement!D61</f>
        <v>509.35617311115885</v>
      </c>
      <c r="E17" s="13">
        <f>Income_Statement!E61</f>
        <v>474.3754857876857</v>
      </c>
      <c r="F17" s="13">
        <f>Income_Statement!F61</f>
        <v>499.29696173802461</v>
      </c>
      <c r="G17" s="13">
        <f>Income_Statement!G61</f>
        <v>697.77608286793077</v>
      </c>
      <c r="I17" s="37"/>
      <c r="J17" s="38"/>
      <c r="K17" s="38"/>
      <c r="L17" s="39"/>
    </row>
    <row r="18" spans="2:12" ht="19.5" thickBot="1" x14ac:dyDescent="0.3">
      <c r="B18" s="14" t="s">
        <v>150</v>
      </c>
      <c r="C18" s="14">
        <f>ROUND(C16/C17, 2)</f>
        <v>108.74</v>
      </c>
      <c r="D18" s="14">
        <f t="shared" ref="D18:G18" si="2">ROUND(D16/D17, 2)</f>
        <v>115.14</v>
      </c>
      <c r="E18" s="14">
        <f t="shared" si="2"/>
        <v>136.72</v>
      </c>
      <c r="F18" s="14">
        <f t="shared" si="2"/>
        <v>139.22999999999999</v>
      </c>
      <c r="G18" s="14">
        <f t="shared" si="2"/>
        <v>126.12</v>
      </c>
      <c r="I18" s="40"/>
      <c r="J18" s="41"/>
      <c r="K18" s="41"/>
      <c r="L18" s="42"/>
    </row>
    <row r="19" spans="2:12" ht="15.75" thickTop="1" x14ac:dyDescent="0.25"/>
    <row r="20" spans="2:12" ht="18.75" x14ac:dyDescent="0.25">
      <c r="B20" s="43" t="s">
        <v>151</v>
      </c>
      <c r="C20" s="43"/>
      <c r="D20" s="43"/>
      <c r="E20" s="43"/>
      <c r="F20" s="43"/>
      <c r="G20" s="43"/>
    </row>
    <row r="21" spans="2:12" ht="18.75" x14ac:dyDescent="0.25">
      <c r="B21" s="12" t="str">
        <f>Income_Statement!B51</f>
        <v>Equity Share Dividend</v>
      </c>
      <c r="C21" s="13">
        <f>Income_Statement!C51</f>
        <v>3034.33</v>
      </c>
      <c r="D21" s="13">
        <f>Income_Statement!D51</f>
        <v>4514.87</v>
      </c>
      <c r="E21" s="13">
        <f>Income_Statement!E51</f>
        <v>3118.02</v>
      </c>
      <c r="F21" s="13">
        <f>Income_Statement!F51</f>
        <v>6821.99</v>
      </c>
      <c r="G21" s="13">
        <f>Income_Statement!G51</f>
        <v>0</v>
      </c>
    </row>
    <row r="22" spans="2:12" ht="18.75" x14ac:dyDescent="0.25">
      <c r="B22" s="12" t="str">
        <f>Income_Statement!B61</f>
        <v>Total Shares Outstanding(cr)</v>
      </c>
      <c r="C22" s="13">
        <f>Income_Statement!C61</f>
        <v>500.52599674100873</v>
      </c>
      <c r="D22" s="13">
        <f>Income_Statement!D61</f>
        <v>509.35617311115885</v>
      </c>
      <c r="E22" s="13">
        <f>Income_Statement!E61</f>
        <v>474.3754857876857</v>
      </c>
      <c r="F22" s="13">
        <f>Income_Statement!F61</f>
        <v>499.29696173802461</v>
      </c>
      <c r="G22" s="13">
        <f>Income_Statement!G61</f>
        <v>697.77608286793077</v>
      </c>
    </row>
    <row r="23" spans="2:12" ht="18.75" x14ac:dyDescent="0.25">
      <c r="B23" s="12" t="s">
        <v>148</v>
      </c>
      <c r="C23" s="13">
        <f>ROUND(C21/C22, 2)</f>
        <v>6.06</v>
      </c>
      <c r="D23" s="13">
        <f t="shared" ref="D23:G23" si="3">ROUND(D21/D22, 2)</f>
        <v>8.86</v>
      </c>
      <c r="E23" s="13">
        <f t="shared" si="3"/>
        <v>6.57</v>
      </c>
      <c r="F23" s="13">
        <f t="shared" si="3"/>
        <v>13.66</v>
      </c>
      <c r="G23" s="13">
        <f t="shared" si="3"/>
        <v>0</v>
      </c>
    </row>
    <row r="24" spans="2:12" ht="19.5" thickBot="1" x14ac:dyDescent="0.3">
      <c r="B24" s="12" t="str">
        <f>Income_Statement!B49</f>
        <v>Reported Net Profit(PAT)</v>
      </c>
      <c r="C24" s="13">
        <f>Income_Statement!C49</f>
        <v>8008.4159478561396</v>
      </c>
      <c r="D24" s="13">
        <f>Income_Statement!D49</f>
        <v>9677.7672891120183</v>
      </c>
      <c r="E24" s="13">
        <f>Income_Statement!E49</f>
        <v>9961.8852015413995</v>
      </c>
      <c r="F24" s="13">
        <f>Income_Statement!F49</f>
        <v>11483.830119974566</v>
      </c>
      <c r="G24" s="13">
        <f>Income_Statement!G49</f>
        <v>16746.625988830339</v>
      </c>
    </row>
    <row r="25" spans="2:12" ht="19.5" thickTop="1" x14ac:dyDescent="0.25">
      <c r="B25" s="12" t="str">
        <f>Income_Statement!B61</f>
        <v>Total Shares Outstanding(cr)</v>
      </c>
      <c r="C25" s="13">
        <f>Income_Statement!C61</f>
        <v>500.52599674100873</v>
      </c>
      <c r="D25" s="13">
        <f>Income_Statement!D61</f>
        <v>509.35617311115885</v>
      </c>
      <c r="E25" s="13">
        <f>Income_Statement!E61</f>
        <v>474.3754857876857</v>
      </c>
      <c r="F25" s="13">
        <f>Income_Statement!F61</f>
        <v>499.29696173802461</v>
      </c>
      <c r="G25" s="13">
        <f>Income_Statement!G61</f>
        <v>697.77608286793077</v>
      </c>
      <c r="I25" s="34"/>
      <c r="J25" s="35"/>
      <c r="K25" s="35"/>
      <c r="L25" s="36"/>
    </row>
    <row r="26" spans="2:12" ht="18.75" x14ac:dyDescent="0.25">
      <c r="B26" s="12" t="s">
        <v>146</v>
      </c>
      <c r="C26" s="13">
        <f>C24/C25</f>
        <v>16</v>
      </c>
      <c r="D26" s="13">
        <f t="shared" ref="D26:G26" si="4">D24/D25</f>
        <v>19</v>
      </c>
      <c r="E26" s="13">
        <f t="shared" si="4"/>
        <v>21</v>
      </c>
      <c r="F26" s="13">
        <f t="shared" si="4"/>
        <v>23</v>
      </c>
      <c r="G26" s="13">
        <f t="shared" si="4"/>
        <v>24</v>
      </c>
      <c r="I26" s="37"/>
      <c r="J26" s="38"/>
      <c r="K26" s="38"/>
      <c r="L26" s="39"/>
    </row>
    <row r="27" spans="2:12" ht="19.5" thickBot="1" x14ac:dyDescent="0.3">
      <c r="B27" s="14" t="s">
        <v>152</v>
      </c>
      <c r="C27" s="14">
        <f>ROUND(C23/C26, 2)</f>
        <v>0.38</v>
      </c>
      <c r="D27" s="14">
        <f t="shared" ref="D27:G27" si="5">ROUND(D23/D26, 2)</f>
        <v>0.47</v>
      </c>
      <c r="E27" s="14">
        <f t="shared" si="5"/>
        <v>0.31</v>
      </c>
      <c r="F27" s="14">
        <f t="shared" si="5"/>
        <v>0.59</v>
      </c>
      <c r="G27" s="14">
        <f t="shared" si="5"/>
        <v>0</v>
      </c>
      <c r="I27" s="40"/>
      <c r="J27" s="41"/>
      <c r="K27" s="41"/>
      <c r="L27" s="42"/>
    </row>
    <row r="28" spans="2:12" ht="15.75" thickTop="1" x14ac:dyDescent="0.25"/>
    <row r="29" spans="2:12" ht="18.75" x14ac:dyDescent="0.25">
      <c r="B29" s="43" t="s">
        <v>153</v>
      </c>
      <c r="C29" s="43"/>
      <c r="D29" s="43"/>
      <c r="E29" s="43"/>
      <c r="F29" s="43"/>
      <c r="G29" s="43"/>
    </row>
    <row r="30" spans="2:12" ht="19.5" thickBot="1" x14ac:dyDescent="0.3">
      <c r="B30" s="12" t="str">
        <f>Income_Statement!B51</f>
        <v>Equity Share Dividend</v>
      </c>
      <c r="C30" s="13">
        <f>Income_Statement!C51</f>
        <v>3034.33</v>
      </c>
      <c r="D30" s="13">
        <f>Income_Statement!D51</f>
        <v>4514.87</v>
      </c>
      <c r="E30" s="13">
        <f>Income_Statement!E51</f>
        <v>3118.02</v>
      </c>
      <c r="F30" s="13">
        <f>Income_Statement!F51</f>
        <v>6821.99</v>
      </c>
      <c r="G30" s="13">
        <f>Income_Statement!G51</f>
        <v>0</v>
      </c>
    </row>
    <row r="31" spans="2:12" ht="19.5" thickTop="1" x14ac:dyDescent="0.25">
      <c r="B31" s="12" t="str">
        <f>Income_Statement!B61</f>
        <v>Total Shares Outstanding(cr)</v>
      </c>
      <c r="C31" s="13">
        <f>Income_Statement!C61</f>
        <v>500.52599674100873</v>
      </c>
      <c r="D31" s="13">
        <f>Income_Statement!D61</f>
        <v>509.35617311115885</v>
      </c>
      <c r="E31" s="13">
        <f>Income_Statement!E61</f>
        <v>474.3754857876857</v>
      </c>
      <c r="F31" s="13">
        <f>Income_Statement!F61</f>
        <v>499.29696173802461</v>
      </c>
      <c r="G31" s="13">
        <f>Income_Statement!G61</f>
        <v>697.77608286793077</v>
      </c>
      <c r="I31" s="34"/>
      <c r="J31" s="35"/>
      <c r="K31" s="35"/>
      <c r="L31" s="36"/>
    </row>
    <row r="32" spans="2:12" ht="18.75" x14ac:dyDescent="0.25">
      <c r="B32" s="12" t="s">
        <v>154</v>
      </c>
      <c r="C32" s="13">
        <f>ROUND(C30/C31, 2)</f>
        <v>6.06</v>
      </c>
      <c r="D32" s="13">
        <f t="shared" ref="D32:G32" si="6">ROUND(D30/D31, 2)</f>
        <v>8.86</v>
      </c>
      <c r="E32" s="13">
        <f t="shared" si="6"/>
        <v>6.57</v>
      </c>
      <c r="F32" s="13">
        <f t="shared" si="6"/>
        <v>13.66</v>
      </c>
      <c r="G32" s="13">
        <f t="shared" si="6"/>
        <v>0</v>
      </c>
      <c r="I32" s="37"/>
      <c r="J32" s="38"/>
      <c r="K32" s="38"/>
      <c r="L32" s="39"/>
    </row>
    <row r="33" spans="2:12" ht="19.5" thickBot="1" x14ac:dyDescent="0.3">
      <c r="B33" s="14" t="s">
        <v>155</v>
      </c>
      <c r="C33" s="15">
        <f>1-C32</f>
        <v>-5.0599999999999996</v>
      </c>
      <c r="D33" s="15">
        <f t="shared" ref="D33:G33" si="7">1-D32</f>
        <v>-7.8599999999999994</v>
      </c>
      <c r="E33" s="15">
        <f t="shared" si="7"/>
        <v>-5.57</v>
      </c>
      <c r="F33" s="15">
        <f t="shared" si="7"/>
        <v>-12.66</v>
      </c>
      <c r="G33" s="15">
        <f t="shared" si="7"/>
        <v>1</v>
      </c>
      <c r="I33" s="40"/>
      <c r="J33" s="41"/>
      <c r="K33" s="41"/>
      <c r="L33" s="42"/>
    </row>
    <row r="34" spans="2:12" ht="15.75" thickTop="1" x14ac:dyDescent="0.25"/>
    <row r="35" spans="2:12" ht="19.5" thickBot="1" x14ac:dyDescent="0.3">
      <c r="B35" s="43" t="s">
        <v>156</v>
      </c>
      <c r="C35" s="43"/>
      <c r="D35" s="43"/>
      <c r="E35" s="43"/>
      <c r="F35" s="43"/>
      <c r="G35" s="43"/>
    </row>
    <row r="36" spans="2:12" ht="19.5" thickTop="1" x14ac:dyDescent="0.25">
      <c r="B36" s="12" t="str">
        <f>Income_Statement!B5</f>
        <v>Gross Sales</v>
      </c>
      <c r="C36" s="13">
        <f>Income_Statement!C5</f>
        <v>29904.959999999999</v>
      </c>
      <c r="D36" s="13">
        <f>Income_Statement!D5</f>
        <v>34831.17</v>
      </c>
      <c r="E36" s="13">
        <f>Income_Statement!E5</f>
        <v>36800.129999999997</v>
      </c>
      <c r="F36" s="13">
        <f>Income_Statement!F5</f>
        <v>39300.83</v>
      </c>
      <c r="G36" s="13">
        <f>Income_Statement!G5</f>
        <v>41616.339999999997</v>
      </c>
      <c r="I36" s="34"/>
      <c r="J36" s="35"/>
      <c r="K36" s="35"/>
      <c r="L36" s="36"/>
    </row>
    <row r="37" spans="2:12" ht="18.75" x14ac:dyDescent="0.25">
      <c r="B37" s="12" t="str">
        <f>Income_Statement!B17</f>
        <v>Cost Of Materials Consumed</v>
      </c>
      <c r="C37" s="13">
        <f>Income_Statement!C17</f>
        <v>0</v>
      </c>
      <c r="D37" s="13">
        <f>Income_Statement!D17</f>
        <v>0</v>
      </c>
      <c r="E37" s="13">
        <f>Income_Statement!E17</f>
        <v>0</v>
      </c>
      <c r="F37" s="13">
        <f>Income_Statement!F17</f>
        <v>0</v>
      </c>
      <c r="G37" s="13">
        <f>Income_Statement!G17</f>
        <v>0</v>
      </c>
      <c r="I37" s="37"/>
      <c r="J37" s="38"/>
      <c r="K37" s="38"/>
      <c r="L37" s="39"/>
    </row>
    <row r="38" spans="2:12" ht="19.5" thickBot="1" x14ac:dyDescent="0.3">
      <c r="B38" s="14" t="s">
        <v>157</v>
      </c>
      <c r="C38" s="16">
        <f>ROUND(C36- C37, 2)</f>
        <v>29904.959999999999</v>
      </c>
      <c r="D38" s="16">
        <f t="shared" ref="D38:G38" si="8">ROUND(D36- D37, 2)</f>
        <v>34831.17</v>
      </c>
      <c r="E38" s="16">
        <f t="shared" si="8"/>
        <v>36800.129999999997</v>
      </c>
      <c r="F38" s="16">
        <f t="shared" si="8"/>
        <v>39300.83</v>
      </c>
      <c r="G38" s="16">
        <f t="shared" si="8"/>
        <v>41616.339999999997</v>
      </c>
      <c r="I38" s="40"/>
      <c r="J38" s="41"/>
      <c r="K38" s="41"/>
      <c r="L38" s="42"/>
    </row>
    <row r="39" spans="2:12" ht="15.75" thickTop="1" x14ac:dyDescent="0.25"/>
    <row r="40" spans="2:12" ht="19.5" thickBot="1" x14ac:dyDescent="0.3">
      <c r="B40" s="43" t="s">
        <v>158</v>
      </c>
      <c r="C40" s="43"/>
      <c r="D40" s="43"/>
      <c r="E40" s="43"/>
      <c r="F40" s="43"/>
      <c r="G40" s="43"/>
    </row>
    <row r="41" spans="2:12" ht="19.5" thickTop="1" x14ac:dyDescent="0.25">
      <c r="B41" s="12" t="str">
        <f>Income_Statement!B5</f>
        <v>Gross Sales</v>
      </c>
      <c r="C41" s="13">
        <f>Income_Statement!C5</f>
        <v>29904.959999999999</v>
      </c>
      <c r="D41" s="13">
        <f>Income_Statement!D5</f>
        <v>34831.17</v>
      </c>
      <c r="E41" s="13">
        <f>Income_Statement!E5</f>
        <v>36800.129999999997</v>
      </c>
      <c r="F41" s="13">
        <f>Income_Statement!F5</f>
        <v>39300.83</v>
      </c>
      <c r="G41" s="13">
        <f>Income_Statement!G5</f>
        <v>41616.339999999997</v>
      </c>
      <c r="I41" s="34"/>
      <c r="J41" s="35"/>
      <c r="K41" s="35"/>
      <c r="L41" s="36"/>
    </row>
    <row r="42" spans="2:12" ht="18.75" x14ac:dyDescent="0.25">
      <c r="B42" s="12" t="str">
        <f>Income_Statement!B25</f>
        <v>Total Expenditure</v>
      </c>
      <c r="C42" s="13">
        <f>Income_Statement!C25</f>
        <v>3836.79</v>
      </c>
      <c r="D42" s="13">
        <f>Income_Statement!D25</f>
        <v>4838.58</v>
      </c>
      <c r="E42" s="13">
        <f>Income_Statement!E25</f>
        <v>4803.3</v>
      </c>
      <c r="F42" s="13">
        <f>Income_Statement!F25</f>
        <v>4646.68</v>
      </c>
      <c r="G42" s="13">
        <f>Income_Statement!G25</f>
        <v>5049.4400000000005</v>
      </c>
      <c r="I42" s="37"/>
      <c r="J42" s="38"/>
      <c r="K42" s="38"/>
      <c r="L42" s="39"/>
    </row>
    <row r="43" spans="2:12" ht="19.5" thickBot="1" x14ac:dyDescent="0.3">
      <c r="B43" s="14" t="s">
        <v>159</v>
      </c>
      <c r="C43" s="16">
        <f>ROUND(C41- C42, 2)</f>
        <v>26068.17</v>
      </c>
      <c r="D43" s="16">
        <f t="shared" ref="D43:G43" si="9">ROUND(D41- D42, 2)</f>
        <v>29992.59</v>
      </c>
      <c r="E43" s="16">
        <f t="shared" si="9"/>
        <v>31996.83</v>
      </c>
      <c r="F43" s="16">
        <f t="shared" si="9"/>
        <v>34654.15</v>
      </c>
      <c r="G43" s="16">
        <f t="shared" si="9"/>
        <v>36566.9</v>
      </c>
      <c r="I43" s="40"/>
      <c r="J43" s="41"/>
      <c r="K43" s="41"/>
      <c r="L43" s="42"/>
    </row>
    <row r="44" spans="2:12" ht="15.75" thickTop="1" x14ac:dyDescent="0.25"/>
    <row r="45" spans="2:12" ht="19.5" thickBot="1" x14ac:dyDescent="0.3">
      <c r="B45" s="43" t="s">
        <v>160</v>
      </c>
      <c r="C45" s="43"/>
      <c r="D45" s="43"/>
      <c r="E45" s="43"/>
      <c r="F45" s="43"/>
      <c r="G45" s="43"/>
    </row>
    <row r="46" spans="2:12" ht="19.5" thickTop="1" x14ac:dyDescent="0.25">
      <c r="B46" s="12" t="str">
        <f>Income_Statement!B49</f>
        <v>Reported Net Profit(PAT)</v>
      </c>
      <c r="C46" s="13">
        <f>Income_Statement!C49</f>
        <v>8008.4159478561396</v>
      </c>
      <c r="D46" s="13">
        <f>Income_Statement!D49</f>
        <v>9677.7672891120183</v>
      </c>
      <c r="E46" s="13">
        <f>Income_Statement!E49</f>
        <v>9961.8852015413995</v>
      </c>
      <c r="F46" s="13">
        <f>Income_Statement!F49</f>
        <v>11483.830119974566</v>
      </c>
      <c r="G46" s="13">
        <f>Income_Statement!G49</f>
        <v>16746.625988830339</v>
      </c>
      <c r="I46" s="34"/>
      <c r="J46" s="35"/>
      <c r="K46" s="35"/>
      <c r="L46" s="36"/>
    </row>
    <row r="47" spans="2:12" ht="18.75" x14ac:dyDescent="0.25">
      <c r="B47" s="12" t="str">
        <f>Balance_Sheet!B74</f>
        <v>Total Assets</v>
      </c>
      <c r="C47" s="13">
        <f>Balance_Sheet!C74</f>
        <v>225316.05</v>
      </c>
      <c r="D47" s="13">
        <f>Balance_Sheet!D74</f>
        <v>246917.58728911204</v>
      </c>
      <c r="E47" s="13">
        <f>Balance_Sheet!E74</f>
        <v>256812.18249065339</v>
      </c>
      <c r="F47" s="13">
        <f>Balance_Sheet!F74</f>
        <v>255329.20261062798</v>
      </c>
      <c r="G47" s="13">
        <f>Balance_Sheet!G74</f>
        <v>262702.93859945831</v>
      </c>
      <c r="I47" s="37"/>
      <c r="J47" s="38"/>
      <c r="K47" s="38"/>
      <c r="L47" s="39"/>
    </row>
    <row r="48" spans="2:12" ht="19.5" thickBot="1" x14ac:dyDescent="0.3">
      <c r="B48" s="14" t="s">
        <v>161</v>
      </c>
      <c r="C48" s="15">
        <f>ROUND(C46/ C47, 2)</f>
        <v>0.04</v>
      </c>
      <c r="D48" s="15">
        <f t="shared" ref="D48:G48" si="10">ROUND(D46/ D47, 2)</f>
        <v>0.04</v>
      </c>
      <c r="E48" s="15">
        <f t="shared" si="10"/>
        <v>0.04</v>
      </c>
      <c r="F48" s="15">
        <f t="shared" si="10"/>
        <v>0.04</v>
      </c>
      <c r="G48" s="15">
        <f t="shared" si="10"/>
        <v>0.06</v>
      </c>
      <c r="I48" s="40"/>
      <c r="J48" s="41"/>
      <c r="K48" s="41"/>
      <c r="L48" s="42"/>
    </row>
    <row r="49" spans="2:12" ht="15.75" thickTop="1" x14ac:dyDescent="0.25"/>
    <row r="50" spans="2:12" ht="18.75" x14ac:dyDescent="0.25">
      <c r="B50" s="43" t="s">
        <v>162</v>
      </c>
      <c r="C50" s="43"/>
      <c r="D50" s="43"/>
      <c r="E50" s="43"/>
      <c r="F50" s="43"/>
      <c r="G50" s="43"/>
    </row>
    <row r="51" spans="2:12" ht="19.5" thickBot="1" x14ac:dyDescent="0.3">
      <c r="B51" s="12" t="str">
        <f>Income_Statement!B33</f>
        <v>PBIT</v>
      </c>
      <c r="C51" s="13">
        <f>Income_Statement!C33</f>
        <v>17315.115947856139</v>
      </c>
      <c r="D51" s="13">
        <f>Income_Statement!D33</f>
        <v>20054.857289112017</v>
      </c>
      <c r="E51" s="13">
        <f>Income_Statement!E33</f>
        <v>21318.2352015414</v>
      </c>
      <c r="F51" s="13">
        <f>Income_Statement!F33</f>
        <v>23799.730119974563</v>
      </c>
      <c r="G51" s="13">
        <f>Income_Statement!G33</f>
        <v>24777.82598883034</v>
      </c>
    </row>
    <row r="52" spans="2:12" ht="19.5" thickTop="1" x14ac:dyDescent="0.25">
      <c r="B52" s="12" t="str">
        <f>Balance_Sheet!B21</f>
        <v>Total Debt</v>
      </c>
      <c r="C52" s="13">
        <f>Balance_Sheet!C21</f>
        <v>137183.17000000001</v>
      </c>
      <c r="D52" s="13">
        <f>Balance_Sheet!D21</f>
        <v>145647.99000000002</v>
      </c>
      <c r="E52" s="13">
        <f>Balance_Sheet!E21</f>
        <v>149649.88999999998</v>
      </c>
      <c r="F52" s="13">
        <f>Balance_Sheet!F21</f>
        <v>142811.41</v>
      </c>
      <c r="G52" s="13">
        <f>Balance_Sheet!G21</f>
        <v>146022.25</v>
      </c>
      <c r="I52" s="34"/>
      <c r="J52" s="35"/>
      <c r="K52" s="35"/>
      <c r="L52" s="36"/>
    </row>
    <row r="53" spans="2:12" ht="18.75" x14ac:dyDescent="0.25">
      <c r="B53" s="12" t="str">
        <f>Balance_Sheet!B13</f>
        <v>Net Worth</v>
      </c>
      <c r="C53" s="13">
        <f>Balance_Sheet!C13</f>
        <v>54425.990000000005</v>
      </c>
      <c r="D53" s="13">
        <f>Balance_Sheet!D13</f>
        <v>58648.387289112026</v>
      </c>
      <c r="E53" s="13">
        <f>Balance_Sheet!E13</f>
        <v>64854.312490653421</v>
      </c>
      <c r="F53" s="13">
        <f>Balance_Sheet!F13</f>
        <v>69516.152610627993</v>
      </c>
      <c r="G53" s="13">
        <f>Balance_Sheet!G13</f>
        <v>88006.638599458325</v>
      </c>
      <c r="I53" s="37"/>
      <c r="J53" s="38"/>
      <c r="K53" s="38"/>
      <c r="L53" s="39"/>
    </row>
    <row r="54" spans="2:12" ht="19.5" thickBot="1" x14ac:dyDescent="0.3">
      <c r="B54" s="14" t="s">
        <v>163</v>
      </c>
      <c r="C54" s="15">
        <f>ROUND(C51/ (C52+ C52), 2)</f>
        <v>0.06</v>
      </c>
      <c r="D54" s="15">
        <f t="shared" ref="D54:G54" si="11">ROUND(D51/ (D52+ D52), 2)</f>
        <v>7.0000000000000007E-2</v>
      </c>
      <c r="E54" s="15">
        <f t="shared" si="11"/>
        <v>7.0000000000000007E-2</v>
      </c>
      <c r="F54" s="15">
        <f t="shared" si="11"/>
        <v>0.08</v>
      </c>
      <c r="G54" s="15">
        <f t="shared" si="11"/>
        <v>0.08</v>
      </c>
      <c r="I54" s="40"/>
      <c r="J54" s="41"/>
      <c r="K54" s="41"/>
      <c r="L54" s="42"/>
    </row>
    <row r="55" spans="2:12" ht="15.75" thickTop="1" x14ac:dyDescent="0.25"/>
    <row r="56" spans="2:12" ht="19.5" thickBot="1" x14ac:dyDescent="0.3">
      <c r="B56" s="43" t="s">
        <v>164</v>
      </c>
      <c r="C56" s="43"/>
      <c r="D56" s="43"/>
      <c r="E56" s="43"/>
      <c r="F56" s="43"/>
      <c r="G56" s="43"/>
    </row>
    <row r="57" spans="2:12" ht="19.5" thickTop="1" x14ac:dyDescent="0.25">
      <c r="B57" s="12" t="str">
        <f>Income_Statement!B49</f>
        <v>Reported Net Profit(PAT)</v>
      </c>
      <c r="C57" s="13">
        <f>Income_Statement!C49</f>
        <v>8008.4159478561396</v>
      </c>
      <c r="D57" s="13">
        <f>Income_Statement!D49</f>
        <v>9677.7672891120183</v>
      </c>
      <c r="E57" s="13">
        <f>Income_Statement!E49</f>
        <v>9961.8852015413995</v>
      </c>
      <c r="F57" s="13">
        <f>Income_Statement!F49</f>
        <v>11483.830119974566</v>
      </c>
      <c r="G57" s="13">
        <f>Income_Statement!G49</f>
        <v>16746.625988830339</v>
      </c>
      <c r="I57" s="34"/>
      <c r="J57" s="35"/>
      <c r="K57" s="35"/>
      <c r="L57" s="36"/>
    </row>
    <row r="58" spans="2:12" ht="18.75" x14ac:dyDescent="0.25">
      <c r="B58" s="12" t="str">
        <f>Balance_Sheet!B13</f>
        <v>Net Worth</v>
      </c>
      <c r="C58" s="13">
        <f>Balance_Sheet!C13</f>
        <v>54425.990000000005</v>
      </c>
      <c r="D58" s="13">
        <f>Balance_Sheet!D13</f>
        <v>58648.387289112026</v>
      </c>
      <c r="E58" s="13">
        <f>Balance_Sheet!E13</f>
        <v>64854.312490653421</v>
      </c>
      <c r="F58" s="13">
        <f>Balance_Sheet!F13</f>
        <v>69516.152610627993</v>
      </c>
      <c r="G58" s="13">
        <f>Balance_Sheet!G13</f>
        <v>88006.638599458325</v>
      </c>
      <c r="I58" s="37"/>
      <c r="J58" s="38"/>
      <c r="K58" s="38"/>
      <c r="L58" s="39"/>
    </row>
    <row r="59" spans="2:12" ht="19.5" thickBot="1" x14ac:dyDescent="0.3">
      <c r="B59" s="14" t="s">
        <v>165</v>
      </c>
      <c r="C59" s="15">
        <f>ROUND(C57/ (C58+ C58), 2)</f>
        <v>7.0000000000000007E-2</v>
      </c>
      <c r="D59" s="15">
        <f t="shared" ref="D59:G59" si="12">ROUND(D57/ (D58+ D58), 2)</f>
        <v>0.08</v>
      </c>
      <c r="E59" s="15">
        <f t="shared" si="12"/>
        <v>0.08</v>
      </c>
      <c r="F59" s="15">
        <f t="shared" si="12"/>
        <v>0.08</v>
      </c>
      <c r="G59" s="15">
        <f t="shared" si="12"/>
        <v>0.1</v>
      </c>
      <c r="I59" s="40"/>
      <c r="J59" s="41"/>
      <c r="K59" s="41"/>
      <c r="L59" s="42"/>
    </row>
    <row r="60" spans="2:12" ht="15.75" thickTop="1" x14ac:dyDescent="0.25"/>
    <row r="61" spans="2:12" ht="19.5" thickBot="1" x14ac:dyDescent="0.3">
      <c r="B61" s="43" t="s">
        <v>166</v>
      </c>
      <c r="C61" s="43"/>
      <c r="D61" s="43"/>
      <c r="E61" s="43"/>
      <c r="F61" s="43"/>
      <c r="G61" s="43"/>
    </row>
    <row r="62" spans="2:12" ht="19.5" thickTop="1" x14ac:dyDescent="0.25">
      <c r="B62" s="12" t="str">
        <f>Balance_Sheet!B21</f>
        <v>Total Debt</v>
      </c>
      <c r="C62" s="13">
        <f>Balance_Sheet!C21</f>
        <v>137183.17000000001</v>
      </c>
      <c r="D62" s="13">
        <f>Balance_Sheet!D21</f>
        <v>145647.99000000002</v>
      </c>
      <c r="E62" s="13">
        <f>Balance_Sheet!E21</f>
        <v>149649.88999999998</v>
      </c>
      <c r="F62" s="13">
        <f>Balance_Sheet!F21</f>
        <v>142811.41</v>
      </c>
      <c r="G62" s="13">
        <f>Balance_Sheet!G21</f>
        <v>146022.25</v>
      </c>
      <c r="I62" s="34"/>
      <c r="J62" s="35"/>
      <c r="K62" s="35"/>
      <c r="L62" s="36"/>
    </row>
    <row r="63" spans="2:12" ht="18.75" x14ac:dyDescent="0.25">
      <c r="B63" s="12" t="str">
        <f>Balance_Sheet!B13</f>
        <v>Net Worth</v>
      </c>
      <c r="C63" s="13">
        <f>Balance_Sheet!C13</f>
        <v>54425.990000000005</v>
      </c>
      <c r="D63" s="13">
        <f>Balance_Sheet!D13</f>
        <v>58648.387289112026</v>
      </c>
      <c r="E63" s="13">
        <f>Balance_Sheet!E13</f>
        <v>64854.312490653421</v>
      </c>
      <c r="F63" s="13">
        <f>Balance_Sheet!F13</f>
        <v>69516.152610627993</v>
      </c>
      <c r="G63" s="13">
        <f>Balance_Sheet!G13</f>
        <v>88006.638599458325</v>
      </c>
      <c r="I63" s="37"/>
      <c r="J63" s="38"/>
      <c r="K63" s="38"/>
      <c r="L63" s="39"/>
    </row>
    <row r="64" spans="2:12" ht="19.5" thickBot="1" x14ac:dyDescent="0.3">
      <c r="B64" s="14" t="s">
        <v>167</v>
      </c>
      <c r="C64" s="14">
        <f>ROUND(C62/ C63, 2)</f>
        <v>2.52</v>
      </c>
      <c r="D64" s="14">
        <f t="shared" ref="D64:G64" si="13">ROUND(D62/ D63, 2)</f>
        <v>2.48</v>
      </c>
      <c r="E64" s="14">
        <f t="shared" si="13"/>
        <v>2.31</v>
      </c>
      <c r="F64" s="14">
        <f t="shared" si="13"/>
        <v>2.0499999999999998</v>
      </c>
      <c r="G64" s="14">
        <f t="shared" si="13"/>
        <v>1.66</v>
      </c>
      <c r="I64" s="40"/>
      <c r="J64" s="41"/>
      <c r="K64" s="41"/>
      <c r="L64" s="42"/>
    </row>
    <row r="65" spans="2:12" ht="15.75" thickTop="1" x14ac:dyDescent="0.25"/>
    <row r="66" spans="2:12" ht="19.5" thickBot="1" x14ac:dyDescent="0.3">
      <c r="B66" s="43" t="s">
        <v>168</v>
      </c>
      <c r="C66" s="43"/>
      <c r="D66" s="43"/>
      <c r="E66" s="43"/>
      <c r="F66" s="43"/>
      <c r="G66" s="43"/>
    </row>
    <row r="67" spans="2:12" ht="19.5" thickTop="1" x14ac:dyDescent="0.25">
      <c r="B67" s="12" t="str">
        <f>Balance_Sheet!B72</f>
        <v>Total Current Assets</v>
      </c>
      <c r="C67" s="13">
        <f>Balance_Sheet!C72</f>
        <v>30225.239999999998</v>
      </c>
      <c r="D67" s="13">
        <f>Balance_Sheet!D72</f>
        <v>46034.027289112026</v>
      </c>
      <c r="E67" s="13">
        <f>Balance_Sheet!E72</f>
        <v>61512.55249065339</v>
      </c>
      <c r="F67" s="13">
        <f>Balance_Sheet!F72</f>
        <v>79625.062610627996</v>
      </c>
      <c r="G67" s="13">
        <f>Balance_Sheet!G72</f>
        <v>101347.69859945832</v>
      </c>
      <c r="I67" s="34"/>
      <c r="J67" s="35"/>
      <c r="K67" s="35"/>
      <c r="L67" s="36"/>
    </row>
    <row r="68" spans="2:12" ht="18.75" x14ac:dyDescent="0.25">
      <c r="B68" s="12" t="str">
        <f>Balance_Sheet!B33</f>
        <v>Total Current Liabilities</v>
      </c>
      <c r="C68" s="13">
        <f>Balance_Sheet!C33</f>
        <v>33706.89</v>
      </c>
      <c r="D68" s="13">
        <f>Balance_Sheet!D33</f>
        <v>42621.210000000006</v>
      </c>
      <c r="E68" s="13">
        <f>Balance_Sheet!E33</f>
        <v>42307.979999999996</v>
      </c>
      <c r="F68" s="13">
        <f>Balance_Sheet!F33</f>
        <v>43001.64</v>
      </c>
      <c r="G68" s="13">
        <f>Balance_Sheet!G33</f>
        <v>28674.050000000003</v>
      </c>
      <c r="I68" s="37"/>
      <c r="J68" s="38"/>
      <c r="K68" s="38"/>
      <c r="L68" s="39"/>
    </row>
    <row r="69" spans="2:12" ht="19.5" thickBot="1" x14ac:dyDescent="0.3">
      <c r="B69" s="14" t="s">
        <v>169</v>
      </c>
      <c r="C69" s="14">
        <f>ROUND(C67/ C68, 2)</f>
        <v>0.9</v>
      </c>
      <c r="D69" s="14">
        <f t="shared" ref="D69:G69" si="14">ROUND(D67/ D68, 2)</f>
        <v>1.08</v>
      </c>
      <c r="E69" s="14">
        <f t="shared" si="14"/>
        <v>1.45</v>
      </c>
      <c r="F69" s="14">
        <f t="shared" si="14"/>
        <v>1.85</v>
      </c>
      <c r="G69" s="14">
        <f t="shared" si="14"/>
        <v>3.53</v>
      </c>
      <c r="I69" s="40"/>
      <c r="J69" s="41"/>
      <c r="K69" s="41"/>
      <c r="L69" s="42"/>
    </row>
    <row r="70" spans="2:12" ht="15.75" thickTop="1" x14ac:dyDescent="0.25"/>
    <row r="71" spans="2:12" ht="18.75" x14ac:dyDescent="0.25">
      <c r="B71" s="43" t="s">
        <v>170</v>
      </c>
      <c r="C71" s="43"/>
      <c r="D71" s="43"/>
      <c r="E71" s="43"/>
      <c r="F71" s="43"/>
      <c r="G71" s="43"/>
    </row>
    <row r="72" spans="2:12" ht="19.5" thickBot="1" x14ac:dyDescent="0.3">
      <c r="B72" s="12" t="str">
        <f>Balance_Sheet!B72</f>
        <v>Total Current Assets</v>
      </c>
      <c r="C72" s="13">
        <f>Balance_Sheet!C72</f>
        <v>30225.239999999998</v>
      </c>
      <c r="D72" s="13">
        <f>Balance_Sheet!D72</f>
        <v>46034.027289112026</v>
      </c>
      <c r="E72" s="13">
        <f>Balance_Sheet!E72</f>
        <v>61512.55249065339</v>
      </c>
      <c r="F72" s="13">
        <f>Balance_Sheet!F72</f>
        <v>79625.062610627996</v>
      </c>
      <c r="G72" s="13">
        <f>Balance_Sheet!G72</f>
        <v>101347.69859945832</v>
      </c>
    </row>
    <row r="73" spans="2:12" ht="19.5" thickTop="1" x14ac:dyDescent="0.25">
      <c r="B73" s="12" t="str">
        <f>Balance_Sheet!B66</f>
        <v>Inventories</v>
      </c>
      <c r="C73" s="13">
        <f>Balance_Sheet!C66</f>
        <v>1049.3499999999999</v>
      </c>
      <c r="D73" s="13">
        <f>Balance_Sheet!D66</f>
        <v>1247.25</v>
      </c>
      <c r="E73" s="13">
        <f>Balance_Sheet!E66</f>
        <v>1433.46</v>
      </c>
      <c r="F73" s="13">
        <f>Balance_Sheet!F66</f>
        <v>1366.94</v>
      </c>
      <c r="G73" s="13">
        <f>Balance_Sheet!G66</f>
        <v>1357.17</v>
      </c>
      <c r="I73" s="34"/>
      <c r="J73" s="35"/>
      <c r="K73" s="35"/>
      <c r="L73" s="36"/>
    </row>
    <row r="74" spans="2:12" ht="18.75" x14ac:dyDescent="0.25">
      <c r="B74" s="12" t="str">
        <f>Balance_Sheet!B33</f>
        <v>Total Current Liabilities</v>
      </c>
      <c r="C74" s="13">
        <f>Balance_Sheet!C33</f>
        <v>33706.89</v>
      </c>
      <c r="D74" s="13">
        <f>Balance_Sheet!D33</f>
        <v>42621.210000000006</v>
      </c>
      <c r="E74" s="13">
        <f>Balance_Sheet!E33</f>
        <v>42307.979999999996</v>
      </c>
      <c r="F74" s="13">
        <f>Balance_Sheet!F33</f>
        <v>43001.64</v>
      </c>
      <c r="G74" s="13">
        <f>Balance_Sheet!G33</f>
        <v>28674.050000000003</v>
      </c>
      <c r="I74" s="37"/>
      <c r="J74" s="38"/>
      <c r="K74" s="38"/>
      <c r="L74" s="39"/>
    </row>
    <row r="75" spans="2:12" ht="19.5" thickBot="1" x14ac:dyDescent="0.3">
      <c r="B75" s="14" t="s">
        <v>171</v>
      </c>
      <c r="C75" s="14">
        <f>ROUND((C72-C73)/ C74, 2)</f>
        <v>0.87</v>
      </c>
      <c r="D75" s="14">
        <f t="shared" ref="D75:G75" si="15">ROUND((D72-D73)/ D74, 2)</f>
        <v>1.05</v>
      </c>
      <c r="E75" s="14">
        <f t="shared" si="15"/>
        <v>1.42</v>
      </c>
      <c r="F75" s="14">
        <f t="shared" si="15"/>
        <v>1.82</v>
      </c>
      <c r="G75" s="14">
        <f t="shared" si="15"/>
        <v>3.49</v>
      </c>
      <c r="I75" s="40"/>
      <c r="J75" s="41"/>
      <c r="K75" s="41"/>
      <c r="L75" s="42"/>
    </row>
    <row r="76" spans="2:12" ht="15.75" thickTop="1" x14ac:dyDescent="0.25"/>
    <row r="77" spans="2:12" ht="19.5" thickBot="1" x14ac:dyDescent="0.3">
      <c r="B77" s="43" t="s">
        <v>172</v>
      </c>
      <c r="C77" s="43"/>
      <c r="D77" s="43"/>
      <c r="E77" s="43"/>
      <c r="F77" s="43"/>
      <c r="G77" s="43"/>
    </row>
    <row r="78" spans="2:12" ht="19.5" thickTop="1" x14ac:dyDescent="0.25">
      <c r="B78" s="12" t="str">
        <f>Income_Statement!B33</f>
        <v>PBIT</v>
      </c>
      <c r="C78" s="13">
        <f>Income_Statement!C33</f>
        <v>17315.115947856139</v>
      </c>
      <c r="D78" s="13">
        <f>Income_Statement!D33</f>
        <v>20054.857289112017</v>
      </c>
      <c r="E78" s="13">
        <f>Income_Statement!E33</f>
        <v>21318.2352015414</v>
      </c>
      <c r="F78" s="13">
        <f>Income_Statement!F33</f>
        <v>23799.730119974563</v>
      </c>
      <c r="G78" s="13">
        <f>Income_Statement!G33</f>
        <v>24777.82598883034</v>
      </c>
      <c r="I78" s="34"/>
      <c r="J78" s="35"/>
      <c r="K78" s="35"/>
      <c r="L78" s="36"/>
    </row>
    <row r="79" spans="2:12" ht="18.75" x14ac:dyDescent="0.25">
      <c r="B79" s="12" t="str">
        <f>Income_Statement!B35</f>
        <v>Finance Costs</v>
      </c>
      <c r="C79" s="13">
        <f>Income_Statement!C35</f>
        <v>7324.14</v>
      </c>
      <c r="D79" s="13">
        <f>Income_Statement!D35</f>
        <v>8736.57</v>
      </c>
      <c r="E79" s="13">
        <f>Income_Statement!E35</f>
        <v>9509</v>
      </c>
      <c r="F79" s="13">
        <f>Income_Statement!F35</f>
        <v>8134.69</v>
      </c>
      <c r="G79" s="13">
        <f>Income_Statement!G35</f>
        <v>8036.22</v>
      </c>
      <c r="I79" s="37"/>
      <c r="J79" s="38"/>
      <c r="K79" s="38"/>
      <c r="L79" s="39"/>
    </row>
    <row r="80" spans="2:12" ht="19.5" thickBot="1" x14ac:dyDescent="0.3">
      <c r="B80" s="14" t="s">
        <v>173</v>
      </c>
      <c r="C80" s="14">
        <f>ROUND(C78/C79, 2)</f>
        <v>2.36</v>
      </c>
      <c r="D80" s="14">
        <f t="shared" ref="D80:G80" si="16">ROUND(D78/D79, 2)</f>
        <v>2.2999999999999998</v>
      </c>
      <c r="E80" s="14">
        <f t="shared" si="16"/>
        <v>2.2400000000000002</v>
      </c>
      <c r="F80" s="14">
        <f t="shared" si="16"/>
        <v>2.93</v>
      </c>
      <c r="G80" s="14">
        <f t="shared" si="16"/>
        <v>3.08</v>
      </c>
      <c r="I80" s="40"/>
      <c r="J80" s="41"/>
      <c r="K80" s="41"/>
      <c r="L80" s="42"/>
    </row>
    <row r="81" spans="2:12" ht="15.75" thickTop="1" x14ac:dyDescent="0.25"/>
    <row r="82" spans="2:12" ht="19.5" thickBot="1" x14ac:dyDescent="0.3">
      <c r="B82" s="43" t="s">
        <v>174</v>
      </c>
      <c r="C82" s="43"/>
      <c r="D82" s="43"/>
      <c r="E82" s="43"/>
      <c r="F82" s="43"/>
      <c r="G82" s="43"/>
    </row>
    <row r="83" spans="2:12" ht="19.5" thickTop="1" x14ac:dyDescent="0.25">
      <c r="B83" s="12" t="str">
        <f>Income_Statement!B17</f>
        <v>Cost Of Materials Consumed</v>
      </c>
      <c r="C83" s="13">
        <f>Income_Statement!C17</f>
        <v>0</v>
      </c>
      <c r="D83" s="13">
        <f>Income_Statement!D17</f>
        <v>0</v>
      </c>
      <c r="E83" s="13">
        <f>Income_Statement!E17</f>
        <v>0</v>
      </c>
      <c r="F83" s="13">
        <f>Income_Statement!F17</f>
        <v>0</v>
      </c>
      <c r="G83" s="13">
        <f>Income_Statement!G17</f>
        <v>0</v>
      </c>
      <c r="I83" s="34"/>
      <c r="J83" s="35"/>
      <c r="K83" s="35"/>
      <c r="L83" s="36"/>
    </row>
    <row r="84" spans="2:12" ht="18.75" x14ac:dyDescent="0.25">
      <c r="B84" s="12" t="str">
        <f>Income_Statement!B9</f>
        <v>Net Sales</v>
      </c>
      <c r="C84" s="13">
        <f>Income_Statement!C9</f>
        <v>29904.959999999999</v>
      </c>
      <c r="D84" s="13">
        <f>Income_Statement!D9</f>
        <v>34831.17</v>
      </c>
      <c r="E84" s="13">
        <f>Income_Statement!E9</f>
        <v>36800.129999999997</v>
      </c>
      <c r="F84" s="13">
        <f>Income_Statement!F9</f>
        <v>39300.83</v>
      </c>
      <c r="G84" s="13">
        <f>Income_Statement!G9</f>
        <v>41616.339999999997</v>
      </c>
      <c r="I84" s="37"/>
      <c r="J84" s="38"/>
      <c r="K84" s="38"/>
      <c r="L84" s="39"/>
    </row>
    <row r="85" spans="2:12" ht="19.5" thickBot="1" x14ac:dyDescent="0.3">
      <c r="B85" s="14" t="s">
        <v>175</v>
      </c>
      <c r="C85" s="14">
        <f>ROUND(C83/C84, 2)</f>
        <v>0</v>
      </c>
      <c r="D85" s="14">
        <f t="shared" ref="D85:G85" si="17">ROUND(D83/D84, 2)</f>
        <v>0</v>
      </c>
      <c r="E85" s="14">
        <f t="shared" si="17"/>
        <v>0</v>
      </c>
      <c r="F85" s="14">
        <f t="shared" si="17"/>
        <v>0</v>
      </c>
      <c r="G85" s="14">
        <f t="shared" si="17"/>
        <v>0</v>
      </c>
      <c r="I85" s="40"/>
      <c r="J85" s="41"/>
      <c r="K85" s="41"/>
      <c r="L85" s="42"/>
    </row>
    <row r="86" spans="2:12" ht="15.75" thickTop="1" x14ac:dyDescent="0.25"/>
    <row r="87" spans="2:12" ht="19.5" thickBot="1" x14ac:dyDescent="0.3">
      <c r="B87" s="43" t="s">
        <v>176</v>
      </c>
      <c r="C87" s="43"/>
      <c r="D87" s="43"/>
      <c r="E87" s="43"/>
      <c r="F87" s="43"/>
      <c r="G87" s="43"/>
    </row>
    <row r="88" spans="2:12" ht="19.5" thickTop="1" x14ac:dyDescent="0.25">
      <c r="B88" s="12" t="str">
        <f>Balance_Sheet!B70</f>
        <v>Cash And Cash Equivalents</v>
      </c>
      <c r="C88" s="13">
        <f>Balance_Sheet!C70</f>
        <v>2189.02</v>
      </c>
      <c r="D88" s="13">
        <f>Balance_Sheet!D70</f>
        <v>14680.187289112033</v>
      </c>
      <c r="E88" s="13">
        <f>Balance_Sheet!E70</f>
        <v>28018.922490653393</v>
      </c>
      <c r="F88" s="13">
        <f>Balance_Sheet!F70</f>
        <v>39283.96261062799</v>
      </c>
      <c r="G88" s="13">
        <f>Balance_Sheet!G70</f>
        <v>63866.528599458325</v>
      </c>
      <c r="I88" s="34"/>
      <c r="J88" s="35"/>
      <c r="K88" s="35"/>
      <c r="L88" s="36"/>
    </row>
    <row r="89" spans="2:12" ht="18.75" x14ac:dyDescent="0.25">
      <c r="B89" s="12" t="str">
        <f>Income_Statement!B17</f>
        <v>Cost Of Materials Consumed</v>
      </c>
      <c r="C89" s="13">
        <f>Income_Statement!C17</f>
        <v>0</v>
      </c>
      <c r="D89" s="13">
        <f>Income_Statement!D17</f>
        <v>0</v>
      </c>
      <c r="E89" s="13">
        <f>Income_Statement!E17</f>
        <v>0</v>
      </c>
      <c r="F89" s="13">
        <f>Income_Statement!F17</f>
        <v>0</v>
      </c>
      <c r="G89" s="13">
        <f>Income_Statement!G17</f>
        <v>0</v>
      </c>
      <c r="I89" s="37"/>
      <c r="J89" s="38"/>
      <c r="K89" s="38"/>
      <c r="L89" s="39"/>
    </row>
    <row r="90" spans="2:12" ht="19.5" thickBot="1" x14ac:dyDescent="0.3">
      <c r="B90" s="14" t="s">
        <v>177</v>
      </c>
      <c r="C90" s="14" t="e">
        <f>ROUND(C88/C89*365, 2)</f>
        <v>#DIV/0!</v>
      </c>
      <c r="D90" s="14" t="e">
        <f t="shared" ref="D90:G90" si="18">ROUND(D88/D89*365, 2)</f>
        <v>#DIV/0!</v>
      </c>
      <c r="E90" s="14" t="e">
        <f t="shared" si="18"/>
        <v>#DIV/0!</v>
      </c>
      <c r="F90" s="14" t="e">
        <f t="shared" si="18"/>
        <v>#DIV/0!</v>
      </c>
      <c r="G90" s="14" t="e">
        <f t="shared" si="18"/>
        <v>#DIV/0!</v>
      </c>
      <c r="I90" s="40"/>
      <c r="J90" s="41"/>
      <c r="K90" s="41"/>
      <c r="L90" s="42"/>
    </row>
    <row r="91" spans="2:12" ht="15.75" thickTop="1" x14ac:dyDescent="0.25"/>
    <row r="92" spans="2:12" ht="19.5" thickBot="1" x14ac:dyDescent="0.3">
      <c r="B92" s="43" t="s">
        <v>178</v>
      </c>
      <c r="C92" s="43"/>
      <c r="D92" s="43"/>
      <c r="E92" s="43"/>
      <c r="F92" s="43"/>
      <c r="G92" s="43"/>
    </row>
    <row r="93" spans="2:12" ht="19.5" thickTop="1" x14ac:dyDescent="0.25">
      <c r="B93" s="12" t="str">
        <f>Balance_Sheet!B70</f>
        <v>Cash And Cash Equivalents</v>
      </c>
      <c r="C93" s="13">
        <f>Balance_Sheet!C70</f>
        <v>2189.02</v>
      </c>
      <c r="D93" s="13">
        <f>Balance_Sheet!D70</f>
        <v>14680.187289112033</v>
      </c>
      <c r="E93" s="13">
        <f>Balance_Sheet!E70</f>
        <v>28018.922490653393</v>
      </c>
      <c r="F93" s="13">
        <f>Balance_Sheet!F70</f>
        <v>39283.96261062799</v>
      </c>
      <c r="G93" s="13">
        <f>Balance_Sheet!G70</f>
        <v>63866.528599458325</v>
      </c>
      <c r="I93" s="34"/>
      <c r="J93" s="35"/>
      <c r="K93" s="35"/>
      <c r="L93" s="36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37"/>
      <c r="J94" s="38"/>
      <c r="K94" s="38"/>
      <c r="L94" s="39"/>
    </row>
    <row r="95" spans="2:12" ht="19.5" thickBot="1" x14ac:dyDescent="0.3">
      <c r="B95" s="14" t="s">
        <v>180</v>
      </c>
      <c r="C95" s="14">
        <f>ROUND(C93/C94*365, 2)</f>
        <v>2189.02</v>
      </c>
      <c r="D95" s="14">
        <f t="shared" ref="D95:G95" si="19">ROUND(D93/D94*365, 2)</f>
        <v>14680.19</v>
      </c>
      <c r="E95" s="14">
        <f t="shared" si="19"/>
        <v>28018.92</v>
      </c>
      <c r="F95" s="14">
        <f t="shared" si="19"/>
        <v>39283.96</v>
      </c>
      <c r="G95" s="14">
        <f t="shared" si="19"/>
        <v>63866.53</v>
      </c>
      <c r="I95" s="40"/>
      <c r="J95" s="41"/>
      <c r="K95" s="41"/>
      <c r="L95" s="42"/>
    </row>
    <row r="96" spans="2:12" ht="15.75" thickTop="1" x14ac:dyDescent="0.25"/>
    <row r="97" spans="2:12" ht="19.5" thickBot="1" x14ac:dyDescent="0.3">
      <c r="B97" s="43" t="s">
        <v>181</v>
      </c>
      <c r="C97" s="43"/>
      <c r="D97" s="43"/>
      <c r="E97" s="43"/>
      <c r="F97" s="43"/>
      <c r="G97" s="43"/>
    </row>
    <row r="98" spans="2:12" ht="19.5" thickTop="1" x14ac:dyDescent="0.25">
      <c r="B98" s="12" t="str">
        <f>Income_Statement!B5</f>
        <v>Gross Sales</v>
      </c>
      <c r="C98" s="13">
        <f>Income_Statement!C5</f>
        <v>29904.959999999999</v>
      </c>
      <c r="D98" s="13">
        <f>Income_Statement!D5</f>
        <v>34831.17</v>
      </c>
      <c r="E98" s="13">
        <f>Income_Statement!E5</f>
        <v>36800.129999999997</v>
      </c>
      <c r="F98" s="13">
        <f>Income_Statement!F5</f>
        <v>39300.83</v>
      </c>
      <c r="G98" s="13">
        <f>Income_Statement!G5</f>
        <v>41616.339999999997</v>
      </c>
      <c r="I98" s="34"/>
      <c r="J98" s="35"/>
      <c r="K98" s="35"/>
      <c r="L98" s="36"/>
    </row>
    <row r="99" spans="2:12" ht="18.75" x14ac:dyDescent="0.25">
      <c r="B99" s="12" t="str">
        <f>Balance_Sheet!B74</f>
        <v>Total Assets</v>
      </c>
      <c r="C99" s="13">
        <f>Balance_Sheet!C74</f>
        <v>225316.05</v>
      </c>
      <c r="D99" s="13">
        <f>Balance_Sheet!D74</f>
        <v>246917.58728911204</v>
      </c>
      <c r="E99" s="13">
        <f>Balance_Sheet!E74</f>
        <v>256812.18249065339</v>
      </c>
      <c r="F99" s="13">
        <f>Balance_Sheet!F74</f>
        <v>255329.20261062798</v>
      </c>
      <c r="G99" s="13">
        <f>Balance_Sheet!G74</f>
        <v>262702.93859945831</v>
      </c>
      <c r="I99" s="37"/>
      <c r="J99" s="38"/>
      <c r="K99" s="38"/>
      <c r="L99" s="39"/>
    </row>
    <row r="100" spans="2:12" ht="19.5" thickBot="1" x14ac:dyDescent="0.3">
      <c r="B100" s="14" t="s">
        <v>182</v>
      </c>
      <c r="C100" s="14">
        <f>ROUND(C98/C99, 2)</f>
        <v>0.13</v>
      </c>
      <c r="D100" s="14">
        <f t="shared" ref="D100:G100" si="20">ROUND(D98/D99, 2)</f>
        <v>0.14000000000000001</v>
      </c>
      <c r="E100" s="14">
        <f t="shared" si="20"/>
        <v>0.14000000000000001</v>
      </c>
      <c r="F100" s="14">
        <f t="shared" si="20"/>
        <v>0.15</v>
      </c>
      <c r="G100" s="14">
        <f t="shared" si="20"/>
        <v>0.16</v>
      </c>
      <c r="I100" s="40"/>
      <c r="J100" s="41"/>
      <c r="K100" s="41"/>
      <c r="L100" s="42"/>
    </row>
    <row r="101" spans="2:12" ht="15.75" thickTop="1" x14ac:dyDescent="0.25"/>
    <row r="102" spans="2:12" ht="19.5" thickBot="1" x14ac:dyDescent="0.3">
      <c r="B102" s="43" t="s">
        <v>183</v>
      </c>
      <c r="C102" s="43"/>
      <c r="D102" s="43"/>
      <c r="E102" s="43"/>
      <c r="F102" s="43"/>
      <c r="G102" s="43"/>
    </row>
    <row r="103" spans="2:12" ht="19.5" thickTop="1" x14ac:dyDescent="0.25">
      <c r="B103" s="12" t="str">
        <f>Income_Statement!B5</f>
        <v>Gross Sales</v>
      </c>
      <c r="C103" s="13">
        <f>Income_Statement!C5</f>
        <v>29904.959999999999</v>
      </c>
      <c r="D103" s="13">
        <f>Income_Statement!D5</f>
        <v>34831.17</v>
      </c>
      <c r="E103" s="13">
        <f>Income_Statement!E5</f>
        <v>36800.129999999997</v>
      </c>
      <c r="F103" s="13">
        <f>Income_Statement!F5</f>
        <v>39300.83</v>
      </c>
      <c r="G103" s="13">
        <f>Income_Statement!G5</f>
        <v>41616.339999999997</v>
      </c>
      <c r="I103" s="34"/>
      <c r="J103" s="35"/>
      <c r="K103" s="35"/>
      <c r="L103" s="36"/>
    </row>
    <row r="104" spans="2:12" ht="18.75" x14ac:dyDescent="0.25">
      <c r="B104" s="12" t="str">
        <f>Balance_Sheet!B66</f>
        <v>Inventories</v>
      </c>
      <c r="C104" s="13">
        <f>Balance_Sheet!C66</f>
        <v>1049.3499999999999</v>
      </c>
      <c r="D104" s="13">
        <f>Balance_Sheet!D66</f>
        <v>1247.25</v>
      </c>
      <c r="E104" s="13">
        <f>Balance_Sheet!E66</f>
        <v>1433.46</v>
      </c>
      <c r="F104" s="13">
        <f>Balance_Sheet!F66</f>
        <v>1366.94</v>
      </c>
      <c r="G104" s="13">
        <f>Balance_Sheet!G66</f>
        <v>1357.17</v>
      </c>
      <c r="I104" s="37"/>
      <c r="J104" s="38"/>
      <c r="K104" s="38"/>
      <c r="L104" s="39"/>
    </row>
    <row r="105" spans="2:12" ht="19.5" thickBot="1" x14ac:dyDescent="0.3">
      <c r="B105" s="14" t="s">
        <v>184</v>
      </c>
      <c r="C105" s="14">
        <f>ROUND(C103/C104, 2)</f>
        <v>28.5</v>
      </c>
      <c r="D105" s="14">
        <f t="shared" ref="D105:G105" si="21">ROUND(D103/D104, 2)</f>
        <v>27.93</v>
      </c>
      <c r="E105" s="14">
        <f t="shared" si="21"/>
        <v>25.67</v>
      </c>
      <c r="F105" s="14">
        <f t="shared" si="21"/>
        <v>28.75</v>
      </c>
      <c r="G105" s="14">
        <f t="shared" si="21"/>
        <v>30.66</v>
      </c>
      <c r="I105" s="40"/>
      <c r="J105" s="41"/>
      <c r="K105" s="41"/>
      <c r="L105" s="42"/>
    </row>
    <row r="106" spans="2:12" ht="15.75" thickTop="1" x14ac:dyDescent="0.25"/>
    <row r="107" spans="2:12" ht="19.5" thickBot="1" x14ac:dyDescent="0.3">
      <c r="B107" s="43" t="s">
        <v>185</v>
      </c>
      <c r="C107" s="43"/>
      <c r="D107" s="43"/>
      <c r="E107" s="43"/>
      <c r="F107" s="43"/>
      <c r="G107" s="43"/>
    </row>
    <row r="108" spans="2:12" ht="19.5" thickTop="1" x14ac:dyDescent="0.25">
      <c r="B108" s="12" t="str">
        <f>Income_Statement!B5</f>
        <v>Gross Sales</v>
      </c>
      <c r="C108" s="13">
        <f>Income_Statement!C5</f>
        <v>29904.959999999999</v>
      </c>
      <c r="D108" s="13">
        <f>Income_Statement!D5</f>
        <v>34831.17</v>
      </c>
      <c r="E108" s="13">
        <f>Income_Statement!E5</f>
        <v>36800.129999999997</v>
      </c>
      <c r="F108" s="13">
        <f>Income_Statement!F5</f>
        <v>39300.83</v>
      </c>
      <c r="G108" s="13">
        <f>Income_Statement!G5</f>
        <v>41616.339999999997</v>
      </c>
      <c r="I108" s="34"/>
      <c r="J108" s="35"/>
      <c r="K108" s="35"/>
      <c r="L108" s="36"/>
    </row>
    <row r="109" spans="2:12" ht="18.75" x14ac:dyDescent="0.25">
      <c r="B109" s="12" t="str">
        <f>Balance_Sheet!B68</f>
        <v>Trade Receivables</v>
      </c>
      <c r="C109" s="13">
        <f>Balance_Sheet!C68</f>
        <v>3640.02</v>
      </c>
      <c r="D109" s="13">
        <f>Balance_Sheet!D68</f>
        <v>4728.1000000000004</v>
      </c>
      <c r="E109" s="13">
        <f>Balance_Sheet!E68</f>
        <v>5040.71</v>
      </c>
      <c r="F109" s="13">
        <f>Balance_Sheet!F68</f>
        <v>3675.53</v>
      </c>
      <c r="G109" s="13">
        <f>Balance_Sheet!G68</f>
        <v>9475.07</v>
      </c>
      <c r="I109" s="37"/>
      <c r="J109" s="38"/>
      <c r="K109" s="38"/>
      <c r="L109" s="39"/>
    </row>
    <row r="110" spans="2:12" ht="19.5" thickBot="1" x14ac:dyDescent="0.3">
      <c r="B110" s="14" t="s">
        <v>186</v>
      </c>
      <c r="C110" s="14">
        <f>ROUND(C108/C109, 2)</f>
        <v>8.2200000000000006</v>
      </c>
      <c r="D110" s="14">
        <f t="shared" ref="D110:G110" si="22">ROUND(D108/D109, 2)</f>
        <v>7.37</v>
      </c>
      <c r="E110" s="14">
        <f t="shared" si="22"/>
        <v>7.3</v>
      </c>
      <c r="F110" s="14">
        <f t="shared" si="22"/>
        <v>10.69</v>
      </c>
      <c r="G110" s="14">
        <f t="shared" si="22"/>
        <v>4.3899999999999997</v>
      </c>
      <c r="I110" s="40"/>
      <c r="J110" s="41"/>
      <c r="K110" s="41"/>
      <c r="L110" s="42"/>
    </row>
    <row r="111" spans="2:12" ht="15.75" thickTop="1" x14ac:dyDescent="0.25"/>
    <row r="112" spans="2:12" ht="19.5" thickBot="1" x14ac:dyDescent="0.3">
      <c r="B112" s="43" t="s">
        <v>187</v>
      </c>
      <c r="C112" s="43"/>
      <c r="D112" s="43"/>
      <c r="E112" s="43"/>
      <c r="F112" s="43"/>
      <c r="G112" s="43"/>
    </row>
    <row r="113" spans="2:12" ht="19.5" thickTop="1" x14ac:dyDescent="0.25">
      <c r="B113" s="12" t="str">
        <f>Income_Statement!B5</f>
        <v>Gross Sales</v>
      </c>
      <c r="C113" s="13">
        <f>Income_Statement!C5</f>
        <v>29904.959999999999</v>
      </c>
      <c r="D113" s="13">
        <f>Income_Statement!D5</f>
        <v>34831.17</v>
      </c>
      <c r="E113" s="13">
        <f>Income_Statement!E5</f>
        <v>36800.129999999997</v>
      </c>
      <c r="F113" s="13">
        <f>Income_Statement!F5</f>
        <v>39300.83</v>
      </c>
      <c r="G113" s="13">
        <f>Income_Statement!G5</f>
        <v>41616.339999999997</v>
      </c>
      <c r="I113" s="34"/>
      <c r="J113" s="35"/>
      <c r="K113" s="35"/>
      <c r="L113" s="36"/>
    </row>
    <row r="114" spans="2:12" ht="18.75" x14ac:dyDescent="0.25">
      <c r="B114" s="12" t="str">
        <f>Balance_Sheet!B40</f>
        <v>Tangible Assets</v>
      </c>
      <c r="C114" s="13">
        <f>Balance_Sheet!C40</f>
        <v>154831.41</v>
      </c>
      <c r="D114" s="13">
        <f>Balance_Sheet!D40</f>
        <v>171058.02</v>
      </c>
      <c r="E114" s="13">
        <f>Balance_Sheet!E40</f>
        <v>179449.85</v>
      </c>
      <c r="F114" s="13">
        <f>Balance_Sheet!F40</f>
        <v>182109.02</v>
      </c>
      <c r="G114" s="13">
        <f>Balance_Sheet!G40</f>
        <v>204626.44</v>
      </c>
      <c r="I114" s="37"/>
      <c r="J114" s="38"/>
      <c r="K114" s="38"/>
      <c r="L114" s="39"/>
    </row>
    <row r="115" spans="2:12" ht="19.5" thickBot="1" x14ac:dyDescent="0.3">
      <c r="B115" s="14" t="s">
        <v>188</v>
      </c>
      <c r="C115" s="14">
        <f>ROUND(C113/C114, 2)</f>
        <v>0.19</v>
      </c>
      <c r="D115" s="14">
        <f t="shared" ref="D115:G115" si="23">ROUND(D113/D114, 2)</f>
        <v>0.2</v>
      </c>
      <c r="E115" s="14">
        <f t="shared" si="23"/>
        <v>0.21</v>
      </c>
      <c r="F115" s="14">
        <f t="shared" si="23"/>
        <v>0.22</v>
      </c>
      <c r="G115" s="14">
        <f t="shared" si="23"/>
        <v>0.2</v>
      </c>
      <c r="I115" s="40"/>
      <c r="J115" s="41"/>
      <c r="K115" s="41"/>
      <c r="L115" s="42"/>
    </row>
    <row r="116" spans="2:12" ht="15.75" thickTop="1" x14ac:dyDescent="0.25"/>
    <row r="117" spans="2:12" ht="19.5" thickBot="1" x14ac:dyDescent="0.3">
      <c r="B117" s="43" t="s">
        <v>189</v>
      </c>
      <c r="C117" s="43"/>
      <c r="D117" s="43"/>
      <c r="E117" s="43"/>
      <c r="F117" s="43"/>
      <c r="G117" s="43"/>
    </row>
    <row r="118" spans="2:12" ht="19.5" thickTop="1" x14ac:dyDescent="0.25">
      <c r="B118" s="12" t="str">
        <f>Income_Statement!B17</f>
        <v>Cost Of Materials Consumed</v>
      </c>
      <c r="C118" s="13">
        <f>Income_Statement!C17</f>
        <v>0</v>
      </c>
      <c r="D118" s="13">
        <f>Income_Statement!D17</f>
        <v>0</v>
      </c>
      <c r="E118" s="13">
        <f>Income_Statement!E17</f>
        <v>0</v>
      </c>
      <c r="F118" s="13">
        <f>Income_Statement!F17</f>
        <v>0</v>
      </c>
      <c r="G118" s="13">
        <f>Income_Statement!G17</f>
        <v>0</v>
      </c>
      <c r="I118" s="34"/>
      <c r="J118" s="35"/>
      <c r="K118" s="35"/>
      <c r="L118" s="36"/>
    </row>
    <row r="119" spans="2:12" ht="18.75" x14ac:dyDescent="0.25">
      <c r="B119" s="12" t="str">
        <f>Balance_Sheet!B33</f>
        <v>Total Current Liabilities</v>
      </c>
      <c r="C119" s="13">
        <f>Balance_Sheet!C33</f>
        <v>33706.89</v>
      </c>
      <c r="D119" s="13">
        <f>Balance_Sheet!D33</f>
        <v>42621.210000000006</v>
      </c>
      <c r="E119" s="13">
        <f>Balance_Sheet!E33</f>
        <v>42307.979999999996</v>
      </c>
      <c r="F119" s="13">
        <f>Balance_Sheet!F33</f>
        <v>43001.64</v>
      </c>
      <c r="G119" s="13">
        <f>Balance_Sheet!G33</f>
        <v>28674.050000000003</v>
      </c>
      <c r="I119" s="37"/>
      <c r="J119" s="38"/>
      <c r="K119" s="38"/>
      <c r="L119" s="39"/>
    </row>
    <row r="120" spans="2:12" ht="19.5" thickBot="1" x14ac:dyDescent="0.3">
      <c r="B120" s="14" t="s">
        <v>190</v>
      </c>
      <c r="C120" s="14">
        <f>ROUND(C118/C119, 2)</f>
        <v>0</v>
      </c>
      <c r="D120" s="14">
        <f t="shared" ref="D120:G120" si="24">ROUND(D118/D119, 2)</f>
        <v>0</v>
      </c>
      <c r="E120" s="14">
        <f t="shared" si="24"/>
        <v>0</v>
      </c>
      <c r="F120" s="14">
        <f t="shared" si="24"/>
        <v>0</v>
      </c>
      <c r="G120" s="14">
        <f t="shared" si="24"/>
        <v>0</v>
      </c>
      <c r="I120" s="40"/>
      <c r="J120" s="41"/>
      <c r="K120" s="41"/>
      <c r="L120" s="42"/>
    </row>
    <row r="121" spans="2:12" ht="15.75" thickTop="1" x14ac:dyDescent="0.25"/>
    <row r="122" spans="2:12" ht="19.5" thickBot="1" x14ac:dyDescent="0.3">
      <c r="B122" s="43" t="s">
        <v>191</v>
      </c>
      <c r="C122" s="43"/>
      <c r="D122" s="43"/>
      <c r="E122" s="43"/>
      <c r="F122" s="43"/>
      <c r="G122" s="43"/>
    </row>
    <row r="123" spans="2:12" ht="19.5" thickTop="1" x14ac:dyDescent="0.25">
      <c r="B123" s="12" t="str">
        <f>Income_Statement!B5</f>
        <v>Gross Sales</v>
      </c>
      <c r="C123" s="13">
        <f>Income_Statement!C5</f>
        <v>29904.959999999999</v>
      </c>
      <c r="D123" s="13">
        <f>Income_Statement!D5</f>
        <v>34831.17</v>
      </c>
      <c r="E123" s="13">
        <f>Income_Statement!E5</f>
        <v>36800.129999999997</v>
      </c>
      <c r="F123" s="13">
        <f>Income_Statement!F5</f>
        <v>39300.83</v>
      </c>
      <c r="G123" s="13">
        <f>Income_Statement!G5</f>
        <v>41616.339999999997</v>
      </c>
      <c r="I123" s="34"/>
      <c r="J123" s="35"/>
      <c r="K123" s="35"/>
      <c r="L123" s="36"/>
    </row>
    <row r="124" spans="2:12" ht="18.75" x14ac:dyDescent="0.25">
      <c r="B124" s="12" t="str">
        <f>Balance_Sheet!B66</f>
        <v>Inventories</v>
      </c>
      <c r="C124" s="13">
        <f>Balance_Sheet!C66</f>
        <v>1049.3499999999999</v>
      </c>
      <c r="D124" s="13">
        <f>Balance_Sheet!D66</f>
        <v>1247.25</v>
      </c>
      <c r="E124" s="13">
        <f>Balance_Sheet!E66</f>
        <v>1433.46</v>
      </c>
      <c r="F124" s="13">
        <f>Balance_Sheet!F66</f>
        <v>1366.94</v>
      </c>
      <c r="G124" s="13">
        <f>Balance_Sheet!G66</f>
        <v>1357.17</v>
      </c>
      <c r="I124" s="37"/>
      <c r="J124" s="38"/>
      <c r="K124" s="38"/>
      <c r="L124" s="39"/>
    </row>
    <row r="125" spans="2:12" ht="19.5" thickBot="1" x14ac:dyDescent="0.3">
      <c r="B125" s="14" t="s">
        <v>192</v>
      </c>
      <c r="C125" s="14">
        <f>ROUND(365/C123*C124, 2)</f>
        <v>12.81</v>
      </c>
      <c r="D125" s="14">
        <f t="shared" ref="D125:G125" si="25">ROUND(365/D123*D124, 2)</f>
        <v>13.07</v>
      </c>
      <c r="E125" s="14">
        <f t="shared" si="25"/>
        <v>14.22</v>
      </c>
      <c r="F125" s="14">
        <f t="shared" si="25"/>
        <v>12.7</v>
      </c>
      <c r="G125" s="14">
        <f t="shared" si="25"/>
        <v>11.9</v>
      </c>
      <c r="I125" s="40"/>
      <c r="J125" s="41"/>
      <c r="K125" s="41"/>
      <c r="L125" s="42"/>
    </row>
    <row r="126" spans="2:12" ht="15.75" thickTop="1" x14ac:dyDescent="0.25"/>
    <row r="127" spans="2:12" ht="19.5" thickBot="1" x14ac:dyDescent="0.3">
      <c r="B127" s="43" t="s">
        <v>193</v>
      </c>
      <c r="C127" s="43"/>
      <c r="D127" s="43"/>
      <c r="E127" s="43"/>
      <c r="F127" s="43"/>
      <c r="G127" s="43"/>
    </row>
    <row r="128" spans="2:12" ht="19.5" thickTop="1" x14ac:dyDescent="0.25">
      <c r="B128" s="12" t="str">
        <f>Income_Statement!B17</f>
        <v>Cost Of Materials Consumed</v>
      </c>
      <c r="C128" s="13">
        <f>Income_Statement!C17</f>
        <v>0</v>
      </c>
      <c r="D128" s="13">
        <f>Income_Statement!D17</f>
        <v>0</v>
      </c>
      <c r="E128" s="13">
        <f>Income_Statement!E17</f>
        <v>0</v>
      </c>
      <c r="F128" s="13">
        <f>Income_Statement!F17</f>
        <v>0</v>
      </c>
      <c r="G128" s="13">
        <f>Income_Statement!G17</f>
        <v>0</v>
      </c>
      <c r="I128" s="34"/>
      <c r="J128" s="35"/>
      <c r="K128" s="35"/>
      <c r="L128" s="36"/>
    </row>
    <row r="129" spans="2:12" ht="18.75" x14ac:dyDescent="0.25">
      <c r="B129" s="12" t="str">
        <f>Balance_Sheet!B33</f>
        <v>Total Current Liabilities</v>
      </c>
      <c r="C129" s="13">
        <f>Balance_Sheet!C33</f>
        <v>33706.89</v>
      </c>
      <c r="D129" s="13">
        <f>Balance_Sheet!D33</f>
        <v>42621.210000000006</v>
      </c>
      <c r="E129" s="13">
        <f>Balance_Sheet!E33</f>
        <v>42307.979999999996</v>
      </c>
      <c r="F129" s="13">
        <f>Balance_Sheet!F33</f>
        <v>43001.64</v>
      </c>
      <c r="G129" s="13">
        <f>Balance_Sheet!G33</f>
        <v>28674.050000000003</v>
      </c>
      <c r="I129" s="37"/>
      <c r="J129" s="38"/>
      <c r="K129" s="38"/>
      <c r="L129" s="39"/>
    </row>
    <row r="130" spans="2:12" ht="19.5" thickBot="1" x14ac:dyDescent="0.3">
      <c r="B130" s="14" t="s">
        <v>194</v>
      </c>
      <c r="C130" s="14" t="e">
        <f>ROUND(365/C128*C129, 2)</f>
        <v>#DIV/0!</v>
      </c>
      <c r="D130" s="14" t="e">
        <f t="shared" ref="D130:G130" si="26">ROUND(365/D128*D129, 2)</f>
        <v>#DIV/0!</v>
      </c>
      <c r="E130" s="14" t="e">
        <f t="shared" si="26"/>
        <v>#DIV/0!</v>
      </c>
      <c r="F130" s="14" t="e">
        <f t="shared" si="26"/>
        <v>#DIV/0!</v>
      </c>
      <c r="G130" s="14" t="e">
        <f t="shared" si="26"/>
        <v>#DIV/0!</v>
      </c>
      <c r="I130" s="40"/>
      <c r="J130" s="41"/>
      <c r="K130" s="41"/>
      <c r="L130" s="42"/>
    </row>
    <row r="131" spans="2:12" ht="15.75" thickTop="1" x14ac:dyDescent="0.25"/>
    <row r="132" spans="2:12" ht="19.5" thickBot="1" x14ac:dyDescent="0.3">
      <c r="B132" s="43" t="s">
        <v>195</v>
      </c>
      <c r="C132" s="43"/>
      <c r="D132" s="43"/>
      <c r="E132" s="43"/>
      <c r="F132" s="43"/>
      <c r="G132" s="43"/>
    </row>
    <row r="133" spans="2:12" ht="19.5" thickTop="1" x14ac:dyDescent="0.25">
      <c r="B133" s="12" t="str">
        <f>Income_Statement!B5</f>
        <v>Gross Sales</v>
      </c>
      <c r="C133" s="13">
        <f>Income_Statement!C5</f>
        <v>29904.959999999999</v>
      </c>
      <c r="D133" s="13">
        <f>Income_Statement!D5</f>
        <v>34831.17</v>
      </c>
      <c r="E133" s="13">
        <f>Income_Statement!E5</f>
        <v>36800.129999999997</v>
      </c>
      <c r="F133" s="13">
        <f>Income_Statement!F5</f>
        <v>39300.83</v>
      </c>
      <c r="G133" s="13">
        <f>Income_Statement!G5</f>
        <v>41616.339999999997</v>
      </c>
      <c r="I133" s="34"/>
      <c r="J133" s="35"/>
      <c r="K133" s="35"/>
      <c r="L133" s="36"/>
    </row>
    <row r="134" spans="2:12" ht="18.75" x14ac:dyDescent="0.25">
      <c r="B134" s="12" t="str">
        <f>Balance_Sheet!B68</f>
        <v>Trade Receivables</v>
      </c>
      <c r="C134" s="13">
        <f>Balance_Sheet!C68</f>
        <v>3640.02</v>
      </c>
      <c r="D134" s="13">
        <f>Balance_Sheet!D68</f>
        <v>4728.1000000000004</v>
      </c>
      <c r="E134" s="13">
        <f>Balance_Sheet!E68</f>
        <v>5040.71</v>
      </c>
      <c r="F134" s="13">
        <f>Balance_Sheet!F68</f>
        <v>3675.53</v>
      </c>
      <c r="G134" s="13">
        <f>Balance_Sheet!G68</f>
        <v>9475.07</v>
      </c>
      <c r="I134" s="37"/>
      <c r="J134" s="38"/>
      <c r="K134" s="38"/>
      <c r="L134" s="39"/>
    </row>
    <row r="135" spans="2:12" ht="19.5" thickBot="1" x14ac:dyDescent="0.3">
      <c r="B135" s="14" t="s">
        <v>196</v>
      </c>
      <c r="C135" s="14">
        <f>ROUND(365/C133*C134, 2)</f>
        <v>44.43</v>
      </c>
      <c r="D135" s="14">
        <f t="shared" ref="D135:G135" si="27">ROUND(365/D133*D134, 2)</f>
        <v>49.55</v>
      </c>
      <c r="E135" s="14">
        <f t="shared" si="27"/>
        <v>50</v>
      </c>
      <c r="F135" s="14">
        <f t="shared" si="27"/>
        <v>34.14</v>
      </c>
      <c r="G135" s="14">
        <f t="shared" si="27"/>
        <v>83.1</v>
      </c>
      <c r="I135" s="40"/>
      <c r="J135" s="41"/>
      <c r="K135" s="41"/>
      <c r="L135" s="42"/>
    </row>
    <row r="136" spans="2:12" ht="15.75" thickTop="1" x14ac:dyDescent="0.25"/>
    <row r="137" spans="2:12" ht="18.75" x14ac:dyDescent="0.25">
      <c r="B137" s="43" t="s">
        <v>197</v>
      </c>
      <c r="C137" s="43"/>
      <c r="D137" s="43"/>
      <c r="E137" s="43"/>
      <c r="F137" s="43"/>
      <c r="G137" s="43"/>
    </row>
    <row r="138" spans="2:12" ht="18.75" x14ac:dyDescent="0.25">
      <c r="B138" s="12" t="str">
        <f>Income_Statement!B5</f>
        <v>Gross Sales</v>
      </c>
      <c r="C138" s="13">
        <f>Income_Statement!C5</f>
        <v>29904.959999999999</v>
      </c>
      <c r="D138" s="13">
        <f>Income_Statement!D5</f>
        <v>34831.17</v>
      </c>
      <c r="E138" s="13">
        <f>Income_Statement!E5</f>
        <v>36800.129999999997</v>
      </c>
      <c r="F138" s="13">
        <f>Income_Statement!F5</f>
        <v>39300.83</v>
      </c>
      <c r="G138" s="13">
        <f>Income_Statement!G5</f>
        <v>41616.339999999997</v>
      </c>
    </row>
    <row r="139" spans="2:12" ht="18.75" x14ac:dyDescent="0.25">
      <c r="B139" s="12" t="str">
        <f>Balance_Sheet!B66</f>
        <v>Inventories</v>
      </c>
      <c r="C139" s="13">
        <f>Balance_Sheet!C66</f>
        <v>1049.3499999999999</v>
      </c>
      <c r="D139" s="13">
        <f>Balance_Sheet!D66</f>
        <v>1247.25</v>
      </c>
      <c r="E139" s="13">
        <f>Balance_Sheet!E66</f>
        <v>1433.46</v>
      </c>
      <c r="F139" s="13">
        <f>Balance_Sheet!F66</f>
        <v>1366.94</v>
      </c>
      <c r="G139" s="13">
        <f>Balance_Sheet!G66</f>
        <v>1357.17</v>
      </c>
    </row>
    <row r="140" spans="2:12" ht="18.75" x14ac:dyDescent="0.25">
      <c r="B140" s="12" t="s">
        <v>192</v>
      </c>
      <c r="C140" s="13">
        <f>ROUND(365/C138*C139, 2)</f>
        <v>12.81</v>
      </c>
      <c r="D140" s="13">
        <f t="shared" ref="D140:G140" si="28">ROUND(365/D138*D139, 2)</f>
        <v>13.07</v>
      </c>
      <c r="E140" s="13">
        <f t="shared" si="28"/>
        <v>14.22</v>
      </c>
      <c r="F140" s="13">
        <f t="shared" si="28"/>
        <v>12.7</v>
      </c>
      <c r="G140" s="13">
        <f t="shared" si="28"/>
        <v>11.9</v>
      </c>
    </row>
    <row r="141" spans="2:12" ht="19.5" thickBot="1" x14ac:dyDescent="0.3">
      <c r="B141" s="12" t="str">
        <f>Income_Statement!B17</f>
        <v>Cost Of Materials Consumed</v>
      </c>
      <c r="C141" s="13">
        <f>Income_Statement!C17</f>
        <v>0</v>
      </c>
      <c r="D141" s="13">
        <f>Income_Statement!D17</f>
        <v>0</v>
      </c>
      <c r="E141" s="13">
        <f>Income_Statement!E17</f>
        <v>0</v>
      </c>
      <c r="F141" s="13">
        <f>Income_Statement!F17</f>
        <v>0</v>
      </c>
      <c r="G141" s="13">
        <f>Income_Statement!G17</f>
        <v>0</v>
      </c>
    </row>
    <row r="142" spans="2:12" ht="19.5" thickTop="1" x14ac:dyDescent="0.25">
      <c r="B142" s="12" t="str">
        <f>Balance_Sheet!B33</f>
        <v>Total Current Liabilities</v>
      </c>
      <c r="C142" s="13">
        <f>Balance_Sheet!C33</f>
        <v>33706.89</v>
      </c>
      <c r="D142" s="13">
        <f>Balance_Sheet!D33</f>
        <v>42621.210000000006</v>
      </c>
      <c r="E142" s="13">
        <f>Balance_Sheet!E33</f>
        <v>42307.979999999996</v>
      </c>
      <c r="F142" s="13">
        <f>Balance_Sheet!F33</f>
        <v>43001.64</v>
      </c>
      <c r="G142" s="13">
        <f>Balance_Sheet!G33</f>
        <v>28674.050000000003</v>
      </c>
      <c r="I142" s="34"/>
      <c r="J142" s="35"/>
      <c r="K142" s="35"/>
      <c r="L142" s="36"/>
    </row>
    <row r="143" spans="2:12" ht="18.75" x14ac:dyDescent="0.25">
      <c r="B143" s="12" t="s">
        <v>194</v>
      </c>
      <c r="C143" s="13" t="e">
        <f>ROUND(365/C141*C142, 2)</f>
        <v>#DIV/0!</v>
      </c>
      <c r="D143" s="13" t="e">
        <f t="shared" ref="D143:G143" si="29">ROUND(365/D141*D142, 2)</f>
        <v>#DIV/0!</v>
      </c>
      <c r="E143" s="13" t="e">
        <f t="shared" si="29"/>
        <v>#DIV/0!</v>
      </c>
      <c r="F143" s="13" t="e">
        <f t="shared" si="29"/>
        <v>#DIV/0!</v>
      </c>
      <c r="G143" s="13" t="e">
        <f t="shared" si="29"/>
        <v>#DIV/0!</v>
      </c>
      <c r="I143" s="37"/>
      <c r="J143" s="38"/>
      <c r="K143" s="38"/>
      <c r="L143" s="39"/>
    </row>
    <row r="144" spans="2:12" ht="19.5" thickBot="1" x14ac:dyDescent="0.3">
      <c r="B144" s="14" t="s">
        <v>198</v>
      </c>
      <c r="C144" s="16" t="e">
        <f>ROUND(C143+C140, 2)</f>
        <v>#DIV/0!</v>
      </c>
      <c r="D144" s="16" t="e">
        <f t="shared" ref="D144:G144" si="30">ROUND(D143+D140, 2)</f>
        <v>#DIV/0!</v>
      </c>
      <c r="E144" s="16" t="e">
        <f t="shared" si="30"/>
        <v>#DIV/0!</v>
      </c>
      <c r="F144" s="16" t="e">
        <f t="shared" si="30"/>
        <v>#DIV/0!</v>
      </c>
      <c r="G144" s="16" t="e">
        <f t="shared" si="30"/>
        <v>#DIV/0!</v>
      </c>
      <c r="I144" s="40"/>
      <c r="J144" s="41"/>
      <c r="K144" s="41"/>
      <c r="L144" s="42"/>
    </row>
    <row r="145" spans="2:12" ht="15.75" thickTop="1" x14ac:dyDescent="0.25"/>
    <row r="146" spans="2:12" ht="18.75" x14ac:dyDescent="0.25">
      <c r="B146" s="43" t="s">
        <v>199</v>
      </c>
      <c r="C146" s="43"/>
      <c r="D146" s="43"/>
      <c r="E146" s="43"/>
      <c r="F146" s="43"/>
      <c r="G146" s="43"/>
    </row>
    <row r="147" spans="2:12" ht="18.75" x14ac:dyDescent="0.25">
      <c r="B147" s="12" t="str">
        <f>Income_Statement!B5</f>
        <v>Gross Sales</v>
      </c>
      <c r="C147" s="13">
        <f>Income_Statement!C5</f>
        <v>29904.959999999999</v>
      </c>
      <c r="D147" s="13">
        <f>Income_Statement!D5</f>
        <v>34831.17</v>
      </c>
      <c r="E147" s="13">
        <f>Income_Statement!E5</f>
        <v>36800.129999999997</v>
      </c>
      <c r="F147" s="13">
        <f>Income_Statement!F5</f>
        <v>39300.83</v>
      </c>
      <c r="G147" s="13">
        <f>Income_Statement!G5</f>
        <v>41616.339999999997</v>
      </c>
    </row>
    <row r="148" spans="2:12" ht="18.75" x14ac:dyDescent="0.25">
      <c r="B148" s="12" t="str">
        <f>Balance_Sheet!B66</f>
        <v>Inventories</v>
      </c>
      <c r="C148" s="13">
        <f>Balance_Sheet!C66</f>
        <v>1049.3499999999999</v>
      </c>
      <c r="D148" s="13">
        <f>Balance_Sheet!D66</f>
        <v>1247.25</v>
      </c>
      <c r="E148" s="13">
        <f>Balance_Sheet!E66</f>
        <v>1433.46</v>
      </c>
      <c r="F148" s="13">
        <f>Balance_Sheet!F66</f>
        <v>1366.94</v>
      </c>
      <c r="G148" s="13">
        <f>Balance_Sheet!G66</f>
        <v>1357.17</v>
      </c>
    </row>
    <row r="149" spans="2:12" ht="18.75" x14ac:dyDescent="0.25">
      <c r="B149" s="12" t="s">
        <v>192</v>
      </c>
      <c r="C149" s="13">
        <f>ROUND(365/C147*C148, 2)</f>
        <v>12.81</v>
      </c>
      <c r="D149" s="13">
        <f t="shared" ref="D149:G149" si="31">ROUND(365/D147*D148, 2)</f>
        <v>13.07</v>
      </c>
      <c r="E149" s="13">
        <f t="shared" si="31"/>
        <v>14.22</v>
      </c>
      <c r="F149" s="13">
        <f t="shared" si="31"/>
        <v>12.7</v>
      </c>
      <c r="G149" s="13">
        <f t="shared" si="31"/>
        <v>11.9</v>
      </c>
    </row>
    <row r="150" spans="2:12" ht="18.75" x14ac:dyDescent="0.25">
      <c r="B150" s="12" t="str">
        <f>Income_Statement!B17</f>
        <v>Cost Of Materials Consumed</v>
      </c>
      <c r="C150" s="13">
        <f>Income_Statement!C17</f>
        <v>0</v>
      </c>
      <c r="D150" s="13">
        <f>Income_Statement!D17</f>
        <v>0</v>
      </c>
      <c r="E150" s="13">
        <f>Income_Statement!E17</f>
        <v>0</v>
      </c>
      <c r="F150" s="13">
        <f>Income_Statement!F17</f>
        <v>0</v>
      </c>
      <c r="G150" s="13">
        <f>Income_Statement!G17</f>
        <v>0</v>
      </c>
    </row>
    <row r="151" spans="2:12" ht="18.75" x14ac:dyDescent="0.25">
      <c r="B151" s="12" t="str">
        <f>Balance_Sheet!B33</f>
        <v>Total Current Liabilities</v>
      </c>
      <c r="C151" s="13">
        <f>Balance_Sheet!C33</f>
        <v>33706.89</v>
      </c>
      <c r="D151" s="13">
        <f>Balance_Sheet!D33</f>
        <v>42621.210000000006</v>
      </c>
      <c r="E151" s="13">
        <f>Balance_Sheet!E33</f>
        <v>42307.979999999996</v>
      </c>
      <c r="F151" s="13">
        <f>Balance_Sheet!F33</f>
        <v>43001.64</v>
      </c>
      <c r="G151" s="13">
        <f>Balance_Sheet!G33</f>
        <v>28674.050000000003</v>
      </c>
    </row>
    <row r="152" spans="2:12" ht="18.75" x14ac:dyDescent="0.25">
      <c r="B152" s="12" t="s">
        <v>194</v>
      </c>
      <c r="C152" s="13" t="e">
        <f>ROUND(365/C150*C151, 2)</f>
        <v>#DIV/0!</v>
      </c>
      <c r="D152" s="13" t="e">
        <f t="shared" ref="D152:G152" si="32">ROUND(365/D150*D151, 2)</f>
        <v>#DIV/0!</v>
      </c>
      <c r="E152" s="13" t="e">
        <f t="shared" si="32"/>
        <v>#DIV/0!</v>
      </c>
      <c r="F152" s="13" t="e">
        <f t="shared" si="32"/>
        <v>#DIV/0!</v>
      </c>
      <c r="G152" s="13" t="e">
        <f t="shared" si="32"/>
        <v>#DIV/0!</v>
      </c>
    </row>
    <row r="153" spans="2:12" ht="18.75" x14ac:dyDescent="0.25">
      <c r="B153" s="12" t="s">
        <v>200</v>
      </c>
      <c r="C153" s="13" t="e">
        <f>ROUND(C152+C149, 2)</f>
        <v>#DIV/0!</v>
      </c>
      <c r="D153" s="13" t="e">
        <f t="shared" ref="D153:G153" si="33">ROUND(D152+D149, 2)</f>
        <v>#DIV/0!</v>
      </c>
      <c r="E153" s="13" t="e">
        <f t="shared" si="33"/>
        <v>#DIV/0!</v>
      </c>
      <c r="F153" s="13" t="e">
        <f t="shared" si="33"/>
        <v>#DIV/0!</v>
      </c>
      <c r="G153" s="13" t="e">
        <f t="shared" si="33"/>
        <v>#DIV/0!</v>
      </c>
    </row>
    <row r="154" spans="2:12" ht="19.5" thickBot="1" x14ac:dyDescent="0.3">
      <c r="B154" s="12" t="str">
        <f>Income_Statement!B17</f>
        <v>Cost Of Materials Consumed</v>
      </c>
      <c r="C154" s="13">
        <f>Income_Statement!C17</f>
        <v>0</v>
      </c>
      <c r="D154" s="13">
        <f>Income_Statement!D17</f>
        <v>0</v>
      </c>
      <c r="E154" s="13">
        <f>Income_Statement!E17</f>
        <v>0</v>
      </c>
      <c r="F154" s="13">
        <f>Income_Statement!F17</f>
        <v>0</v>
      </c>
      <c r="G154" s="13">
        <f>Income_Statement!G17</f>
        <v>0</v>
      </c>
    </row>
    <row r="155" spans="2:12" ht="19.5" thickTop="1" x14ac:dyDescent="0.25">
      <c r="B155" s="12" t="str">
        <f>Balance_Sheet!B33</f>
        <v>Total Current Liabilities</v>
      </c>
      <c r="C155" s="13">
        <f>Balance_Sheet!C33</f>
        <v>33706.89</v>
      </c>
      <c r="D155" s="13">
        <f>Balance_Sheet!D33</f>
        <v>42621.210000000006</v>
      </c>
      <c r="E155" s="13">
        <f>Balance_Sheet!E33</f>
        <v>42307.979999999996</v>
      </c>
      <c r="F155" s="13">
        <f>Balance_Sheet!F33</f>
        <v>43001.64</v>
      </c>
      <c r="G155" s="13">
        <f>Balance_Sheet!G33</f>
        <v>28674.050000000003</v>
      </c>
      <c r="I155" s="34"/>
      <c r="J155" s="35"/>
      <c r="K155" s="35"/>
      <c r="L155" s="36"/>
    </row>
    <row r="156" spans="2:12" ht="18.75" x14ac:dyDescent="0.25">
      <c r="B156" s="12" t="s">
        <v>194</v>
      </c>
      <c r="C156" s="13" t="e">
        <f>ROUND(365/C154*C155, 2)</f>
        <v>#DIV/0!</v>
      </c>
      <c r="D156" s="13" t="e">
        <f t="shared" ref="D156:G156" si="34">ROUND(365/D154*D155, 2)</f>
        <v>#DIV/0!</v>
      </c>
      <c r="E156" s="13" t="e">
        <f t="shared" si="34"/>
        <v>#DIV/0!</v>
      </c>
      <c r="F156" s="13" t="e">
        <f t="shared" si="34"/>
        <v>#DIV/0!</v>
      </c>
      <c r="G156" s="13" t="e">
        <f t="shared" si="34"/>
        <v>#DIV/0!</v>
      </c>
      <c r="I156" s="37"/>
      <c r="J156" s="38"/>
      <c r="K156" s="38"/>
      <c r="L156" s="39"/>
    </row>
    <row r="157" spans="2:12" ht="19.5" thickBot="1" x14ac:dyDescent="0.3">
      <c r="B157" s="14" t="s">
        <v>201</v>
      </c>
      <c r="C157" s="16" t="e">
        <f>ROUND(C156-C153, 2)</f>
        <v>#DIV/0!</v>
      </c>
      <c r="D157" s="16" t="e">
        <f t="shared" ref="D157:G157" si="35">ROUND(D156-D153, 2)</f>
        <v>#DIV/0!</v>
      </c>
      <c r="E157" s="16" t="e">
        <f t="shared" si="35"/>
        <v>#DIV/0!</v>
      </c>
      <c r="F157" s="16" t="e">
        <f t="shared" si="35"/>
        <v>#DIV/0!</v>
      </c>
      <c r="G157" s="16" t="e">
        <f t="shared" si="35"/>
        <v>#DIV/0!</v>
      </c>
      <c r="I157" s="40"/>
      <c r="J157" s="41"/>
      <c r="K157" s="41"/>
      <c r="L157" s="42"/>
    </row>
    <row r="158" spans="2:12" ht="15.75" thickTop="1" x14ac:dyDescent="0.25"/>
  </sheetData>
  <mergeCells count="54">
    <mergeCell ref="I16:L18"/>
    <mergeCell ref="B5:G5"/>
    <mergeCell ref="I6:L8"/>
    <mergeCell ref="B10:G10"/>
    <mergeCell ref="I11:L13"/>
    <mergeCell ref="B15:G15"/>
    <mergeCell ref="I52:L54"/>
    <mergeCell ref="B20:G20"/>
    <mergeCell ref="I25:L27"/>
    <mergeCell ref="B29:G29"/>
    <mergeCell ref="I31:L33"/>
    <mergeCell ref="B35:G35"/>
    <mergeCell ref="I36:L38"/>
    <mergeCell ref="B40:G40"/>
    <mergeCell ref="I41:L43"/>
    <mergeCell ref="B45:G45"/>
    <mergeCell ref="I46:L48"/>
    <mergeCell ref="B50:G50"/>
    <mergeCell ref="I83:L85"/>
    <mergeCell ref="B56:G56"/>
    <mergeCell ref="I57:L59"/>
    <mergeCell ref="B61:G61"/>
    <mergeCell ref="I62:L64"/>
    <mergeCell ref="B66:G66"/>
    <mergeCell ref="I67:L69"/>
    <mergeCell ref="B71:G71"/>
    <mergeCell ref="I73:L75"/>
    <mergeCell ref="B77:G77"/>
    <mergeCell ref="I78:L80"/>
    <mergeCell ref="B82:G82"/>
    <mergeCell ref="I113:L115"/>
    <mergeCell ref="B87:G87"/>
    <mergeCell ref="I88:L90"/>
    <mergeCell ref="B92:G92"/>
    <mergeCell ref="I93:L95"/>
    <mergeCell ref="B97:G97"/>
    <mergeCell ref="I98:L100"/>
    <mergeCell ref="B102:G102"/>
    <mergeCell ref="I103:L105"/>
    <mergeCell ref="B107:G107"/>
    <mergeCell ref="I108:L110"/>
    <mergeCell ref="B112:G112"/>
    <mergeCell ref="I155:L157"/>
    <mergeCell ref="B117:G117"/>
    <mergeCell ref="I118:L120"/>
    <mergeCell ref="B122:G122"/>
    <mergeCell ref="I123:L125"/>
    <mergeCell ref="B127:G127"/>
    <mergeCell ref="I128:L130"/>
    <mergeCell ref="B132:G132"/>
    <mergeCell ref="I133:L135"/>
    <mergeCell ref="B137:G137"/>
    <mergeCell ref="I142:L144"/>
    <mergeCell ref="B146:G146"/>
  </mergeCells>
  <hyperlinks>
    <hyperlink ref="F1" location="Index_Data!A1" tooltip="Hi click here To return Index page" display="Index_Data!A1" xr:uid="{4A76573A-6069-4B7D-B00C-2C2836B7D8FF}"/>
  </hyperlink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290580C3-C58A-442A-9E41-890E9AE1BD7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  <x14:sparklineGroup type="column" displayEmptyCellsAs="gap" high="1" xr2:uid="{59207A9C-5258-47FB-8608-C94D98AE0D6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05FF2CD9-E904-4D8A-A37D-C6A16E71097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41E968E1-151C-44E6-8A59-2B6BD19656A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32B56EB6-5D60-40AA-B463-B22C81F91F2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1E909012-CE6E-4F6B-A45A-75BB10AD0C7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AD7CE80E-4B3D-49B9-B5E6-BEFED356322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6AAB76DE-C5A4-4582-9626-22F0D70F42A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B2D36DC4-C6BB-465A-9CE6-01534551C37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3C0AD1B6-82F4-4DE9-9C1C-A156E8D2287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081F930E-6413-4FA8-91FB-D37EADF51E2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697A5CDB-336D-478E-8C72-3131AFE0487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EFA29C78-C533-4F7D-B0C7-618429FDEA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5F1E9B5B-7898-435A-9FBA-D7623031C12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817E51AD-CE87-483C-86D2-036AEDB6AD5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BE2B93D4-7C0D-4B5A-8798-3BAF60A84A8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BD46785E-66E4-4BB6-88CA-27B70F311C4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AECB48BC-6F80-4AEE-8291-42CA987E114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DD365272-134E-469D-9A13-07924277B2A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6FA7DD5A-F0DD-4C4E-BAC6-E1BDC717744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F70946B9-C9E2-4B81-9CEE-ED76A8B8393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CBFFE42C-0FD3-4329-952D-E9BAB0FEA51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DC06C35D-AB51-4729-9310-083C5977EE1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39808CC9-9EFD-46C8-92D8-CCE6E8B05BB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C228DA03-4E09-4CD0-8EEE-BECB7F5FC4D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0F55FCBD-888C-4275-83E5-B1BD40ABF71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0A6A50C3-A6BB-4178-8141-F98E8F15DE5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0722C-9EDB-413D-B3E1-67F59A9CA10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5" width="11.5703125" bestFit="1" customWidth="1"/>
    <col min="6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145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8008.4159478561396</v>
      </c>
      <c r="D6" s="13">
        <f>Income_Statement!D49</f>
        <v>9677.7672891120183</v>
      </c>
      <c r="E6" s="13">
        <f>Income_Statement!E49</f>
        <v>9961.8852015413995</v>
      </c>
      <c r="F6" s="13">
        <f>Income_Statement!F49</f>
        <v>11483.830119974566</v>
      </c>
      <c r="G6" s="13">
        <f>Income_Statement!G49</f>
        <v>16746.625988830339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500.52599674100873</v>
      </c>
      <c r="D7" s="13">
        <f>Income_Statement!D61</f>
        <v>509.35617311115885</v>
      </c>
      <c r="E7" s="13">
        <f>Income_Statement!E61</f>
        <v>474.3754857876857</v>
      </c>
      <c r="F7" s="13">
        <f>Income_Statement!F61</f>
        <v>499.29696173802461</v>
      </c>
      <c r="G7" s="13">
        <f>Income_Statement!G61</f>
        <v>697.77608286793077</v>
      </c>
    </row>
    <row r="8" spans="2:15" ht="18.75" x14ac:dyDescent="0.25">
      <c r="B8" s="14" t="s">
        <v>146</v>
      </c>
      <c r="C8" s="14">
        <f>ROUND(C6/C7, 2)</f>
        <v>16</v>
      </c>
      <c r="D8" s="14">
        <f t="shared" ref="D8:G8" si="0">ROUND(D6/D7, 2)</f>
        <v>19</v>
      </c>
      <c r="E8" s="14">
        <f t="shared" si="0"/>
        <v>21</v>
      </c>
      <c r="F8" s="14">
        <f t="shared" si="0"/>
        <v>23</v>
      </c>
      <c r="G8" s="14">
        <f t="shared" si="0"/>
        <v>24</v>
      </c>
    </row>
  </sheetData>
  <mergeCells count="1">
    <mergeCell ref="B5:G5"/>
  </mergeCells>
  <hyperlinks>
    <hyperlink ref="F1" location="Index_Data!A1" tooltip="Hi click here To return Index page" display="Index_Data!A1" xr:uid="{1B35EF25-C43F-4112-821A-3AA0C76C866D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0A821-7C75-4076-B2CD-6E27FCCE1DB3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1.5703125" bestFit="1" customWidth="1"/>
    <col min="7" max="7" width="10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147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3034.33</v>
      </c>
      <c r="D6" s="13">
        <f>Income_Statement!D51</f>
        <v>4514.87</v>
      </c>
      <c r="E6" s="13">
        <f>Income_Statement!E51</f>
        <v>3118.02</v>
      </c>
      <c r="F6" s="13">
        <f>Income_Statement!F51</f>
        <v>6821.99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500.52599674100873</v>
      </c>
      <c r="D7" s="13">
        <f>Income_Statement!D61</f>
        <v>509.35617311115885</v>
      </c>
      <c r="E7" s="13">
        <f>Income_Statement!E61</f>
        <v>474.3754857876857</v>
      </c>
      <c r="F7" s="13">
        <f>Income_Statement!F61</f>
        <v>499.29696173802461</v>
      </c>
      <c r="G7" s="13">
        <f>Income_Statement!G61</f>
        <v>697.77608286793077</v>
      </c>
    </row>
    <row r="8" spans="2:15" ht="18.75" x14ac:dyDescent="0.25">
      <c r="B8" s="14" t="s">
        <v>148</v>
      </c>
      <c r="C8" s="14">
        <f>ROUND(C6/C7, 2)</f>
        <v>6.06</v>
      </c>
      <c r="D8" s="14">
        <f t="shared" ref="D8:G8" si="0">ROUND(D6/D7, 2)</f>
        <v>8.86</v>
      </c>
      <c r="E8" s="14">
        <f t="shared" si="0"/>
        <v>6.57</v>
      </c>
      <c r="F8" s="14">
        <f t="shared" si="0"/>
        <v>13.66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9F8A038D-6365-47F1-A8E7-2138EFEF30AD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84</vt:i4>
      </vt:variant>
    </vt:vector>
  </HeadingPairs>
  <TitlesOfParts>
    <vt:vector size="132" baseType="lpstr">
      <vt:lpstr>BSInput</vt:lpstr>
      <vt:lpstr>ISMInput</vt:lpstr>
      <vt:lpstr>Index_Data</vt:lpstr>
      <vt:lpstr>Income_Statement</vt:lpstr>
      <vt:lpstr>Balance_Sheet</vt:lpstr>
      <vt:lpstr>CashFlow_Statement</vt:lpstr>
      <vt:lpstr>Ratios</vt:lpstr>
      <vt:lpstr>Earning__Per_Share</vt:lpstr>
      <vt:lpstr>Equity_Dividend_Per_Share</vt:lpstr>
      <vt:lpstr>Book_Value__Per_Share</vt:lpstr>
      <vt:lpstr>Dividend_Pay_Out_Ratio</vt:lpstr>
      <vt:lpstr>Dividend_Retention_Ratio</vt:lpstr>
      <vt:lpstr>Gross_Profit</vt:lpstr>
      <vt:lpstr>Net_Profit</vt:lpstr>
      <vt:lpstr>Return_On_Assets</vt:lpstr>
      <vt:lpstr>Return_On_Capital_Employeed</vt:lpstr>
      <vt:lpstr>Return_On_Equity</vt:lpstr>
      <vt:lpstr>Debt_Equity_Ratio</vt:lpstr>
      <vt:lpstr>Current_Ratio</vt:lpstr>
      <vt:lpstr>Quick_Ratio</vt:lpstr>
      <vt:lpstr>Interest_Coverage_Ratio</vt:lpstr>
      <vt:lpstr>Material_Consumed</vt:lpstr>
      <vt:lpstr>Defensive_Interval_Ratio</vt:lpstr>
      <vt:lpstr>Purchases_Per_Day</vt:lpstr>
      <vt:lpstr>Asset_TurnOver_Ratio</vt:lpstr>
      <vt:lpstr>Inventory_TurnOver_Ratio</vt:lpstr>
      <vt:lpstr>Debtors_TurnOver_Ratio</vt:lpstr>
      <vt:lpstr>Fixed_Assets_TurnOver_Ratio</vt:lpstr>
      <vt:lpstr>Payable_TurnOver_Ratio</vt:lpstr>
      <vt:lpstr>Inventory_Days</vt:lpstr>
      <vt:lpstr>Payable_Days</vt:lpstr>
      <vt:lpstr>Receivable_Days</vt:lpstr>
      <vt:lpstr>Operating_Cycle</vt:lpstr>
      <vt:lpstr>Cash_Conversion_Cycle_Days</vt:lpstr>
      <vt:lpstr>NetWorthVsTotalLiabilties</vt:lpstr>
      <vt:lpstr>PBDITvsPBIT</vt:lpstr>
      <vt:lpstr>CAvsCL</vt:lpstr>
      <vt:lpstr>Long_And_Short_Term_Provisions</vt:lpstr>
      <vt:lpstr>MaterialConsumed_DirectExpenses</vt:lpstr>
      <vt:lpstr>Gross_Sales_In_Total_Income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Net_Profit_CF_To_Balance_Sheet</vt:lpstr>
      <vt:lpstr>BS_Backup</vt:lpstr>
      <vt:lpstr>ISM_Backup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2022-07-03T10:52:08Z</dcterms:created>
  <dcterms:modified xsi:type="dcterms:W3CDTF">2022-07-04T07:41:51Z</dcterms:modified>
</cp:coreProperties>
</file>