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drawings/drawing33.xml" ContentType="application/vnd.openxmlformats-officedocument.drawing+xml"/>
  <Override PartName="/xl/charts/chart33.xml" ContentType="application/vnd.openxmlformats-officedocument.drawingml.chart+xml"/>
  <Override PartName="/xl/drawings/drawing34.xml" ContentType="application/vnd.openxmlformats-officedocument.drawing+xml"/>
  <Override PartName="/xl/charts/chart34.xml" ContentType="application/vnd.openxmlformats-officedocument.drawingml.chart+xml"/>
  <Override PartName="/xl/drawings/drawing35.xml" ContentType="application/vnd.openxmlformats-officedocument.drawing+xml"/>
  <Override PartName="/xl/charts/chart35.xml" ContentType="application/vnd.openxmlformats-officedocument.drawingml.chart+xml"/>
  <Override PartName="/xl/drawings/drawing36.xml" ContentType="application/vnd.openxmlformats-officedocument.drawing+xml"/>
  <Override PartName="/xl/charts/chart36.xml" ContentType="application/vnd.openxmlformats-officedocument.drawingml.chart+xml"/>
  <Override PartName="/xl/drawings/drawing37.xml" ContentType="application/vnd.openxmlformats-officedocument.drawing+xml"/>
  <Override PartName="/xl/charts/chart37.xml" ContentType="application/vnd.openxmlformats-officedocument.drawingml.chart+xml"/>
  <Override PartName="/xl/drawings/drawing38.xml" ContentType="application/vnd.openxmlformats-officedocument.drawing+xml"/>
  <Override PartName="/xl/charts/chart38.xml" ContentType="application/vnd.openxmlformats-officedocument.drawingml.chart+xml"/>
  <Override PartName="/xl/drawings/drawing39.xml" ContentType="application/vnd.openxmlformats-officedocument.drawing+xml"/>
  <Override PartName="/xl/charts/chart3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\Desktop\aaa\"/>
    </mc:Choice>
  </mc:AlternateContent>
  <xr:revisionPtr revIDLastSave="0" documentId="13_ncr:1_{0250FDDA-1F97-4AAB-9897-FDA061E4706D}" xr6:coauthVersionLast="47" xr6:coauthVersionMax="47" xr10:uidLastSave="{00000000-0000-0000-0000-000000000000}"/>
  <bookViews>
    <workbookView xWindow="-120" yWindow="-120" windowWidth="20730" windowHeight="11160" firstSheet="2" activeTab="2" xr2:uid="{B76AD56D-29F5-4425-80FD-66471A679294}"/>
  </bookViews>
  <sheets>
    <sheet name="BSInput" sheetId="1" r:id="rId1"/>
    <sheet name="ISMInput" sheetId="2" r:id="rId2"/>
    <sheet name="Index_Data" sheetId="48" r:id="rId3"/>
    <sheet name="Income_Statement" sheetId="3" r:id="rId4"/>
    <sheet name="Balance_Sheet" sheetId="4" r:id="rId5"/>
    <sheet name="CashFlow_Statement" sheetId="5" r:id="rId6"/>
    <sheet name="Ratios" sheetId="6" r:id="rId7"/>
    <sheet name="Earning__Per_Share" sheetId="7" r:id="rId8"/>
    <sheet name="Equity_Dividend_Per_Share" sheetId="8" r:id="rId9"/>
    <sheet name="Book_Value__Per_Share" sheetId="9" r:id="rId10"/>
    <sheet name="Dividend_Pay_Out_Ratio" sheetId="10" r:id="rId11"/>
    <sheet name="Dividend_Retention_Ratio" sheetId="11" r:id="rId12"/>
    <sheet name="Gross_Profit" sheetId="12" r:id="rId13"/>
    <sheet name="Net_Profit" sheetId="13" r:id="rId14"/>
    <sheet name="Return_On_Assets" sheetId="14" r:id="rId15"/>
    <sheet name="Return_On_Capital_Employeed" sheetId="15" r:id="rId16"/>
    <sheet name="Return_On_Equity" sheetId="16" r:id="rId17"/>
    <sheet name="Debt_Equity_Ratio" sheetId="17" r:id="rId18"/>
    <sheet name="Current_Ratio" sheetId="18" r:id="rId19"/>
    <sheet name="Quick_Ratio" sheetId="19" r:id="rId20"/>
    <sheet name="Interest_Coverage_Ratio" sheetId="20" r:id="rId21"/>
    <sheet name="Material_Consumed" sheetId="21" r:id="rId22"/>
    <sheet name="Defensive_Interval_Ratio" sheetId="22" r:id="rId23"/>
    <sheet name="Purchases_Per_Day" sheetId="23" r:id="rId24"/>
    <sheet name="Asset_TurnOver_Ratio" sheetId="24" r:id="rId25"/>
    <sheet name="Inventory_TurnOver_Ratio" sheetId="25" r:id="rId26"/>
    <sheet name="Debtors_TurnOver_Ratio" sheetId="26" r:id="rId27"/>
    <sheet name="Fixed_Assets_TurnOver_Ratio" sheetId="27" r:id="rId28"/>
    <sheet name="Payable_TurnOver_Ratio" sheetId="28" r:id="rId29"/>
    <sheet name="Inventory_Days" sheetId="29" r:id="rId30"/>
    <sheet name="Payable_Days" sheetId="30" r:id="rId31"/>
    <sheet name="Receivable_Days" sheetId="31" r:id="rId32"/>
    <sheet name="Operating_Cycle" sheetId="32" r:id="rId33"/>
    <sheet name="Cash_Conversion_Cycle_Days" sheetId="33" r:id="rId34"/>
    <sheet name="NetWorthVsTotalLiabilties" sheetId="34" r:id="rId35"/>
    <sheet name="PBDITvsPBIT" sheetId="35" r:id="rId36"/>
    <sheet name="CAvsCL" sheetId="36" r:id="rId37"/>
    <sheet name="Long_And_Short_Term_Provisions" sheetId="37" r:id="rId38"/>
    <sheet name="MaterialConsumed_DirectExpenses" sheetId="38" r:id="rId39"/>
    <sheet name="Gross_Sales_In_Total_Income" sheetId="39" r:id="rId40"/>
    <sheet name="Total_Debt_In_Liabilities" sheetId="40" r:id="rId41"/>
    <sheet name="Total_CL_In_Liabilities" sheetId="41" r:id="rId42"/>
    <sheet name="Total_NCA_In_Assets" sheetId="42" r:id="rId43"/>
    <sheet name="Total_CA_In_Assets" sheetId="43" r:id="rId44"/>
    <sheet name="TotalExpenditureVsTotalIncome" sheetId="44" r:id="rId45"/>
    <sheet name="Net_Profit_CF_To_Balance_Sheet" sheetId="45" r:id="rId46"/>
    <sheet name="BS_Backup" sheetId="46" r:id="rId47"/>
    <sheet name="ISM_Backup" sheetId="47" r:id="rId48"/>
  </sheets>
  <definedNames>
    <definedName name="AmountCFtoBalanceSheet">Income_Statement!$B$55:$G$55</definedName>
    <definedName name="AssetTurnOverRatio">Asset_TurnOver_Ratio!$B$8:$G$8</definedName>
    <definedName name="BookValuePerShare">Book_Value__Per_Share!$B$8:$G$8</definedName>
    <definedName name="CapitalWorkInProgress">Balance_Sheet!$B$52:$G$52</definedName>
    <definedName name="CashAndCashEquivalents">Balance_Sheet!$B$70:$G$70</definedName>
    <definedName name="CashCFtoBalanceSheet">CashFlow_Statement!$B$48:$G$48</definedName>
    <definedName name="CostOfMaterialsConsumed">Income_Statement!$B$17:$G$17</definedName>
    <definedName name="CurrentInvestments">Balance_Sheet!$B$50:$G$50</definedName>
    <definedName name="CurrentRatio">Current_Ratio!$B$8:$G$8</definedName>
    <definedName name="DebtEquityRatio">Debt_Equity_Ratio!$B$8:$G$8</definedName>
    <definedName name="DebtorsTurnOverRatio">Debtors_TurnOver_Ratio!$B$8:$G$8</definedName>
    <definedName name="DefensiveIntervalRatio">Defensive_Interval_Ratio!$B$8:$G$8</definedName>
    <definedName name="DeferredTaxAssetsNet">Balance_Sheet!$B$56:$G$56</definedName>
    <definedName name="DeferredTaxLiabilitiesNet">Balance_Sheet!$B$17:$G$17</definedName>
    <definedName name="Depreciation">Balance_Sheet!$B$44:$G$44</definedName>
    <definedName name="DepreciationAndAmortisationExpenses">Income_Statement!$B$31:$G$31</definedName>
    <definedName name="EarningPerShare">Earning__Per_Share!$B$8:$G$8</definedName>
    <definedName name="EmployeeBenefitExpenses">Income_Statement!$B$21:$G$21</definedName>
    <definedName name="EquityDividendPerShare">Equity_Dividend_Per_Share!$B$8:$G$8</definedName>
    <definedName name="EquityShareCapital">Balance_Sheet!$B$5:$G$5</definedName>
    <definedName name="EquityShareDividend">Income_Statement!$B$51:$G$51</definedName>
    <definedName name="ExceptionalItems">Income_Statement!$B$43:$G$43</definedName>
    <definedName name="ExciseDuty">Income_Statement!$B$7:$G$7</definedName>
    <definedName name="FinanceCosts">Income_Statement!$B$35:$G$35</definedName>
    <definedName name="GrossProfit">Gross_Profit!$B$8:$G$8</definedName>
    <definedName name="GrossSales">Income_Statement!$B$5:$G$5</definedName>
    <definedName name="IntangibleAssets">Balance_Sheet!$B$42:$G$42</definedName>
    <definedName name="InterestCoverageRatio">Interest_Coverage_Ratio!$B$8:$G$8</definedName>
    <definedName name="Inventories">Balance_Sheet!$B$66:$G$66</definedName>
    <definedName name="InventoryTurnOverRatio">Inventory_TurnOver_Ratio!$B$8:$G$8</definedName>
    <definedName name="LongTermBorrowings">Balance_Sheet!$B$15:$G$15</definedName>
    <definedName name="LongTermLoansAndAdvances">Balance_Sheet!$B$58:$G$58</definedName>
    <definedName name="LongTermProvisions">Balance_Sheet!$B$23:$G$23</definedName>
    <definedName name="MaterialConsumed">Material_Consumed!$B$8:$G$8</definedName>
    <definedName name="MinorityInterest">Balance_Sheet!$B$35:$G$35</definedName>
    <definedName name="NetAssets">Balance_Sheet!$B$46:$G$46</definedName>
    <definedName name="NetProfit">Net_Profit!$B$8:$G$8</definedName>
    <definedName name="NetSales">Income_Statement!$B$9:$G$9</definedName>
    <definedName name="NetWorth">Balance_Sheet!$B$13:$G$13</definedName>
    <definedName name="NonCurrentInvestments">Balance_Sheet!$B$48:$G$48</definedName>
    <definedName name="OperatingAndDirectExpenses">Income_Statement!$B$19:$G$19</definedName>
    <definedName name="OperatingProfit">Income_Statement!$B$27:$G$27</definedName>
    <definedName name="OtherCurrentAssets">Balance_Sheet!$B$64:$G$64</definedName>
    <definedName name="OtherCurrentLiabilities">Balance_Sheet!$B$31:$G$31</definedName>
    <definedName name="OtherExpenses">Income_Statement!$B$23:$G$23</definedName>
    <definedName name="OtherIncome">Income_Statement!$B$11:$G$11</definedName>
    <definedName name="OtherLongTermLiabilities">Balance_Sheet!$B$27:$G$27</definedName>
    <definedName name="OtherNonCurrentAssets">Balance_Sheet!$B$60:$G$60</definedName>
    <definedName name="PBDIT">Income_Statement!$B$29:$G$29</definedName>
    <definedName name="PBIT">Income_Statement!$B$33:$G$33</definedName>
    <definedName name="PBT">Income_Statement!$B$41:$G$41</definedName>
    <definedName name="PBTPostExtraOrdinaryItems">Income_Statement!$B$45:$G$45</definedName>
    <definedName name="PreferenceShareCapital">Balance_Sheet!$B$7:$G$7</definedName>
    <definedName name="ProfitBeforeshareofAssociates">Income_Statement!$B$37:$G$37</definedName>
    <definedName name="QuickRatio">Quick_Ratio!$B$9:$G$9</definedName>
    <definedName name="ReportedNetProfitPAT">Income_Statement!$B$49:$G$49</definedName>
    <definedName name="ReservesandSurplus">Balance_Sheet!$B$11:$G$11</definedName>
    <definedName name="ReturnOnAssets">Return_On_Assets!$B$8:$G$8</definedName>
    <definedName name="ReturnOnCapitalEmployeed">Return_On_Capital_Employeed!$B$9:$G$9</definedName>
    <definedName name="ReturnOnEquity">Return_On_Equity!$B$8:$G$8</definedName>
    <definedName name="ShareOfProfitLossOfAssociates">Income_Statement!$B$39:$G$39</definedName>
    <definedName name="SharesOutstanding">Income_Statement!$B$61:$G$61</definedName>
    <definedName name="ShortTermBorrowings">Balance_Sheet!$B$19:$G$19</definedName>
    <definedName name="ShortTermLoansAndAdvances">Balance_Sheet!$B$62:$G$62</definedName>
    <definedName name="ShortTermProvisions">Balance_Sheet!$B$25:$G$25</definedName>
    <definedName name="StockAdjustments">Income_Statement!$B$13:$G$13</definedName>
    <definedName name="TangibleAssets">Balance_Sheet!$B$40:$G$40</definedName>
    <definedName name="TaxOnDividend">Income_Statement!$B$53:$G$53</definedName>
    <definedName name="TotalAssets">Balance_Sheet!$B$74:$G$74</definedName>
    <definedName name="TotalCashFlowfromInvestmentActivities">CashFlow_Statement!$B$35:$G$35</definedName>
    <definedName name="TotalCashFromFinancingActivities">CashFlow_Statement!$B$47:$G$47</definedName>
    <definedName name="TotalCashfromOperatingActivities">CashFlow_Statement!$B$27:$G$27</definedName>
    <definedName name="TotalCurrentAssets">Balance_Sheet!$B$72:$G$72</definedName>
    <definedName name="TotalCurrentLiabilities">Balance_Sheet!$B$33:$G$33</definedName>
    <definedName name="TotalDebt">Balance_Sheet!$B$21:$G$21</definedName>
    <definedName name="TotalExpenditure">Income_Statement!$B$25:$G$25</definedName>
    <definedName name="TotalIncome">Income_Statement!$B$15:$G$15</definedName>
    <definedName name="TotalLiabilities">Balance_Sheet!$B$37:$G$37</definedName>
    <definedName name="TotalNonCashNonOperatingTransactions">CashFlow_Statement!$B$10:$G$10</definedName>
    <definedName name="TotalNonCurrentAssets">Balance_Sheet!$B$54:$G$54</definedName>
    <definedName name="TotalShareCapital">Balance_Sheet!$B$9:$G$9</definedName>
    <definedName name="TotalTaxExpenses">Income_Statement!$B$47:$G$47</definedName>
    <definedName name="TradePayables">Balance_Sheet!$B$29:$G$29</definedName>
    <definedName name="TradeReceivables">Balance_Sheet!$B$68:$G$68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1" i="4" l="1"/>
  <c r="J11" i="4"/>
  <c r="K11" i="4"/>
  <c r="L11" i="4"/>
  <c r="H11" i="4"/>
  <c r="I65" i="3"/>
  <c r="J65" i="3" s="1"/>
  <c r="K65" i="3" s="1"/>
  <c r="L65" i="3" s="1"/>
  <c r="H65" i="3"/>
  <c r="D65" i="3"/>
  <c r="E65" i="3"/>
  <c r="F65" i="3"/>
  <c r="G65" i="3"/>
  <c r="C65" i="3"/>
  <c r="H48" i="3"/>
  <c r="I48" i="3"/>
  <c r="J48" i="3"/>
  <c r="K48" i="3"/>
  <c r="L48" i="3"/>
  <c r="I47" i="3"/>
  <c r="J47" i="3"/>
  <c r="K47" i="3"/>
  <c r="L47" i="3"/>
  <c r="L26" i="5" s="1"/>
  <c r="H47" i="3"/>
  <c r="I64" i="3"/>
  <c r="J64" i="3" s="1"/>
  <c r="K64" i="3" s="1"/>
  <c r="L64" i="3" s="1"/>
  <c r="H64" i="3"/>
  <c r="D64" i="3"/>
  <c r="E64" i="3"/>
  <c r="F64" i="3"/>
  <c r="G64" i="3"/>
  <c r="C64" i="3"/>
  <c r="H36" i="3"/>
  <c r="I36" i="3"/>
  <c r="J36" i="3"/>
  <c r="K36" i="3"/>
  <c r="L36" i="3"/>
  <c r="I35" i="3"/>
  <c r="J35" i="3"/>
  <c r="K35" i="3"/>
  <c r="L35" i="3"/>
  <c r="H35" i="3"/>
  <c r="I63" i="3"/>
  <c r="J63" i="3" s="1"/>
  <c r="K63" i="3" s="1"/>
  <c r="L63" i="3" s="1"/>
  <c r="H63" i="3"/>
  <c r="D63" i="3"/>
  <c r="E63" i="3"/>
  <c r="F63" i="3"/>
  <c r="G63" i="3"/>
  <c r="C63" i="3"/>
  <c r="H32" i="3"/>
  <c r="I32" i="3"/>
  <c r="J32" i="3"/>
  <c r="K32" i="3"/>
  <c r="L32" i="3"/>
  <c r="I31" i="3"/>
  <c r="J31" i="3"/>
  <c r="K31" i="3"/>
  <c r="K7" i="5" s="1"/>
  <c r="L31" i="3"/>
  <c r="L7" i="5" s="1"/>
  <c r="H31" i="3"/>
  <c r="I62" i="3"/>
  <c r="J62" i="3" s="1"/>
  <c r="K62" i="3" s="1"/>
  <c r="L62" i="3" s="1"/>
  <c r="H62" i="3"/>
  <c r="D62" i="3"/>
  <c r="E62" i="3"/>
  <c r="F62" i="3"/>
  <c r="G62" i="3"/>
  <c r="C62" i="3"/>
  <c r="H44" i="4"/>
  <c r="H45" i="4" s="1"/>
  <c r="I44" i="4"/>
  <c r="I45" i="4" s="1"/>
  <c r="H47" i="5"/>
  <c r="I47" i="5"/>
  <c r="H46" i="5"/>
  <c r="I46" i="5"/>
  <c r="J46" i="5"/>
  <c r="J47" i="5" s="1"/>
  <c r="K46" i="5"/>
  <c r="K47" i="5" s="1"/>
  <c r="L46" i="5"/>
  <c r="L47" i="5" s="1"/>
  <c r="H45" i="5"/>
  <c r="I45" i="5"/>
  <c r="J45" i="5"/>
  <c r="K45" i="5"/>
  <c r="L45" i="5"/>
  <c r="H44" i="5"/>
  <c r="I44" i="5"/>
  <c r="J44" i="5"/>
  <c r="K44" i="5"/>
  <c r="L44" i="5"/>
  <c r="H42" i="5"/>
  <c r="I42" i="5"/>
  <c r="J42" i="5"/>
  <c r="K42" i="5"/>
  <c r="L42" i="5"/>
  <c r="H41" i="5"/>
  <c r="I41" i="5"/>
  <c r="J41" i="5"/>
  <c r="K41" i="5"/>
  <c r="L41" i="5"/>
  <c r="H40" i="5"/>
  <c r="I40" i="5"/>
  <c r="J40" i="5"/>
  <c r="K40" i="5"/>
  <c r="L40" i="5"/>
  <c r="H39" i="5"/>
  <c r="I39" i="5"/>
  <c r="J39" i="5"/>
  <c r="K39" i="5"/>
  <c r="L39" i="5"/>
  <c r="H38" i="5"/>
  <c r="I38" i="5"/>
  <c r="J38" i="5"/>
  <c r="K38" i="5"/>
  <c r="L38" i="5"/>
  <c r="H37" i="5"/>
  <c r="I37" i="5"/>
  <c r="J37" i="5"/>
  <c r="K37" i="5"/>
  <c r="L37" i="5"/>
  <c r="H35" i="5"/>
  <c r="I35" i="5"/>
  <c r="J35" i="5"/>
  <c r="K35" i="5"/>
  <c r="L35" i="5"/>
  <c r="H34" i="5"/>
  <c r="I34" i="5"/>
  <c r="J34" i="5"/>
  <c r="K34" i="5"/>
  <c r="L34" i="5"/>
  <c r="H33" i="5"/>
  <c r="I33" i="5"/>
  <c r="J33" i="5"/>
  <c r="K33" i="5"/>
  <c r="L33" i="5"/>
  <c r="H32" i="5"/>
  <c r="I32" i="5"/>
  <c r="J32" i="5"/>
  <c r="K32" i="5"/>
  <c r="L32" i="5"/>
  <c r="H31" i="5"/>
  <c r="I31" i="5"/>
  <c r="J31" i="5"/>
  <c r="K31" i="5"/>
  <c r="L31" i="5"/>
  <c r="H30" i="5"/>
  <c r="I30" i="5"/>
  <c r="J30" i="5"/>
  <c r="K30" i="5"/>
  <c r="L30" i="5"/>
  <c r="H29" i="5"/>
  <c r="I29" i="5"/>
  <c r="J29" i="5"/>
  <c r="K29" i="5"/>
  <c r="L29" i="5"/>
  <c r="H26" i="5"/>
  <c r="I26" i="5"/>
  <c r="J26" i="5"/>
  <c r="K26" i="5"/>
  <c r="H24" i="5"/>
  <c r="I24" i="5"/>
  <c r="J24" i="5"/>
  <c r="K24" i="5"/>
  <c r="L24" i="5"/>
  <c r="H23" i="5"/>
  <c r="I23" i="5"/>
  <c r="J23" i="5"/>
  <c r="K23" i="5"/>
  <c r="L23" i="5"/>
  <c r="H22" i="5"/>
  <c r="I22" i="5"/>
  <c r="J22" i="5"/>
  <c r="K22" i="5"/>
  <c r="L22" i="5"/>
  <c r="H21" i="5"/>
  <c r="I21" i="5"/>
  <c r="J21" i="5"/>
  <c r="K21" i="5"/>
  <c r="L21" i="5"/>
  <c r="H20" i="5"/>
  <c r="I20" i="5"/>
  <c r="J20" i="5"/>
  <c r="K20" i="5"/>
  <c r="L20" i="5"/>
  <c r="H18" i="5"/>
  <c r="I18" i="5"/>
  <c r="J18" i="5"/>
  <c r="K18" i="5"/>
  <c r="L18" i="5"/>
  <c r="H17" i="5"/>
  <c r="I17" i="5"/>
  <c r="J17" i="5"/>
  <c r="K17" i="5"/>
  <c r="L17" i="5"/>
  <c r="H16" i="5"/>
  <c r="I16" i="5"/>
  <c r="J16" i="5"/>
  <c r="K16" i="5"/>
  <c r="L16" i="5"/>
  <c r="H15" i="5"/>
  <c r="I15" i="5"/>
  <c r="J15" i="5"/>
  <c r="K15" i="5"/>
  <c r="L15" i="5"/>
  <c r="H14" i="5"/>
  <c r="I14" i="5"/>
  <c r="J14" i="5"/>
  <c r="K14" i="5"/>
  <c r="L14" i="5"/>
  <c r="H13" i="5"/>
  <c r="I13" i="5"/>
  <c r="J13" i="5"/>
  <c r="K13" i="5"/>
  <c r="L13" i="5"/>
  <c r="H12" i="5"/>
  <c r="I12" i="5"/>
  <c r="J12" i="5"/>
  <c r="K12" i="5"/>
  <c r="L12" i="5"/>
  <c r="H9" i="5"/>
  <c r="I9" i="5"/>
  <c r="J9" i="5"/>
  <c r="K9" i="5"/>
  <c r="L9" i="5"/>
  <c r="H8" i="5"/>
  <c r="I8" i="5"/>
  <c r="J8" i="5"/>
  <c r="K8" i="5"/>
  <c r="L8" i="5"/>
  <c r="H7" i="5"/>
  <c r="H10" i="5" s="1"/>
  <c r="I7" i="5"/>
  <c r="I10" i="5" s="1"/>
  <c r="J7" i="5"/>
  <c r="L66" i="4"/>
  <c r="H66" i="4"/>
  <c r="I67" i="4"/>
  <c r="J67" i="4" s="1"/>
  <c r="K67" i="4" s="1"/>
  <c r="L67" i="4" s="1"/>
  <c r="H67" i="4"/>
  <c r="L64" i="4"/>
  <c r="H64" i="4"/>
  <c r="I65" i="4"/>
  <c r="J65" i="4" s="1"/>
  <c r="K65" i="4" s="1"/>
  <c r="L65" i="4" s="1"/>
  <c r="H65" i="4"/>
  <c r="H62" i="4"/>
  <c r="I63" i="4"/>
  <c r="I62" i="4" s="1"/>
  <c r="H63" i="4"/>
  <c r="K58" i="4"/>
  <c r="L58" i="4"/>
  <c r="H58" i="4"/>
  <c r="I59" i="4"/>
  <c r="J59" i="4" s="1"/>
  <c r="K59" i="4" s="1"/>
  <c r="L59" i="4" s="1"/>
  <c r="H59" i="4"/>
  <c r="K56" i="4"/>
  <c r="L56" i="4"/>
  <c r="H56" i="4"/>
  <c r="I57" i="4"/>
  <c r="J57" i="4" s="1"/>
  <c r="K57" i="4" s="1"/>
  <c r="L57" i="4" s="1"/>
  <c r="H57" i="4"/>
  <c r="L52" i="4"/>
  <c r="H52" i="4"/>
  <c r="I53" i="4"/>
  <c r="J53" i="4" s="1"/>
  <c r="K53" i="4" s="1"/>
  <c r="L53" i="4" s="1"/>
  <c r="H53" i="4"/>
  <c r="L50" i="4"/>
  <c r="H50" i="4"/>
  <c r="I51" i="4"/>
  <c r="J51" i="4" s="1"/>
  <c r="K51" i="4" s="1"/>
  <c r="L51" i="4" s="1"/>
  <c r="H51" i="4"/>
  <c r="L48" i="4"/>
  <c r="H48" i="4"/>
  <c r="I49" i="4"/>
  <c r="J49" i="4" s="1"/>
  <c r="K49" i="4" s="1"/>
  <c r="L49" i="4" s="1"/>
  <c r="H49" i="4"/>
  <c r="H46" i="4"/>
  <c r="H47" i="4" s="1"/>
  <c r="K42" i="4"/>
  <c r="L42" i="4"/>
  <c r="H42" i="4"/>
  <c r="I43" i="4"/>
  <c r="J43" i="4" s="1"/>
  <c r="K43" i="4" s="1"/>
  <c r="L43" i="4" s="1"/>
  <c r="H43" i="4"/>
  <c r="H40" i="4"/>
  <c r="I41" i="4"/>
  <c r="I40" i="4" s="1"/>
  <c r="H41" i="4"/>
  <c r="L35" i="4"/>
  <c r="H35" i="4"/>
  <c r="I36" i="4"/>
  <c r="J36" i="4" s="1"/>
  <c r="K36" i="4" s="1"/>
  <c r="L36" i="4" s="1"/>
  <c r="H36" i="4"/>
  <c r="L31" i="4"/>
  <c r="H31" i="4"/>
  <c r="I32" i="4"/>
  <c r="J32" i="4" s="1"/>
  <c r="K32" i="4" s="1"/>
  <c r="L32" i="4" s="1"/>
  <c r="H32" i="4"/>
  <c r="K29" i="4"/>
  <c r="L29" i="4"/>
  <c r="H29" i="4"/>
  <c r="I30" i="4"/>
  <c r="J30" i="4" s="1"/>
  <c r="K30" i="4" s="1"/>
  <c r="L30" i="4" s="1"/>
  <c r="H30" i="4"/>
  <c r="L27" i="4"/>
  <c r="H27" i="4"/>
  <c r="I28" i="4"/>
  <c r="J28" i="4" s="1"/>
  <c r="K28" i="4" s="1"/>
  <c r="L28" i="4" s="1"/>
  <c r="H28" i="4"/>
  <c r="L25" i="4"/>
  <c r="H25" i="4"/>
  <c r="I26" i="4"/>
  <c r="J26" i="4" s="1"/>
  <c r="K26" i="4" s="1"/>
  <c r="L26" i="4" s="1"/>
  <c r="H26" i="4"/>
  <c r="L23" i="4"/>
  <c r="L33" i="4" s="1"/>
  <c r="L34" i="4" s="1"/>
  <c r="H23" i="4"/>
  <c r="H33" i="4" s="1"/>
  <c r="H34" i="4" s="1"/>
  <c r="I24" i="4"/>
  <c r="J24" i="4" s="1"/>
  <c r="K24" i="4" s="1"/>
  <c r="L24" i="4" s="1"/>
  <c r="H24" i="4"/>
  <c r="K21" i="4"/>
  <c r="L21" i="4"/>
  <c r="H21" i="4"/>
  <c r="I22" i="4"/>
  <c r="J22" i="4" s="1"/>
  <c r="K22" i="4" s="1"/>
  <c r="L22" i="4" s="1"/>
  <c r="H22" i="4"/>
  <c r="H19" i="4"/>
  <c r="I20" i="4"/>
  <c r="I19" i="4" s="1"/>
  <c r="H20" i="4"/>
  <c r="L17" i="4"/>
  <c r="H17" i="4"/>
  <c r="I18" i="4"/>
  <c r="J18" i="4" s="1"/>
  <c r="K18" i="4" s="1"/>
  <c r="L18" i="4" s="1"/>
  <c r="H18" i="4"/>
  <c r="H15" i="4"/>
  <c r="I16" i="4"/>
  <c r="I15" i="4" s="1"/>
  <c r="H16" i="4"/>
  <c r="H13" i="4"/>
  <c r="H14" i="4" s="1"/>
  <c r="I13" i="4"/>
  <c r="J13" i="4"/>
  <c r="K13" i="4"/>
  <c r="K14" i="4" s="1"/>
  <c r="L13" i="4"/>
  <c r="I14" i="4"/>
  <c r="J14" i="4"/>
  <c r="L14" i="4"/>
  <c r="H9" i="4"/>
  <c r="I9" i="4"/>
  <c r="J9" i="4"/>
  <c r="K9" i="4"/>
  <c r="K10" i="4" s="1"/>
  <c r="L9" i="4"/>
  <c r="H10" i="4"/>
  <c r="I10" i="4"/>
  <c r="J10" i="4"/>
  <c r="L10" i="4"/>
  <c r="I7" i="4"/>
  <c r="J7" i="4" s="1"/>
  <c r="K7" i="4" s="1"/>
  <c r="L7" i="4" s="1"/>
  <c r="H7" i="4"/>
  <c r="I8" i="4"/>
  <c r="J8" i="4" s="1"/>
  <c r="K8" i="4" s="1"/>
  <c r="L8" i="4" s="1"/>
  <c r="H8" i="4"/>
  <c r="I5" i="4"/>
  <c r="J5" i="4" s="1"/>
  <c r="K5" i="4" s="1"/>
  <c r="L5" i="4" s="1"/>
  <c r="H5" i="4"/>
  <c r="I6" i="4"/>
  <c r="J6" i="4" s="1"/>
  <c r="K6" i="4" s="1"/>
  <c r="L6" i="4" s="1"/>
  <c r="H6" i="4"/>
  <c r="H75" i="4"/>
  <c r="I75" i="4"/>
  <c r="J75" i="4"/>
  <c r="K75" i="4"/>
  <c r="L75" i="4"/>
  <c r="I74" i="4"/>
  <c r="J74" i="4"/>
  <c r="K74" i="4"/>
  <c r="L74" i="4"/>
  <c r="H74" i="4"/>
  <c r="I80" i="4"/>
  <c r="J80" i="4" s="1"/>
  <c r="H80" i="4"/>
  <c r="D80" i="4"/>
  <c r="E80" i="4"/>
  <c r="F80" i="4"/>
  <c r="G80" i="4"/>
  <c r="C80" i="4"/>
  <c r="K68" i="4"/>
  <c r="L68" i="4"/>
  <c r="H68" i="4"/>
  <c r="I69" i="4"/>
  <c r="J69" i="4" s="1"/>
  <c r="K69" i="4" s="1"/>
  <c r="L69" i="4" s="1"/>
  <c r="H69" i="4"/>
  <c r="H53" i="3"/>
  <c r="I54" i="3"/>
  <c r="J54" i="3" s="1"/>
  <c r="K54" i="3" s="1"/>
  <c r="L54" i="3" s="1"/>
  <c r="L53" i="3" s="1"/>
  <c r="H54" i="3"/>
  <c r="L51" i="3"/>
  <c r="H51" i="3"/>
  <c r="I52" i="3"/>
  <c r="J52" i="3" s="1"/>
  <c r="K52" i="3" s="1"/>
  <c r="L52" i="3" s="1"/>
  <c r="H52" i="3"/>
  <c r="L43" i="3"/>
  <c r="H43" i="3"/>
  <c r="I44" i="3"/>
  <c r="J44" i="3" s="1"/>
  <c r="K44" i="3" s="1"/>
  <c r="L44" i="3" s="1"/>
  <c r="H44" i="3"/>
  <c r="H39" i="3"/>
  <c r="I40" i="3"/>
  <c r="I39" i="3" s="1"/>
  <c r="H40" i="3"/>
  <c r="H37" i="3"/>
  <c r="H38" i="3" s="1"/>
  <c r="H33" i="3"/>
  <c r="I33" i="3"/>
  <c r="I34" i="3" s="1"/>
  <c r="J33" i="3"/>
  <c r="J37" i="3" s="1"/>
  <c r="H34" i="3"/>
  <c r="J34" i="3"/>
  <c r="H29" i="3"/>
  <c r="I29" i="3"/>
  <c r="J29" i="3"/>
  <c r="K29" i="3"/>
  <c r="K30" i="3" s="1"/>
  <c r="L29" i="3"/>
  <c r="H30" i="3"/>
  <c r="I30" i="3"/>
  <c r="J30" i="3"/>
  <c r="L30" i="3"/>
  <c r="H27" i="3"/>
  <c r="I27" i="3"/>
  <c r="J27" i="3"/>
  <c r="K27" i="3"/>
  <c r="K28" i="3" s="1"/>
  <c r="L27" i="3"/>
  <c r="H28" i="3"/>
  <c r="I28" i="3"/>
  <c r="J28" i="3"/>
  <c r="L28" i="3"/>
  <c r="H25" i="3"/>
  <c r="I25" i="3"/>
  <c r="J25" i="3"/>
  <c r="K25" i="3"/>
  <c r="K26" i="3" s="1"/>
  <c r="L25" i="3"/>
  <c r="H26" i="3"/>
  <c r="I26" i="3"/>
  <c r="J26" i="3"/>
  <c r="L26" i="3"/>
  <c r="L23" i="3"/>
  <c r="H23" i="3"/>
  <c r="I24" i="3"/>
  <c r="J24" i="3" s="1"/>
  <c r="K24" i="3" s="1"/>
  <c r="L24" i="3" s="1"/>
  <c r="H24" i="3"/>
  <c r="L21" i="3"/>
  <c r="H21" i="3"/>
  <c r="I22" i="3"/>
  <c r="J22" i="3" s="1"/>
  <c r="K22" i="3" s="1"/>
  <c r="L22" i="3" s="1"/>
  <c r="H22" i="3"/>
  <c r="H19" i="3"/>
  <c r="I20" i="3"/>
  <c r="I19" i="3" s="1"/>
  <c r="H20" i="3"/>
  <c r="H17" i="3"/>
  <c r="I18" i="3"/>
  <c r="I17" i="3" s="1"/>
  <c r="J18" i="3"/>
  <c r="J17" i="3" s="1"/>
  <c r="K18" i="3"/>
  <c r="L18" i="3" s="1"/>
  <c r="L17" i="3" s="1"/>
  <c r="H18" i="3"/>
  <c r="H15" i="3"/>
  <c r="I15" i="3"/>
  <c r="J15" i="3"/>
  <c r="K15" i="3"/>
  <c r="K16" i="3" s="1"/>
  <c r="L15" i="3"/>
  <c r="H16" i="3"/>
  <c r="I16" i="3"/>
  <c r="J16" i="3"/>
  <c r="L16" i="3"/>
  <c r="L13" i="3"/>
  <c r="H13" i="3"/>
  <c r="I14" i="3"/>
  <c r="J14" i="3" s="1"/>
  <c r="K14" i="3" s="1"/>
  <c r="L14" i="3" s="1"/>
  <c r="H14" i="3"/>
  <c r="K11" i="3"/>
  <c r="L11" i="3"/>
  <c r="H11" i="3"/>
  <c r="I12" i="3"/>
  <c r="J12" i="3" s="1"/>
  <c r="K12" i="3" s="1"/>
  <c r="L12" i="3" s="1"/>
  <c r="H12" i="3"/>
  <c r="H9" i="3"/>
  <c r="I9" i="3"/>
  <c r="J9" i="3"/>
  <c r="K9" i="3"/>
  <c r="K10" i="3" s="1"/>
  <c r="L9" i="3"/>
  <c r="H10" i="3"/>
  <c r="I10" i="3"/>
  <c r="J10" i="3"/>
  <c r="L10" i="3"/>
  <c r="H7" i="3"/>
  <c r="I8" i="3"/>
  <c r="I7" i="3" s="1"/>
  <c r="J8" i="3"/>
  <c r="J7" i="3" s="1"/>
  <c r="K8" i="3"/>
  <c r="L8" i="3" s="1"/>
  <c r="L7" i="3" s="1"/>
  <c r="H8" i="3"/>
  <c r="H6" i="3"/>
  <c r="I5" i="3"/>
  <c r="J5" i="3" s="1"/>
  <c r="J6" i="3" s="1"/>
  <c r="H5" i="3"/>
  <c r="D56" i="3"/>
  <c r="E56" i="3"/>
  <c r="F56" i="3"/>
  <c r="G56" i="3"/>
  <c r="C56" i="3"/>
  <c r="D54" i="3"/>
  <c r="E54" i="3"/>
  <c r="F54" i="3"/>
  <c r="G54" i="3"/>
  <c r="C54" i="3"/>
  <c r="D52" i="3"/>
  <c r="E52" i="3"/>
  <c r="F52" i="3"/>
  <c r="G52" i="3"/>
  <c r="C52" i="3"/>
  <c r="D48" i="3"/>
  <c r="E48" i="3"/>
  <c r="F48" i="3"/>
  <c r="G48" i="3"/>
  <c r="C48" i="3"/>
  <c r="D44" i="3"/>
  <c r="E44" i="3"/>
  <c r="F44" i="3"/>
  <c r="G44" i="3"/>
  <c r="C44" i="3"/>
  <c r="D40" i="3"/>
  <c r="E40" i="3"/>
  <c r="F40" i="3"/>
  <c r="G40" i="3"/>
  <c r="C40" i="3"/>
  <c r="D36" i="3"/>
  <c r="E36" i="3"/>
  <c r="F36" i="3"/>
  <c r="G36" i="3"/>
  <c r="C36" i="3"/>
  <c r="D32" i="3"/>
  <c r="E32" i="3"/>
  <c r="F32" i="3"/>
  <c r="G32" i="3"/>
  <c r="C32" i="3"/>
  <c r="D24" i="3"/>
  <c r="E24" i="3"/>
  <c r="F24" i="3"/>
  <c r="G24" i="3"/>
  <c r="C24" i="3"/>
  <c r="D22" i="3"/>
  <c r="E22" i="3"/>
  <c r="F22" i="3"/>
  <c r="G22" i="3"/>
  <c r="C22" i="3"/>
  <c r="D20" i="3"/>
  <c r="E20" i="3"/>
  <c r="F20" i="3"/>
  <c r="G20" i="3"/>
  <c r="C20" i="3"/>
  <c r="D18" i="3"/>
  <c r="E18" i="3"/>
  <c r="F18" i="3"/>
  <c r="G18" i="3"/>
  <c r="C18" i="3"/>
  <c r="D14" i="3"/>
  <c r="E14" i="3"/>
  <c r="F14" i="3"/>
  <c r="G14" i="3"/>
  <c r="C14" i="3"/>
  <c r="D12" i="3"/>
  <c r="E12" i="3"/>
  <c r="F12" i="3"/>
  <c r="G12" i="3"/>
  <c r="C12" i="3"/>
  <c r="D8" i="3"/>
  <c r="E8" i="3"/>
  <c r="F8" i="3"/>
  <c r="G8" i="3"/>
  <c r="C8" i="3"/>
  <c r="D6" i="3"/>
  <c r="E6" i="3"/>
  <c r="F6" i="3"/>
  <c r="G6" i="3"/>
  <c r="C6" i="3"/>
  <c r="G15" i="47"/>
  <c r="F15" i="47"/>
  <c r="E15" i="47"/>
  <c r="D15" i="47"/>
  <c r="C15" i="47"/>
  <c r="F10" i="47"/>
  <c r="F16" i="47" s="1"/>
  <c r="F17" i="47" s="1"/>
  <c r="F19" i="47" s="1"/>
  <c r="F21" i="47" s="1"/>
  <c r="F23" i="47" s="1"/>
  <c r="F25" i="47" s="1"/>
  <c r="F27" i="47" s="1"/>
  <c r="G7" i="47"/>
  <c r="G10" i="47" s="1"/>
  <c r="G16" i="47" s="1"/>
  <c r="G17" i="47" s="1"/>
  <c r="G19" i="47" s="1"/>
  <c r="G21" i="47" s="1"/>
  <c r="G23" i="47" s="1"/>
  <c r="G25" i="47" s="1"/>
  <c r="G27" i="47" s="1"/>
  <c r="F7" i="47"/>
  <c r="E7" i="47"/>
  <c r="E10" i="47" s="1"/>
  <c r="E16" i="47" s="1"/>
  <c r="E17" i="47" s="1"/>
  <c r="E19" i="47" s="1"/>
  <c r="E21" i="47" s="1"/>
  <c r="E23" i="47" s="1"/>
  <c r="E25" i="47" s="1"/>
  <c r="E27" i="47" s="1"/>
  <c r="D7" i="47"/>
  <c r="D10" i="47" s="1"/>
  <c r="D16" i="47" s="1"/>
  <c r="D17" i="47" s="1"/>
  <c r="D19" i="47" s="1"/>
  <c r="D21" i="47" s="1"/>
  <c r="D23" i="47" s="1"/>
  <c r="D25" i="47" s="1"/>
  <c r="D27" i="47" s="1"/>
  <c r="C7" i="47"/>
  <c r="C10" i="47" s="1"/>
  <c r="C16" i="47" s="1"/>
  <c r="C17" i="47" s="1"/>
  <c r="C19" i="47" s="1"/>
  <c r="C21" i="47" s="1"/>
  <c r="C23" i="47" s="1"/>
  <c r="C25" i="47" s="1"/>
  <c r="C27" i="47" s="1"/>
  <c r="C75" i="4"/>
  <c r="C39" i="46"/>
  <c r="C26" i="46"/>
  <c r="C30" i="46" s="1"/>
  <c r="C40" i="46" s="1"/>
  <c r="D25" i="46"/>
  <c r="D26" i="46" s="1"/>
  <c r="D30" i="46" s="1"/>
  <c r="G19" i="46"/>
  <c r="F19" i="46"/>
  <c r="E19" i="46"/>
  <c r="D19" i="46"/>
  <c r="C19" i="46"/>
  <c r="G13" i="46"/>
  <c r="F13" i="46"/>
  <c r="E13" i="46"/>
  <c r="D13" i="46"/>
  <c r="C13" i="46"/>
  <c r="C9" i="46"/>
  <c r="C21" i="46" s="1"/>
  <c r="G7" i="46"/>
  <c r="F7" i="46"/>
  <c r="E7" i="46"/>
  <c r="D7" i="46"/>
  <c r="C7" i="46"/>
  <c r="B6" i="45"/>
  <c r="B5" i="45"/>
  <c r="D4" i="45"/>
  <c r="E4" i="45"/>
  <c r="F4" i="45"/>
  <c r="G4" i="45"/>
  <c r="C4" i="45"/>
  <c r="B6" i="44"/>
  <c r="B5" i="44"/>
  <c r="D4" i="44"/>
  <c r="E4" i="44"/>
  <c r="F4" i="44"/>
  <c r="G4" i="44"/>
  <c r="C4" i="44"/>
  <c r="B6" i="43"/>
  <c r="B5" i="43"/>
  <c r="D4" i="43"/>
  <c r="E4" i="43"/>
  <c r="F4" i="43"/>
  <c r="G4" i="43"/>
  <c r="C4" i="43"/>
  <c r="B6" i="42"/>
  <c r="B5" i="42"/>
  <c r="D4" i="42"/>
  <c r="E4" i="42"/>
  <c r="F4" i="42"/>
  <c r="G4" i="42"/>
  <c r="C4" i="42"/>
  <c r="B6" i="41"/>
  <c r="B5" i="41"/>
  <c r="D4" i="41"/>
  <c r="E4" i="41"/>
  <c r="F4" i="41"/>
  <c r="G4" i="41"/>
  <c r="C4" i="41"/>
  <c r="B6" i="40"/>
  <c r="B5" i="40"/>
  <c r="D4" i="40"/>
  <c r="E4" i="40"/>
  <c r="F4" i="40"/>
  <c r="G4" i="40"/>
  <c r="C4" i="40"/>
  <c r="C5" i="39"/>
  <c r="D5" i="39"/>
  <c r="E5" i="39"/>
  <c r="F5" i="39"/>
  <c r="G5" i="39"/>
  <c r="B6" i="39"/>
  <c r="B5" i="39"/>
  <c r="D4" i="39"/>
  <c r="E4" i="39"/>
  <c r="F4" i="39"/>
  <c r="G4" i="39"/>
  <c r="C4" i="39"/>
  <c r="C5" i="38"/>
  <c r="D5" i="38"/>
  <c r="E5" i="38"/>
  <c r="F5" i="38"/>
  <c r="G5" i="38"/>
  <c r="C6" i="38"/>
  <c r="D6" i="38"/>
  <c r="E6" i="38"/>
  <c r="F6" i="38"/>
  <c r="G6" i="38"/>
  <c r="B6" i="38"/>
  <c r="B5" i="38"/>
  <c r="D4" i="38"/>
  <c r="E4" i="38"/>
  <c r="F4" i="38"/>
  <c r="G4" i="38"/>
  <c r="C4" i="38"/>
  <c r="C5" i="37"/>
  <c r="D5" i="37"/>
  <c r="E5" i="37"/>
  <c r="F5" i="37"/>
  <c r="G5" i="37"/>
  <c r="C6" i="37"/>
  <c r="D6" i="37"/>
  <c r="E6" i="37"/>
  <c r="F6" i="37"/>
  <c r="G6" i="37"/>
  <c r="B6" i="37"/>
  <c r="B5" i="37"/>
  <c r="D4" i="37"/>
  <c r="E4" i="37"/>
  <c r="F4" i="37"/>
  <c r="G4" i="37"/>
  <c r="C4" i="37"/>
  <c r="B6" i="36"/>
  <c r="B5" i="36"/>
  <c r="D4" i="36"/>
  <c r="E4" i="36"/>
  <c r="F4" i="36"/>
  <c r="G4" i="36"/>
  <c r="C4" i="36"/>
  <c r="B6" i="35"/>
  <c r="B5" i="35"/>
  <c r="D4" i="35"/>
  <c r="E4" i="35"/>
  <c r="F4" i="35"/>
  <c r="G4" i="35"/>
  <c r="C4" i="35"/>
  <c r="B6" i="34"/>
  <c r="B5" i="34"/>
  <c r="D4" i="34"/>
  <c r="E4" i="34"/>
  <c r="F4" i="34"/>
  <c r="G4" i="34"/>
  <c r="C4" i="34"/>
  <c r="C13" i="33"/>
  <c r="D13" i="33"/>
  <c r="E13" i="33"/>
  <c r="F13" i="33"/>
  <c r="G13" i="33"/>
  <c r="B14" i="33"/>
  <c r="B13" i="33"/>
  <c r="C9" i="33"/>
  <c r="D9" i="33"/>
  <c r="E9" i="33"/>
  <c r="F9" i="33"/>
  <c r="G9" i="33"/>
  <c r="B10" i="33"/>
  <c r="B9" i="33"/>
  <c r="C6" i="33"/>
  <c r="D6" i="33"/>
  <c r="E6" i="33"/>
  <c r="F6" i="33"/>
  <c r="G6" i="33"/>
  <c r="C7" i="33"/>
  <c r="D7" i="33"/>
  <c r="E7" i="33"/>
  <c r="F7" i="33"/>
  <c r="G7" i="33"/>
  <c r="B7" i="33"/>
  <c r="B6" i="33"/>
  <c r="C9" i="32"/>
  <c r="D9" i="32"/>
  <c r="E9" i="32"/>
  <c r="F9" i="32"/>
  <c r="G9" i="32"/>
  <c r="B10" i="32"/>
  <c r="B9" i="32"/>
  <c r="C6" i="32"/>
  <c r="D6" i="32"/>
  <c r="E6" i="32"/>
  <c r="F6" i="32"/>
  <c r="G6" i="32"/>
  <c r="C7" i="32"/>
  <c r="D7" i="32"/>
  <c r="E7" i="32"/>
  <c r="F7" i="32"/>
  <c r="G7" i="32"/>
  <c r="B7" i="32"/>
  <c r="B6" i="32"/>
  <c r="C6" i="31"/>
  <c r="D6" i="31"/>
  <c r="E6" i="31"/>
  <c r="F6" i="31"/>
  <c r="G6" i="31"/>
  <c r="C7" i="31"/>
  <c r="D7" i="31"/>
  <c r="E7" i="31"/>
  <c r="F7" i="31"/>
  <c r="G7" i="31"/>
  <c r="B7" i="31"/>
  <c r="B6" i="31"/>
  <c r="C6" i="30"/>
  <c r="D6" i="30"/>
  <c r="E6" i="30"/>
  <c r="F6" i="30"/>
  <c r="G6" i="30"/>
  <c r="B7" i="30"/>
  <c r="B6" i="30"/>
  <c r="C6" i="29"/>
  <c r="D6" i="29"/>
  <c r="E6" i="29"/>
  <c r="F6" i="29"/>
  <c r="G6" i="29"/>
  <c r="C7" i="29"/>
  <c r="D7" i="29"/>
  <c r="E7" i="29"/>
  <c r="F7" i="29"/>
  <c r="G7" i="29"/>
  <c r="B7" i="29"/>
  <c r="B6" i="29"/>
  <c r="C6" i="28"/>
  <c r="D6" i="28"/>
  <c r="E6" i="28"/>
  <c r="F6" i="28"/>
  <c r="G6" i="28"/>
  <c r="B7" i="28"/>
  <c r="B6" i="28"/>
  <c r="C6" i="27"/>
  <c r="D6" i="27"/>
  <c r="E6" i="27"/>
  <c r="F6" i="27"/>
  <c r="G6" i="27"/>
  <c r="C7" i="27"/>
  <c r="D7" i="27"/>
  <c r="E7" i="27"/>
  <c r="F7" i="27"/>
  <c r="G7" i="27"/>
  <c r="B7" i="27"/>
  <c r="B6" i="27"/>
  <c r="C6" i="26"/>
  <c r="D6" i="26"/>
  <c r="E6" i="26"/>
  <c r="F6" i="26"/>
  <c r="G6" i="26"/>
  <c r="C7" i="26"/>
  <c r="D7" i="26"/>
  <c r="E7" i="26"/>
  <c r="F7" i="26"/>
  <c r="G7" i="26"/>
  <c r="B7" i="26"/>
  <c r="B6" i="26"/>
  <c r="C6" i="25"/>
  <c r="D6" i="25"/>
  <c r="E6" i="25"/>
  <c r="F6" i="25"/>
  <c r="G6" i="25"/>
  <c r="C7" i="25"/>
  <c r="D7" i="25"/>
  <c r="E7" i="25"/>
  <c r="F7" i="25"/>
  <c r="G7" i="25"/>
  <c r="B7" i="25"/>
  <c r="B6" i="25"/>
  <c r="C6" i="24"/>
  <c r="D6" i="24"/>
  <c r="E6" i="24"/>
  <c r="F6" i="24"/>
  <c r="G6" i="24"/>
  <c r="B7" i="24"/>
  <c r="B6" i="24"/>
  <c r="C6" i="23"/>
  <c r="C8" i="23" s="1"/>
  <c r="B6" i="23"/>
  <c r="C6" i="22"/>
  <c r="C7" i="22"/>
  <c r="D7" i="22"/>
  <c r="E7" i="22"/>
  <c r="F7" i="22"/>
  <c r="G7" i="22"/>
  <c r="B7" i="22"/>
  <c r="B6" i="22"/>
  <c r="C6" i="21"/>
  <c r="D6" i="21"/>
  <c r="E6" i="21"/>
  <c r="F6" i="21"/>
  <c r="G6" i="21"/>
  <c r="B7" i="21"/>
  <c r="B6" i="21"/>
  <c r="C7" i="20"/>
  <c r="D7" i="20"/>
  <c r="E7" i="20"/>
  <c r="F7" i="20"/>
  <c r="G7" i="20"/>
  <c r="B7" i="20"/>
  <c r="B6" i="20"/>
  <c r="C7" i="19"/>
  <c r="D7" i="19"/>
  <c r="E7" i="19"/>
  <c r="F7" i="19"/>
  <c r="G7" i="19"/>
  <c r="B8" i="19"/>
  <c r="B7" i="19"/>
  <c r="B6" i="19"/>
  <c r="B7" i="18"/>
  <c r="B6" i="18"/>
  <c r="B7" i="17"/>
  <c r="B6" i="17"/>
  <c r="B7" i="16"/>
  <c r="B6" i="16"/>
  <c r="B8" i="15"/>
  <c r="B7" i="15"/>
  <c r="B6" i="15"/>
  <c r="B7" i="14"/>
  <c r="B6" i="14"/>
  <c r="C6" i="13"/>
  <c r="D6" i="13"/>
  <c r="E6" i="13"/>
  <c r="F6" i="13"/>
  <c r="G6" i="13"/>
  <c r="B7" i="13"/>
  <c r="B6" i="13"/>
  <c r="C6" i="12"/>
  <c r="D6" i="12"/>
  <c r="E6" i="12"/>
  <c r="F6" i="12"/>
  <c r="G6" i="12"/>
  <c r="C7" i="12"/>
  <c r="D7" i="12"/>
  <c r="E7" i="12"/>
  <c r="F7" i="12"/>
  <c r="G7" i="12"/>
  <c r="B7" i="12"/>
  <c r="B6" i="12"/>
  <c r="C6" i="11"/>
  <c r="D6" i="11"/>
  <c r="E6" i="11"/>
  <c r="F6" i="11"/>
  <c r="G6" i="11"/>
  <c r="B7" i="11"/>
  <c r="B6" i="11"/>
  <c r="B10" i="10"/>
  <c r="B9" i="10"/>
  <c r="C6" i="10"/>
  <c r="D6" i="10"/>
  <c r="E6" i="10"/>
  <c r="F6" i="10"/>
  <c r="G6" i="10"/>
  <c r="B7" i="10"/>
  <c r="B6" i="10"/>
  <c r="B7" i="9"/>
  <c r="B6" i="9"/>
  <c r="C6" i="8"/>
  <c r="D6" i="8"/>
  <c r="E6" i="8"/>
  <c r="F6" i="8"/>
  <c r="G6" i="8"/>
  <c r="B7" i="8"/>
  <c r="B6" i="8"/>
  <c r="B7" i="7"/>
  <c r="B6" i="7"/>
  <c r="C154" i="6"/>
  <c r="D154" i="6"/>
  <c r="E154" i="6"/>
  <c r="F154" i="6"/>
  <c r="G154" i="6"/>
  <c r="B155" i="6"/>
  <c r="B154" i="6"/>
  <c r="C150" i="6"/>
  <c r="D150" i="6"/>
  <c r="E150" i="6"/>
  <c r="F150" i="6"/>
  <c r="G150" i="6"/>
  <c r="B151" i="6"/>
  <c r="B150" i="6"/>
  <c r="C147" i="6"/>
  <c r="D147" i="6"/>
  <c r="E147" i="6"/>
  <c r="F147" i="6"/>
  <c r="G147" i="6"/>
  <c r="C148" i="6"/>
  <c r="D148" i="6"/>
  <c r="E148" i="6"/>
  <c r="F148" i="6"/>
  <c r="G148" i="6"/>
  <c r="B148" i="6"/>
  <c r="B147" i="6"/>
  <c r="C141" i="6"/>
  <c r="D141" i="6"/>
  <c r="E141" i="6"/>
  <c r="F141" i="6"/>
  <c r="G141" i="6"/>
  <c r="B142" i="6"/>
  <c r="B141" i="6"/>
  <c r="C138" i="6"/>
  <c r="D138" i="6"/>
  <c r="E138" i="6"/>
  <c r="F138" i="6"/>
  <c r="G138" i="6"/>
  <c r="C139" i="6"/>
  <c r="D139" i="6"/>
  <c r="E139" i="6"/>
  <c r="F139" i="6"/>
  <c r="G139" i="6"/>
  <c r="B139" i="6"/>
  <c r="B138" i="6"/>
  <c r="C133" i="6"/>
  <c r="D133" i="6"/>
  <c r="E133" i="6"/>
  <c r="F133" i="6"/>
  <c r="G133" i="6"/>
  <c r="C134" i="6"/>
  <c r="D134" i="6"/>
  <c r="E134" i="6"/>
  <c r="F134" i="6"/>
  <c r="G134" i="6"/>
  <c r="B134" i="6"/>
  <c r="B133" i="6"/>
  <c r="C128" i="6"/>
  <c r="D128" i="6"/>
  <c r="E128" i="6"/>
  <c r="F128" i="6"/>
  <c r="G128" i="6"/>
  <c r="B129" i="6"/>
  <c r="B128" i="6"/>
  <c r="C123" i="6"/>
  <c r="D123" i="6"/>
  <c r="E123" i="6"/>
  <c r="F123" i="6"/>
  <c r="G123" i="6"/>
  <c r="C124" i="6"/>
  <c r="D124" i="6"/>
  <c r="E124" i="6"/>
  <c r="F124" i="6"/>
  <c r="G124" i="6"/>
  <c r="B124" i="6"/>
  <c r="B123" i="6"/>
  <c r="C118" i="6"/>
  <c r="D118" i="6"/>
  <c r="E118" i="6"/>
  <c r="F118" i="6"/>
  <c r="G118" i="6"/>
  <c r="B119" i="6"/>
  <c r="B118" i="6"/>
  <c r="C113" i="6"/>
  <c r="D113" i="6"/>
  <c r="E113" i="6"/>
  <c r="F113" i="6"/>
  <c r="G113" i="6"/>
  <c r="C114" i="6"/>
  <c r="D114" i="6"/>
  <c r="E114" i="6"/>
  <c r="F114" i="6"/>
  <c r="G114" i="6"/>
  <c r="B114" i="6"/>
  <c r="B113" i="6"/>
  <c r="C108" i="6"/>
  <c r="D108" i="6"/>
  <c r="E108" i="6"/>
  <c r="F108" i="6"/>
  <c r="G108" i="6"/>
  <c r="C109" i="6"/>
  <c r="D109" i="6"/>
  <c r="E109" i="6"/>
  <c r="F109" i="6"/>
  <c r="G109" i="6"/>
  <c r="B109" i="6"/>
  <c r="B108" i="6"/>
  <c r="C103" i="6"/>
  <c r="D103" i="6"/>
  <c r="E103" i="6"/>
  <c r="F103" i="6"/>
  <c r="G103" i="6"/>
  <c r="C104" i="6"/>
  <c r="D104" i="6"/>
  <c r="E104" i="6"/>
  <c r="F104" i="6"/>
  <c r="G104" i="6"/>
  <c r="B104" i="6"/>
  <c r="B103" i="6"/>
  <c r="C98" i="6"/>
  <c r="D98" i="6"/>
  <c r="E98" i="6"/>
  <c r="F98" i="6"/>
  <c r="G98" i="6"/>
  <c r="B99" i="6"/>
  <c r="B98" i="6"/>
  <c r="C93" i="6"/>
  <c r="C95" i="6" s="1"/>
  <c r="B93" i="6"/>
  <c r="C88" i="6"/>
  <c r="C89" i="6"/>
  <c r="D89" i="6"/>
  <c r="E89" i="6"/>
  <c r="F89" i="6"/>
  <c r="G89" i="6"/>
  <c r="B89" i="6"/>
  <c r="B88" i="6"/>
  <c r="C83" i="6"/>
  <c r="D83" i="6"/>
  <c r="E83" i="6"/>
  <c r="F83" i="6"/>
  <c r="G83" i="6"/>
  <c r="B84" i="6"/>
  <c r="B83" i="6"/>
  <c r="C79" i="6"/>
  <c r="D79" i="6"/>
  <c r="E79" i="6"/>
  <c r="F79" i="6"/>
  <c r="G79" i="6"/>
  <c r="B79" i="6"/>
  <c r="B78" i="6"/>
  <c r="C73" i="6"/>
  <c r="D73" i="6"/>
  <c r="E73" i="6"/>
  <c r="F73" i="6"/>
  <c r="G73" i="6"/>
  <c r="B74" i="6"/>
  <c r="B73" i="6"/>
  <c r="B72" i="6"/>
  <c r="B68" i="6"/>
  <c r="B67" i="6"/>
  <c r="B63" i="6"/>
  <c r="B62" i="6"/>
  <c r="B58" i="6"/>
  <c r="B57" i="6"/>
  <c r="B53" i="6"/>
  <c r="B52" i="6"/>
  <c r="B51" i="6"/>
  <c r="B47" i="6"/>
  <c r="B46" i="6"/>
  <c r="C41" i="6"/>
  <c r="D41" i="6"/>
  <c r="E41" i="6"/>
  <c r="F41" i="6"/>
  <c r="G41" i="6"/>
  <c r="B42" i="6"/>
  <c r="B41" i="6"/>
  <c r="C36" i="6"/>
  <c r="D36" i="6"/>
  <c r="E36" i="6"/>
  <c r="F36" i="6"/>
  <c r="G36" i="6"/>
  <c r="C37" i="6"/>
  <c r="D37" i="6"/>
  <c r="E37" i="6"/>
  <c r="F37" i="6"/>
  <c r="G37" i="6"/>
  <c r="B37" i="6"/>
  <c r="B36" i="6"/>
  <c r="C30" i="6"/>
  <c r="D30" i="6"/>
  <c r="E30" i="6"/>
  <c r="F30" i="6"/>
  <c r="G30" i="6"/>
  <c r="B31" i="6"/>
  <c r="B30" i="6"/>
  <c r="B25" i="6"/>
  <c r="B24" i="6"/>
  <c r="C21" i="6"/>
  <c r="D21" i="6"/>
  <c r="E21" i="6"/>
  <c r="F21" i="6"/>
  <c r="G21" i="6"/>
  <c r="B22" i="6"/>
  <c r="B21" i="6"/>
  <c r="B17" i="6"/>
  <c r="B16" i="6"/>
  <c r="C11" i="6"/>
  <c r="D11" i="6"/>
  <c r="E11" i="6"/>
  <c r="F11" i="6"/>
  <c r="G11" i="6"/>
  <c r="B12" i="6"/>
  <c r="B11" i="6"/>
  <c r="B7" i="6"/>
  <c r="B6" i="6"/>
  <c r="D44" i="4"/>
  <c r="D46" i="4" s="1"/>
  <c r="D54" i="4" s="1"/>
  <c r="D6" i="42" s="1"/>
  <c r="E46" i="5"/>
  <c r="F46" i="5"/>
  <c r="G46" i="5"/>
  <c r="D46" i="5"/>
  <c r="E45" i="5"/>
  <c r="F45" i="5"/>
  <c r="G45" i="5"/>
  <c r="D45" i="5"/>
  <c r="B45" i="5"/>
  <c r="E44" i="5"/>
  <c r="F44" i="5"/>
  <c r="G44" i="5"/>
  <c r="D44" i="5"/>
  <c r="B44" i="5"/>
  <c r="E42" i="5"/>
  <c r="F42" i="5"/>
  <c r="G42" i="5"/>
  <c r="D42" i="5"/>
  <c r="B42" i="5"/>
  <c r="E41" i="5"/>
  <c r="F41" i="5"/>
  <c r="G41" i="5"/>
  <c r="D41" i="5"/>
  <c r="B41" i="5"/>
  <c r="E40" i="5"/>
  <c r="F40" i="5"/>
  <c r="G40" i="5"/>
  <c r="D40" i="5"/>
  <c r="B40" i="5"/>
  <c r="E39" i="5"/>
  <c r="F39" i="5"/>
  <c r="G39" i="5"/>
  <c r="D39" i="5"/>
  <c r="B39" i="5"/>
  <c r="E38" i="5"/>
  <c r="F38" i="5"/>
  <c r="G38" i="5"/>
  <c r="D38" i="5"/>
  <c r="B38" i="5"/>
  <c r="E37" i="5"/>
  <c r="F37" i="5"/>
  <c r="G37" i="5"/>
  <c r="D37" i="5"/>
  <c r="B37" i="5"/>
  <c r="E34" i="5"/>
  <c r="F34" i="5"/>
  <c r="G34" i="5"/>
  <c r="D34" i="5"/>
  <c r="E33" i="5"/>
  <c r="F33" i="5"/>
  <c r="G33" i="5"/>
  <c r="D33" i="5"/>
  <c r="B33" i="5"/>
  <c r="E32" i="5"/>
  <c r="F32" i="5"/>
  <c r="G32" i="5"/>
  <c r="D32" i="5"/>
  <c r="B32" i="5"/>
  <c r="E31" i="5"/>
  <c r="F31" i="5"/>
  <c r="G31" i="5"/>
  <c r="D31" i="5"/>
  <c r="B31" i="5"/>
  <c r="E30" i="5"/>
  <c r="F30" i="5"/>
  <c r="G30" i="5"/>
  <c r="D30" i="5"/>
  <c r="B30" i="5"/>
  <c r="E29" i="5"/>
  <c r="F29" i="5"/>
  <c r="G29" i="5"/>
  <c r="D29" i="5"/>
  <c r="B29" i="5"/>
  <c r="E26" i="5"/>
  <c r="F26" i="5"/>
  <c r="G26" i="5"/>
  <c r="D26" i="5"/>
  <c r="B26" i="5"/>
  <c r="E24" i="5"/>
  <c r="F24" i="5"/>
  <c r="G24" i="5"/>
  <c r="D24" i="5"/>
  <c r="B24" i="5"/>
  <c r="E23" i="5"/>
  <c r="F23" i="5"/>
  <c r="G23" i="5"/>
  <c r="D23" i="5"/>
  <c r="B23" i="5"/>
  <c r="E22" i="5"/>
  <c r="F22" i="5"/>
  <c r="G22" i="5"/>
  <c r="D22" i="5"/>
  <c r="B22" i="5"/>
  <c r="E21" i="5"/>
  <c r="F21" i="5"/>
  <c r="G21" i="5"/>
  <c r="D21" i="5"/>
  <c r="B21" i="5"/>
  <c r="E20" i="5"/>
  <c r="F20" i="5"/>
  <c r="G20" i="5"/>
  <c r="D20" i="5"/>
  <c r="B20" i="5"/>
  <c r="E18" i="5"/>
  <c r="F18" i="5"/>
  <c r="G18" i="5"/>
  <c r="D18" i="5"/>
  <c r="B18" i="5"/>
  <c r="E17" i="5"/>
  <c r="F17" i="5"/>
  <c r="G17" i="5"/>
  <c r="D17" i="5"/>
  <c r="B17" i="5"/>
  <c r="E16" i="5"/>
  <c r="F16" i="5"/>
  <c r="G16" i="5"/>
  <c r="D16" i="5"/>
  <c r="B16" i="5"/>
  <c r="E15" i="5"/>
  <c r="F15" i="5"/>
  <c r="G15" i="5"/>
  <c r="D15" i="5"/>
  <c r="B15" i="5"/>
  <c r="E14" i="5"/>
  <c r="F14" i="5"/>
  <c r="G14" i="5"/>
  <c r="D14" i="5"/>
  <c r="B14" i="5"/>
  <c r="E13" i="5"/>
  <c r="F13" i="5"/>
  <c r="G13" i="5"/>
  <c r="D13" i="5"/>
  <c r="B13" i="5"/>
  <c r="E12" i="5"/>
  <c r="F12" i="5"/>
  <c r="G12" i="5"/>
  <c r="D12" i="5"/>
  <c r="B12" i="5"/>
  <c r="E9" i="5"/>
  <c r="F9" i="5"/>
  <c r="G9" i="5"/>
  <c r="D9" i="5"/>
  <c r="E8" i="5"/>
  <c r="F8" i="5"/>
  <c r="G8" i="5"/>
  <c r="D8" i="5"/>
  <c r="E7" i="5"/>
  <c r="F7" i="5"/>
  <c r="G7" i="5"/>
  <c r="D7" i="5"/>
  <c r="D10" i="5" s="1"/>
  <c r="D33" i="4"/>
  <c r="D7" i="28" s="1"/>
  <c r="D8" i="28" s="1"/>
  <c r="E33" i="4"/>
  <c r="E142" i="6" s="1"/>
  <c r="F33" i="4"/>
  <c r="F14" i="33" s="1"/>
  <c r="F15" i="33" s="1"/>
  <c r="G33" i="4"/>
  <c r="G129" i="6" s="1"/>
  <c r="G130" i="6" s="1"/>
  <c r="D21" i="4"/>
  <c r="E21" i="4"/>
  <c r="F21" i="4"/>
  <c r="F6" i="17" s="1"/>
  <c r="G21" i="4"/>
  <c r="G6" i="17" s="1"/>
  <c r="D9" i="4"/>
  <c r="E9" i="4"/>
  <c r="F9" i="4"/>
  <c r="G9" i="4"/>
  <c r="C72" i="4"/>
  <c r="C46" i="4"/>
  <c r="C54" i="4" s="1"/>
  <c r="C33" i="4"/>
  <c r="C142" i="6" s="1"/>
  <c r="C21" i="4"/>
  <c r="C9" i="4"/>
  <c r="C13" i="4" s="1"/>
  <c r="D25" i="3"/>
  <c r="D5" i="44" s="1"/>
  <c r="E25" i="3"/>
  <c r="E26" i="3" s="1"/>
  <c r="F25" i="3"/>
  <c r="F26" i="3" s="1"/>
  <c r="G25" i="3"/>
  <c r="G42" i="6" s="1"/>
  <c r="D9" i="3"/>
  <c r="E9" i="3"/>
  <c r="E10" i="3" s="1"/>
  <c r="F9" i="3"/>
  <c r="F10" i="3" s="1"/>
  <c r="G9" i="3"/>
  <c r="G7" i="21" s="1"/>
  <c r="C25" i="3"/>
  <c r="C42" i="6" s="1"/>
  <c r="C9" i="3"/>
  <c r="C7" i="21" s="1"/>
  <c r="H37" i="4" l="1"/>
  <c r="H38" i="4" s="1"/>
  <c r="K10" i="5"/>
  <c r="J10" i="5"/>
  <c r="L10" i="5"/>
  <c r="J38" i="3"/>
  <c r="J41" i="3"/>
  <c r="L33" i="3"/>
  <c r="K33" i="3"/>
  <c r="I37" i="3"/>
  <c r="H41" i="3"/>
  <c r="J44" i="4"/>
  <c r="L37" i="4"/>
  <c r="L38" i="4" s="1"/>
  <c r="H54" i="4"/>
  <c r="H55" i="4" s="1"/>
  <c r="J68" i="4"/>
  <c r="I68" i="4"/>
  <c r="K66" i="4"/>
  <c r="J66" i="4"/>
  <c r="I66" i="4"/>
  <c r="K64" i="4"/>
  <c r="J64" i="4"/>
  <c r="I64" i="4"/>
  <c r="J63" i="4"/>
  <c r="J58" i="4"/>
  <c r="I58" i="4"/>
  <c r="J56" i="4"/>
  <c r="I56" i="4"/>
  <c r="K52" i="4"/>
  <c r="J52" i="4"/>
  <c r="I52" i="4"/>
  <c r="K50" i="4"/>
  <c r="J50" i="4"/>
  <c r="I50" i="4"/>
  <c r="K48" i="4"/>
  <c r="J48" i="4"/>
  <c r="I48" i="4"/>
  <c r="J42" i="4"/>
  <c r="I42" i="4"/>
  <c r="I46" i="4" s="1"/>
  <c r="J41" i="4"/>
  <c r="K35" i="4"/>
  <c r="J35" i="4"/>
  <c r="I35" i="4"/>
  <c r="K31" i="4"/>
  <c r="J31" i="4"/>
  <c r="I31" i="4"/>
  <c r="J29" i="4"/>
  <c r="I29" i="4"/>
  <c r="K27" i="4"/>
  <c r="J27" i="4"/>
  <c r="I27" i="4"/>
  <c r="K25" i="4"/>
  <c r="J25" i="4"/>
  <c r="I25" i="4"/>
  <c r="K23" i="4"/>
  <c r="J23" i="4"/>
  <c r="I23" i="4"/>
  <c r="J21" i="4"/>
  <c r="I21" i="4"/>
  <c r="J20" i="4"/>
  <c r="K17" i="4"/>
  <c r="J17" i="4"/>
  <c r="I17" i="4"/>
  <c r="J16" i="4"/>
  <c r="K80" i="4"/>
  <c r="L80" i="4" s="1"/>
  <c r="K53" i="3"/>
  <c r="J53" i="3"/>
  <c r="I53" i="3"/>
  <c r="K51" i="3"/>
  <c r="J51" i="3"/>
  <c r="I51" i="3"/>
  <c r="K43" i="3"/>
  <c r="J43" i="3"/>
  <c r="I43" i="3"/>
  <c r="J40" i="3"/>
  <c r="K23" i="3"/>
  <c r="J23" i="3"/>
  <c r="I23" i="3"/>
  <c r="K21" i="3"/>
  <c r="J21" i="3"/>
  <c r="I21" i="3"/>
  <c r="J20" i="3"/>
  <c r="K17" i="3"/>
  <c r="K13" i="3"/>
  <c r="J13" i="3"/>
  <c r="I13" i="3"/>
  <c r="J11" i="3"/>
  <c r="I11" i="3"/>
  <c r="K7" i="3"/>
  <c r="I6" i="3"/>
  <c r="K5" i="3"/>
  <c r="G10" i="5"/>
  <c r="E10" i="5"/>
  <c r="G26" i="3"/>
  <c r="C26" i="3"/>
  <c r="D26" i="3"/>
  <c r="F10" i="5"/>
  <c r="G10" i="3"/>
  <c r="G15" i="3" s="1"/>
  <c r="G16" i="3" s="1"/>
  <c r="F8" i="12"/>
  <c r="E143" i="6"/>
  <c r="E8" i="12"/>
  <c r="C43" i="6"/>
  <c r="F38" i="6"/>
  <c r="G8" i="21"/>
  <c r="G43" i="6"/>
  <c r="E38" i="6"/>
  <c r="E105" i="6"/>
  <c r="E110" i="6"/>
  <c r="E115" i="6"/>
  <c r="D125" i="6"/>
  <c r="G135" i="6"/>
  <c r="C135" i="6"/>
  <c r="G140" i="6"/>
  <c r="C140" i="6"/>
  <c r="F149" i="6"/>
  <c r="D8" i="25"/>
  <c r="D8" i="26"/>
  <c r="D8" i="27"/>
  <c r="G8" i="29"/>
  <c r="C10" i="3"/>
  <c r="C15" i="3" s="1"/>
  <c r="C16" i="3" s="1"/>
  <c r="D10" i="3"/>
  <c r="D15" i="3" s="1"/>
  <c r="D16" i="3" s="1"/>
  <c r="F110" i="6"/>
  <c r="F115" i="6"/>
  <c r="E125" i="6"/>
  <c r="D135" i="6"/>
  <c r="D140" i="6"/>
  <c r="G149" i="6"/>
  <c r="C149" i="6"/>
  <c r="E8" i="25"/>
  <c r="E8" i="26"/>
  <c r="E8" i="27"/>
  <c r="D8" i="29"/>
  <c r="G8" i="31"/>
  <c r="C8" i="31"/>
  <c r="G8" i="32"/>
  <c r="C8" i="32"/>
  <c r="F8" i="33"/>
  <c r="D42" i="6"/>
  <c r="D43" i="6" s="1"/>
  <c r="D8" i="12"/>
  <c r="D38" i="6"/>
  <c r="D105" i="6"/>
  <c r="D110" i="6"/>
  <c r="D115" i="6"/>
  <c r="G125" i="6"/>
  <c r="C125" i="6"/>
  <c r="F135" i="6"/>
  <c r="F140" i="6"/>
  <c r="E149" i="6"/>
  <c r="G8" i="12"/>
  <c r="C8" i="12"/>
  <c r="D7" i="21"/>
  <c r="D8" i="21" s="1"/>
  <c r="D7" i="13"/>
  <c r="D8" i="13" s="1"/>
  <c r="F8" i="25"/>
  <c r="F8" i="26"/>
  <c r="F8" i="27"/>
  <c r="E8" i="29"/>
  <c r="D8" i="31"/>
  <c r="D8" i="32"/>
  <c r="G8" i="33"/>
  <c r="C8" i="33"/>
  <c r="F7" i="21"/>
  <c r="F8" i="21" s="1"/>
  <c r="F84" i="6"/>
  <c r="F85" i="6" s="1"/>
  <c r="F15" i="3"/>
  <c r="F16" i="3" s="1"/>
  <c r="E7" i="21"/>
  <c r="E8" i="21" s="1"/>
  <c r="E84" i="6"/>
  <c r="E85" i="6" s="1"/>
  <c r="E15" i="3"/>
  <c r="E16" i="3" s="1"/>
  <c r="E7" i="13"/>
  <c r="E8" i="13" s="1"/>
  <c r="E42" i="6"/>
  <c r="E43" i="6" s="1"/>
  <c r="G38" i="6"/>
  <c r="C38" i="6"/>
  <c r="D84" i="6"/>
  <c r="D85" i="6" s="1"/>
  <c r="C8" i="21"/>
  <c r="F5" i="44"/>
  <c r="F7" i="13"/>
  <c r="F8" i="13" s="1"/>
  <c r="F42" i="6"/>
  <c r="F43" i="6" s="1"/>
  <c r="G84" i="6"/>
  <c r="G85" i="6" s="1"/>
  <c r="C5" i="44"/>
  <c r="C7" i="13"/>
  <c r="C8" i="13" s="1"/>
  <c r="C84" i="6"/>
  <c r="C85" i="6" s="1"/>
  <c r="F105" i="6"/>
  <c r="E5" i="44"/>
  <c r="G5" i="44"/>
  <c r="G7" i="13"/>
  <c r="G8" i="13" s="1"/>
  <c r="C8" i="29"/>
  <c r="F8" i="31"/>
  <c r="F8" i="32"/>
  <c r="E8" i="33"/>
  <c r="C90" i="6"/>
  <c r="G105" i="6"/>
  <c r="C105" i="6"/>
  <c r="G110" i="6"/>
  <c r="C110" i="6"/>
  <c r="G115" i="6"/>
  <c r="C115" i="6"/>
  <c r="F125" i="6"/>
  <c r="E135" i="6"/>
  <c r="E140" i="6"/>
  <c r="D149" i="6"/>
  <c r="C8" i="22"/>
  <c r="G8" i="25"/>
  <c r="C8" i="25"/>
  <c r="G8" i="26"/>
  <c r="C8" i="26"/>
  <c r="G8" i="27"/>
  <c r="C8" i="27"/>
  <c r="F8" i="29"/>
  <c r="E8" i="31"/>
  <c r="E8" i="32"/>
  <c r="D8" i="33"/>
  <c r="C35" i="47"/>
  <c r="C30" i="47"/>
  <c r="G35" i="47"/>
  <c r="G30" i="47"/>
  <c r="D30" i="47"/>
  <c r="D35" i="47"/>
  <c r="F35" i="47"/>
  <c r="F30" i="47"/>
  <c r="E30" i="47"/>
  <c r="E35" i="47"/>
  <c r="G35" i="5"/>
  <c r="F35" i="5"/>
  <c r="E35" i="5"/>
  <c r="G47" i="5"/>
  <c r="F119" i="6"/>
  <c r="F120" i="6" s="1"/>
  <c r="F47" i="5"/>
  <c r="D47" i="5"/>
  <c r="E47" i="5"/>
  <c r="F74" i="6"/>
  <c r="C37" i="4"/>
  <c r="C5" i="34"/>
  <c r="C8" i="15"/>
  <c r="C7" i="16"/>
  <c r="C7" i="17"/>
  <c r="C6" i="9"/>
  <c r="C58" i="6"/>
  <c r="C53" i="6"/>
  <c r="C63" i="6"/>
  <c r="C16" i="6"/>
  <c r="C6" i="43"/>
  <c r="C6" i="19"/>
  <c r="C5" i="36"/>
  <c r="C6" i="18"/>
  <c r="C67" i="6"/>
  <c r="C72" i="6"/>
  <c r="C143" i="6"/>
  <c r="C6" i="42"/>
  <c r="C74" i="4"/>
  <c r="C71" i="4" s="1"/>
  <c r="C6" i="17"/>
  <c r="C7" i="15"/>
  <c r="C52" i="6"/>
  <c r="C62" i="6"/>
  <c r="C6" i="40"/>
  <c r="E6" i="40"/>
  <c r="E6" i="17"/>
  <c r="D6" i="40"/>
  <c r="D7" i="15"/>
  <c r="E52" i="6"/>
  <c r="D62" i="6"/>
  <c r="D68" i="6"/>
  <c r="D129" i="6"/>
  <c r="D130" i="6" s="1"/>
  <c r="G142" i="6"/>
  <c r="F155" i="6"/>
  <c r="F156" i="6" s="1"/>
  <c r="D7" i="18"/>
  <c r="D8" i="19"/>
  <c r="F7" i="30"/>
  <c r="F8" i="30" s="1"/>
  <c r="C14" i="33"/>
  <c r="C15" i="33" s="1"/>
  <c r="C7" i="30"/>
  <c r="C8" i="30" s="1"/>
  <c r="C7" i="18"/>
  <c r="C151" i="6"/>
  <c r="C152" i="6" s="1"/>
  <c r="C10" i="32"/>
  <c r="C11" i="32" s="1"/>
  <c r="C6" i="41"/>
  <c r="C10" i="33"/>
  <c r="C11" i="33" s="1"/>
  <c r="C7" i="28"/>
  <c r="C8" i="28" s="1"/>
  <c r="C8" i="19"/>
  <c r="C155" i="6"/>
  <c r="C156" i="6" s="1"/>
  <c r="D6" i="36"/>
  <c r="D14" i="33"/>
  <c r="D15" i="33" s="1"/>
  <c r="D7" i="30"/>
  <c r="D8" i="30" s="1"/>
  <c r="D10" i="32"/>
  <c r="D11" i="32" s="1"/>
  <c r="E44" i="4"/>
  <c r="D52" i="6"/>
  <c r="G62" i="6"/>
  <c r="G68" i="6"/>
  <c r="C68" i="6"/>
  <c r="E74" i="6"/>
  <c r="E119" i="6"/>
  <c r="E120" i="6" s="1"/>
  <c r="C129" i="6"/>
  <c r="C130" i="6" s="1"/>
  <c r="F142" i="6"/>
  <c r="F143" i="6" s="1"/>
  <c r="G143" i="6"/>
  <c r="D155" i="6"/>
  <c r="D156" i="6" s="1"/>
  <c r="G7" i="15"/>
  <c r="D6" i="17"/>
  <c r="E10" i="32"/>
  <c r="E11" i="32" s="1"/>
  <c r="D6" i="41"/>
  <c r="G14" i="33"/>
  <c r="G15" i="33" s="1"/>
  <c r="G7" i="30"/>
  <c r="G8" i="30" s="1"/>
  <c r="G7" i="18"/>
  <c r="G151" i="6"/>
  <c r="G152" i="6" s="1"/>
  <c r="G10" i="32"/>
  <c r="G11" i="32" s="1"/>
  <c r="G6" i="41"/>
  <c r="G10" i="33"/>
  <c r="G11" i="33" s="1"/>
  <c r="G7" i="28"/>
  <c r="G8" i="28" s="1"/>
  <c r="G8" i="19"/>
  <c r="G155" i="6"/>
  <c r="G156" i="6" s="1"/>
  <c r="F6" i="40"/>
  <c r="F7" i="15"/>
  <c r="F10" i="32"/>
  <c r="F11" i="32" s="1"/>
  <c r="F6" i="41"/>
  <c r="F10" i="33"/>
  <c r="F11" i="33" s="1"/>
  <c r="F7" i="28"/>
  <c r="F8" i="28" s="1"/>
  <c r="F8" i="19"/>
  <c r="F6" i="36"/>
  <c r="D35" i="5"/>
  <c r="G52" i="6"/>
  <c r="F62" i="6"/>
  <c r="F68" i="6"/>
  <c r="D74" i="6"/>
  <c r="D119" i="6"/>
  <c r="D120" i="6" s="1"/>
  <c r="F129" i="6"/>
  <c r="F130" i="6" s="1"/>
  <c r="F151" i="6"/>
  <c r="F152" i="6" s="1"/>
  <c r="E7" i="15"/>
  <c r="D10" i="33"/>
  <c r="D11" i="33" s="1"/>
  <c r="G6" i="36"/>
  <c r="E6" i="41"/>
  <c r="E10" i="33"/>
  <c r="E11" i="33" s="1"/>
  <c r="E7" i="28"/>
  <c r="E8" i="28" s="1"/>
  <c r="E8" i="19"/>
  <c r="E155" i="6"/>
  <c r="E156" i="6" s="1"/>
  <c r="E6" i="36"/>
  <c r="E14" i="33"/>
  <c r="E15" i="33" s="1"/>
  <c r="E7" i="30"/>
  <c r="E8" i="30" s="1"/>
  <c r="E7" i="18"/>
  <c r="E151" i="6"/>
  <c r="E152" i="6" s="1"/>
  <c r="F52" i="6"/>
  <c r="E62" i="6"/>
  <c r="E68" i="6"/>
  <c r="G74" i="6"/>
  <c r="C74" i="6"/>
  <c r="G119" i="6"/>
  <c r="G120" i="6" s="1"/>
  <c r="C119" i="6"/>
  <c r="C120" i="6" s="1"/>
  <c r="E129" i="6"/>
  <c r="E130" i="6" s="1"/>
  <c r="D142" i="6"/>
  <c r="D143" i="6" s="1"/>
  <c r="D151" i="6"/>
  <c r="D152" i="6" s="1"/>
  <c r="F7" i="18"/>
  <c r="C6" i="36"/>
  <c r="G6" i="40"/>
  <c r="E25" i="46"/>
  <c r="K34" i="3" l="1"/>
  <c r="K37" i="3"/>
  <c r="L37" i="3"/>
  <c r="L34" i="3"/>
  <c r="J42" i="3"/>
  <c r="J45" i="3"/>
  <c r="I41" i="3"/>
  <c r="I38" i="3"/>
  <c r="K44" i="4"/>
  <c r="J45" i="4"/>
  <c r="H42" i="3"/>
  <c r="H45" i="3"/>
  <c r="I54" i="4"/>
  <c r="I55" i="4" s="1"/>
  <c r="I47" i="4"/>
  <c r="J37" i="4"/>
  <c r="J38" i="4" s="1"/>
  <c r="I33" i="4"/>
  <c r="I34" i="4" s="1"/>
  <c r="J33" i="4"/>
  <c r="J34" i="4" s="1"/>
  <c r="K33" i="4"/>
  <c r="K63" i="4"/>
  <c r="J62" i="4"/>
  <c r="J40" i="4"/>
  <c r="J46" i="4" s="1"/>
  <c r="K41" i="4"/>
  <c r="K20" i="4"/>
  <c r="J19" i="4"/>
  <c r="K16" i="4"/>
  <c r="J15" i="4"/>
  <c r="J39" i="3"/>
  <c r="K40" i="3"/>
  <c r="J19" i="3"/>
  <c r="K20" i="3"/>
  <c r="L5" i="3"/>
  <c r="L6" i="3" s="1"/>
  <c r="K6" i="3"/>
  <c r="F153" i="6"/>
  <c r="F144" i="6"/>
  <c r="D144" i="6"/>
  <c r="E12" i="32"/>
  <c r="C144" i="6"/>
  <c r="E153" i="6"/>
  <c r="E157" i="6" s="1"/>
  <c r="C153" i="6"/>
  <c r="G12" i="33"/>
  <c r="G16" i="33" s="1"/>
  <c r="E144" i="6"/>
  <c r="G12" i="32"/>
  <c r="D12" i="32"/>
  <c r="D12" i="33"/>
  <c r="D16" i="33" s="1"/>
  <c r="G153" i="6"/>
  <c r="G157" i="6" s="1"/>
  <c r="C12" i="32"/>
  <c r="D6" i="39"/>
  <c r="D27" i="3"/>
  <c r="D6" i="44"/>
  <c r="G144" i="6"/>
  <c r="F12" i="33"/>
  <c r="F16" i="33" s="1"/>
  <c r="E12" i="33"/>
  <c r="E16" i="33" s="1"/>
  <c r="C12" i="33"/>
  <c r="C16" i="33" s="1"/>
  <c r="D153" i="6"/>
  <c r="D157" i="6" s="1"/>
  <c r="F12" i="32"/>
  <c r="G6" i="44"/>
  <c r="G6" i="39"/>
  <c r="G27" i="3"/>
  <c r="F6" i="44"/>
  <c r="F6" i="39"/>
  <c r="F27" i="3"/>
  <c r="C6" i="44"/>
  <c r="C27" i="3"/>
  <c r="C6" i="39"/>
  <c r="E6" i="44"/>
  <c r="E6" i="39"/>
  <c r="E27" i="3"/>
  <c r="C73" i="4"/>
  <c r="C67" i="4"/>
  <c r="C69" i="4"/>
  <c r="C63" i="4"/>
  <c r="C65" i="4"/>
  <c r="C59" i="4"/>
  <c r="C61" i="4"/>
  <c r="C55" i="4"/>
  <c r="C57" i="4"/>
  <c r="C51" i="4"/>
  <c r="C53" i="4"/>
  <c r="C45" i="4"/>
  <c r="C49" i="4"/>
  <c r="C47" i="4"/>
  <c r="C41" i="4"/>
  <c r="C43" i="4"/>
  <c r="C38" i="4"/>
  <c r="C34" i="4"/>
  <c r="C36" i="4"/>
  <c r="C30" i="4"/>
  <c r="C32" i="4"/>
  <c r="C26" i="4"/>
  <c r="C28" i="4"/>
  <c r="C22" i="4"/>
  <c r="C24" i="4"/>
  <c r="C18" i="4"/>
  <c r="C20" i="4"/>
  <c r="C12" i="4"/>
  <c r="C16" i="4"/>
  <c r="C10" i="4"/>
  <c r="C14" i="4"/>
  <c r="C6" i="4"/>
  <c r="C8" i="4"/>
  <c r="C69" i="6"/>
  <c r="C8" i="17"/>
  <c r="C157" i="6"/>
  <c r="C64" i="6"/>
  <c r="F44" i="4"/>
  <c r="E46" i="4"/>
  <c r="C8" i="18"/>
  <c r="F157" i="6"/>
  <c r="C5" i="42"/>
  <c r="C7" i="24"/>
  <c r="C8" i="24" s="1"/>
  <c r="C7" i="14"/>
  <c r="C99" i="6"/>
  <c r="C100" i="6" s="1"/>
  <c r="C47" i="6"/>
  <c r="C5" i="43"/>
  <c r="C5" i="41"/>
  <c r="C6" i="34"/>
  <c r="C5" i="40"/>
  <c r="C75" i="6"/>
  <c r="C9" i="19"/>
  <c r="E26" i="46"/>
  <c r="E30" i="46" s="1"/>
  <c r="F25" i="46"/>
  <c r="I42" i="3" l="1"/>
  <c r="I45" i="3"/>
  <c r="L38" i="3"/>
  <c r="L41" i="3"/>
  <c r="J5" i="5"/>
  <c r="J27" i="5" s="1"/>
  <c r="J48" i="5" s="1"/>
  <c r="J49" i="3"/>
  <c r="J46" i="3"/>
  <c r="K38" i="3"/>
  <c r="K41" i="3"/>
  <c r="H49" i="3"/>
  <c r="H5" i="5"/>
  <c r="H27" i="5" s="1"/>
  <c r="H48" i="5" s="1"/>
  <c r="H70" i="4" s="1"/>
  <c r="H46" i="3"/>
  <c r="L44" i="4"/>
  <c r="L45" i="4" s="1"/>
  <c r="K45" i="4"/>
  <c r="J54" i="4"/>
  <c r="J55" i="4" s="1"/>
  <c r="J47" i="4"/>
  <c r="K34" i="4"/>
  <c r="K37" i="4"/>
  <c r="K38" i="4" s="1"/>
  <c r="I37" i="4"/>
  <c r="I38" i="4" s="1"/>
  <c r="L63" i="4"/>
  <c r="L62" i="4" s="1"/>
  <c r="K62" i="4"/>
  <c r="L41" i="4"/>
  <c r="L40" i="4" s="1"/>
  <c r="K40" i="4"/>
  <c r="K46" i="4" s="1"/>
  <c r="L20" i="4"/>
  <c r="L19" i="4" s="1"/>
  <c r="K19" i="4"/>
  <c r="L16" i="4"/>
  <c r="L15" i="4" s="1"/>
  <c r="K15" i="4"/>
  <c r="L40" i="3"/>
  <c r="L39" i="3" s="1"/>
  <c r="K39" i="3"/>
  <c r="L20" i="3"/>
  <c r="L19" i="3" s="1"/>
  <c r="K19" i="3"/>
  <c r="E29" i="3"/>
  <c r="E30" i="3" s="1"/>
  <c r="E28" i="3"/>
  <c r="C29" i="3"/>
  <c r="C5" i="35" s="1"/>
  <c r="C28" i="3"/>
  <c r="G29" i="3"/>
  <c r="G30" i="3" s="1"/>
  <c r="G28" i="3"/>
  <c r="D29" i="3"/>
  <c r="D28" i="3"/>
  <c r="F29" i="3"/>
  <c r="F30" i="3" s="1"/>
  <c r="F28" i="3"/>
  <c r="E5" i="35"/>
  <c r="E33" i="3"/>
  <c r="E34" i="3" s="1"/>
  <c r="G5" i="35"/>
  <c r="E54" i="4"/>
  <c r="G44" i="4"/>
  <c r="F46" i="4"/>
  <c r="F26" i="46"/>
  <c r="F30" i="46" s="1"/>
  <c r="G25" i="46"/>
  <c r="G26" i="46" s="1"/>
  <c r="G30" i="46" s="1"/>
  <c r="L45" i="3" l="1"/>
  <c r="L42" i="3"/>
  <c r="L46" i="4"/>
  <c r="J50" i="3"/>
  <c r="J55" i="3"/>
  <c r="J56" i="3" s="1"/>
  <c r="I46" i="3"/>
  <c r="I5" i="5"/>
  <c r="I27" i="5" s="1"/>
  <c r="I48" i="5" s="1"/>
  <c r="I70" i="4" s="1"/>
  <c r="I49" i="3"/>
  <c r="K42" i="3"/>
  <c r="K45" i="3"/>
  <c r="H71" i="4"/>
  <c r="H72" i="4"/>
  <c r="H73" i="4" s="1"/>
  <c r="H50" i="3"/>
  <c r="H55" i="3"/>
  <c r="H56" i="3" s="1"/>
  <c r="L54" i="4"/>
  <c r="L55" i="4" s="1"/>
  <c r="L47" i="4"/>
  <c r="K47" i="4"/>
  <c r="K54" i="4"/>
  <c r="K55" i="4" s="1"/>
  <c r="G33" i="3"/>
  <c r="G34" i="3" s="1"/>
  <c r="F33" i="3"/>
  <c r="F34" i="3" s="1"/>
  <c r="F5" i="35"/>
  <c r="D5" i="35"/>
  <c r="D30" i="3"/>
  <c r="C33" i="3"/>
  <c r="C34" i="3" s="1"/>
  <c r="C30" i="3"/>
  <c r="D33" i="3"/>
  <c r="D34" i="3" s="1"/>
  <c r="F51" i="6"/>
  <c r="F54" i="6" s="1"/>
  <c r="F6" i="20"/>
  <c r="F8" i="20" s="1"/>
  <c r="F78" i="6"/>
  <c r="F80" i="6" s="1"/>
  <c r="F37" i="3"/>
  <c r="G6" i="35"/>
  <c r="G6" i="15"/>
  <c r="G9" i="15" s="1"/>
  <c r="G51" i="6"/>
  <c r="G54" i="6" s="1"/>
  <c r="G6" i="20"/>
  <c r="G8" i="20" s="1"/>
  <c r="G37" i="3"/>
  <c r="G78" i="6"/>
  <c r="G80" i="6" s="1"/>
  <c r="E6" i="20"/>
  <c r="E8" i="20" s="1"/>
  <c r="E78" i="6"/>
  <c r="E80" i="6" s="1"/>
  <c r="E51" i="6"/>
  <c r="E54" i="6" s="1"/>
  <c r="E6" i="35"/>
  <c r="E6" i="15"/>
  <c r="E9" i="15" s="1"/>
  <c r="E37" i="3"/>
  <c r="C6" i="35"/>
  <c r="C6" i="15"/>
  <c r="C9" i="15" s="1"/>
  <c r="C51" i="6"/>
  <c r="C54" i="6" s="1"/>
  <c r="C6" i="20"/>
  <c r="C8" i="20" s="1"/>
  <c r="C78" i="6"/>
  <c r="C80" i="6" s="1"/>
  <c r="C37" i="3"/>
  <c r="E6" i="42"/>
  <c r="F54" i="4"/>
  <c r="G46" i="4"/>
  <c r="L49" i="3" l="1"/>
  <c r="L46" i="3"/>
  <c r="L5" i="5"/>
  <c r="L27" i="5" s="1"/>
  <c r="L48" i="5" s="1"/>
  <c r="I50" i="3"/>
  <c r="I55" i="3"/>
  <c r="I56" i="3" s="1"/>
  <c r="K46" i="3"/>
  <c r="K5" i="5"/>
  <c r="K27" i="5" s="1"/>
  <c r="K48" i="5" s="1"/>
  <c r="K49" i="3"/>
  <c r="J70" i="4"/>
  <c r="I71" i="4"/>
  <c r="I72" i="4"/>
  <c r="I73" i="4" s="1"/>
  <c r="F6" i="15"/>
  <c r="F9" i="15" s="1"/>
  <c r="F6" i="35"/>
  <c r="G41" i="3"/>
  <c r="G38" i="3"/>
  <c r="E41" i="3"/>
  <c r="E38" i="3"/>
  <c r="F41" i="3"/>
  <c r="F38" i="3"/>
  <c r="C41" i="3"/>
  <c r="C38" i="3"/>
  <c r="D78" i="6"/>
  <c r="D80" i="6" s="1"/>
  <c r="D6" i="15"/>
  <c r="D9" i="15" s="1"/>
  <c r="D37" i="3"/>
  <c r="D6" i="20"/>
  <c r="D8" i="20" s="1"/>
  <c r="D51" i="6"/>
  <c r="D54" i="6" s="1"/>
  <c r="D6" i="35"/>
  <c r="F6" i="42"/>
  <c r="G54" i="4"/>
  <c r="K50" i="3" l="1"/>
  <c r="K55" i="3"/>
  <c r="K56" i="3" s="1"/>
  <c r="L55" i="3"/>
  <c r="L56" i="3" s="1"/>
  <c r="L50" i="3"/>
  <c r="K70" i="4"/>
  <c r="J71" i="4"/>
  <c r="J72" i="4"/>
  <c r="J73" i="4" s="1"/>
  <c r="C45" i="3"/>
  <c r="C42" i="3"/>
  <c r="E45" i="3"/>
  <c r="E46" i="3" s="1"/>
  <c r="E42" i="3"/>
  <c r="F45" i="3"/>
  <c r="F46" i="3" s="1"/>
  <c r="F42" i="3"/>
  <c r="G45" i="3"/>
  <c r="G46" i="3" s="1"/>
  <c r="G42" i="3"/>
  <c r="D41" i="3"/>
  <c r="D38" i="3"/>
  <c r="G6" i="42"/>
  <c r="L70" i="4" l="1"/>
  <c r="K71" i="4"/>
  <c r="K72" i="4"/>
  <c r="K73" i="4" s="1"/>
  <c r="C49" i="3"/>
  <c r="C50" i="3" s="1"/>
  <c r="C46" i="3"/>
  <c r="D45" i="3"/>
  <c r="D42" i="3"/>
  <c r="C6" i="45"/>
  <c r="G49" i="3"/>
  <c r="G50" i="3" s="1"/>
  <c r="G5" i="5"/>
  <c r="G27" i="5" s="1"/>
  <c r="G48" i="5" s="1"/>
  <c r="E49" i="3"/>
  <c r="E50" i="3" s="1"/>
  <c r="E5" i="5"/>
  <c r="E27" i="5" s="1"/>
  <c r="E48" i="5" s="1"/>
  <c r="F5" i="5"/>
  <c r="F27" i="5" s="1"/>
  <c r="F48" i="5" s="1"/>
  <c r="F49" i="3"/>
  <c r="F50" i="3" s="1"/>
  <c r="C46" i="6"/>
  <c r="C48" i="6" s="1"/>
  <c r="C6" i="14"/>
  <c r="C8" i="14" s="1"/>
  <c r="C61" i="3"/>
  <c r="C6" i="6"/>
  <c r="D5" i="5"/>
  <c r="D27" i="5" s="1"/>
  <c r="D48" i="5" s="1"/>
  <c r="D38" i="46" s="1"/>
  <c r="L71" i="4" l="1"/>
  <c r="L72" i="4"/>
  <c r="L73" i="4" s="1"/>
  <c r="D49" i="3"/>
  <c r="D50" i="3" s="1"/>
  <c r="D46" i="3"/>
  <c r="C9" i="10"/>
  <c r="C57" i="6"/>
  <c r="C59" i="6" s="1"/>
  <c r="C24" i="6"/>
  <c r="C55" i="3"/>
  <c r="C5" i="45" s="1"/>
  <c r="C6" i="16"/>
  <c r="C8" i="16" s="1"/>
  <c r="C6" i="7"/>
  <c r="E9" i="10"/>
  <c r="E6" i="45"/>
  <c r="E6" i="14"/>
  <c r="E6" i="6"/>
  <c r="E6" i="7"/>
  <c r="E57" i="6"/>
  <c r="E46" i="6"/>
  <c r="E55" i="3"/>
  <c r="E5" i="45" s="1"/>
  <c r="E61" i="3"/>
  <c r="E24" i="6"/>
  <c r="E6" i="16"/>
  <c r="D70" i="4"/>
  <c r="D6" i="23" s="1"/>
  <c r="D8" i="23" s="1"/>
  <c r="F6" i="16"/>
  <c r="F6" i="7"/>
  <c r="F6" i="45"/>
  <c r="F9" i="10"/>
  <c r="F6" i="6"/>
  <c r="F6" i="14"/>
  <c r="F57" i="6"/>
  <c r="F61" i="3"/>
  <c r="F46" i="6"/>
  <c r="F24" i="6"/>
  <c r="F55" i="3"/>
  <c r="F5" i="45" s="1"/>
  <c r="C7" i="10"/>
  <c r="C8" i="10" s="1"/>
  <c r="C7" i="9"/>
  <c r="C8" i="9" s="1"/>
  <c r="C7" i="8"/>
  <c r="C8" i="8" s="1"/>
  <c r="C31" i="6"/>
  <c r="C32" i="6" s="1"/>
  <c r="C33" i="6" s="1"/>
  <c r="C12" i="6"/>
  <c r="C13" i="6" s="1"/>
  <c r="C7" i="6"/>
  <c r="C8" i="6" s="1"/>
  <c r="C22" i="6"/>
  <c r="C23" i="6" s="1"/>
  <c r="C25" i="6"/>
  <c r="C26" i="6" s="1"/>
  <c r="C10" i="10"/>
  <c r="C11" i="10" s="1"/>
  <c r="C17" i="6"/>
  <c r="C18" i="6" s="1"/>
  <c r="C7" i="7"/>
  <c r="C7" i="11"/>
  <c r="C8" i="11" s="1"/>
  <c r="C9" i="11" s="1"/>
  <c r="G6" i="45"/>
  <c r="G6" i="14"/>
  <c r="G57" i="6"/>
  <c r="G24" i="6"/>
  <c r="G6" i="7"/>
  <c r="G61" i="3"/>
  <c r="G46" i="6"/>
  <c r="G55" i="3"/>
  <c r="G5" i="45" s="1"/>
  <c r="G6" i="16"/>
  <c r="G6" i="6"/>
  <c r="G9" i="10"/>
  <c r="E38" i="46"/>
  <c r="D39" i="46"/>
  <c r="D40" i="46" s="1"/>
  <c r="D72" i="4" l="1"/>
  <c r="C8" i="7"/>
  <c r="E70" i="4"/>
  <c r="D46" i="6"/>
  <c r="D6" i="6"/>
  <c r="D61" i="3"/>
  <c r="D55" i="3"/>
  <c r="D24" i="6"/>
  <c r="D6" i="16"/>
  <c r="D57" i="6"/>
  <c r="D9" i="10"/>
  <c r="D6" i="14"/>
  <c r="D6" i="7"/>
  <c r="D6" i="45"/>
  <c r="D93" i="6"/>
  <c r="D95" i="6" s="1"/>
  <c r="D88" i="6"/>
  <c r="D90" i="6" s="1"/>
  <c r="D6" i="22"/>
  <c r="D8" i="22" s="1"/>
  <c r="C12" i="10"/>
  <c r="F7" i="11"/>
  <c r="F8" i="11" s="1"/>
  <c r="F9" i="11" s="1"/>
  <c r="F7" i="9"/>
  <c r="F17" i="6"/>
  <c r="F12" i="6"/>
  <c r="F13" i="6" s="1"/>
  <c r="F10" i="10"/>
  <c r="F11" i="10" s="1"/>
  <c r="F7" i="7"/>
  <c r="F8" i="7" s="1"/>
  <c r="F7" i="10"/>
  <c r="F8" i="10" s="1"/>
  <c r="F22" i="6"/>
  <c r="F23" i="6" s="1"/>
  <c r="F31" i="6"/>
  <c r="F32" i="6" s="1"/>
  <c r="F33" i="6" s="1"/>
  <c r="F7" i="8"/>
  <c r="F8" i="8" s="1"/>
  <c r="F25" i="6"/>
  <c r="F26" i="6" s="1"/>
  <c r="F7" i="6"/>
  <c r="F8" i="6" s="1"/>
  <c r="C27" i="6"/>
  <c r="G7" i="7"/>
  <c r="G8" i="7" s="1"/>
  <c r="G10" i="10"/>
  <c r="G11" i="10" s="1"/>
  <c r="G12" i="6"/>
  <c r="G13" i="6" s="1"/>
  <c r="G7" i="10"/>
  <c r="G8" i="10" s="1"/>
  <c r="G31" i="6"/>
  <c r="G32" i="6" s="1"/>
  <c r="G33" i="6" s="1"/>
  <c r="G22" i="6"/>
  <c r="G23" i="6" s="1"/>
  <c r="G17" i="6"/>
  <c r="G7" i="8"/>
  <c r="G8" i="8" s="1"/>
  <c r="G7" i="9"/>
  <c r="G25" i="6"/>
  <c r="G26" i="6" s="1"/>
  <c r="G7" i="11"/>
  <c r="G8" i="11" s="1"/>
  <c r="G9" i="11" s="1"/>
  <c r="G7" i="6"/>
  <c r="G8" i="6" s="1"/>
  <c r="E7" i="10"/>
  <c r="E8" i="10" s="1"/>
  <c r="E22" i="6"/>
  <c r="E23" i="6" s="1"/>
  <c r="E7" i="7"/>
  <c r="E8" i="7" s="1"/>
  <c r="E17" i="6"/>
  <c r="E10" i="10"/>
  <c r="E7" i="8"/>
  <c r="E8" i="8" s="1"/>
  <c r="E12" i="6"/>
  <c r="E13" i="6" s="1"/>
  <c r="E7" i="9"/>
  <c r="E7" i="11"/>
  <c r="E8" i="11" s="1"/>
  <c r="E9" i="11" s="1"/>
  <c r="E31" i="6"/>
  <c r="E32" i="6" s="1"/>
  <c r="E33" i="6" s="1"/>
  <c r="E25" i="6"/>
  <c r="E26" i="6" s="1"/>
  <c r="E7" i="6"/>
  <c r="E8" i="6" s="1"/>
  <c r="E11" i="10"/>
  <c r="E39" i="46"/>
  <c r="E40" i="46" s="1"/>
  <c r="F38" i="46"/>
  <c r="D6" i="43"/>
  <c r="D5" i="36"/>
  <c r="D67" i="6"/>
  <c r="D69" i="6" s="1"/>
  <c r="D72" i="6"/>
  <c r="D75" i="6" s="1"/>
  <c r="D6" i="19"/>
  <c r="D9" i="19" s="1"/>
  <c r="D74" i="4"/>
  <c r="D6" i="18"/>
  <c r="D8" i="18" s="1"/>
  <c r="E6" i="23"/>
  <c r="E8" i="23" s="1"/>
  <c r="E88" i="6"/>
  <c r="E90" i="6" s="1"/>
  <c r="E72" i="4"/>
  <c r="E6" i="22"/>
  <c r="E8" i="22" s="1"/>
  <c r="E93" i="6"/>
  <c r="E95" i="6" s="1"/>
  <c r="F70" i="4"/>
  <c r="F12" i="10" l="1"/>
  <c r="G12" i="10"/>
  <c r="D5" i="45"/>
  <c r="D11" i="4"/>
  <c r="D8" i="46"/>
  <c r="D31" i="6"/>
  <c r="D32" i="6" s="1"/>
  <c r="D33" i="6" s="1"/>
  <c r="D7" i="6"/>
  <c r="D8" i="6" s="1"/>
  <c r="D7" i="8"/>
  <c r="D8" i="8" s="1"/>
  <c r="D10" i="10"/>
  <c r="D11" i="10" s="1"/>
  <c r="D17" i="6"/>
  <c r="D7" i="7"/>
  <c r="D8" i="7" s="1"/>
  <c r="D12" i="6"/>
  <c r="D13" i="6" s="1"/>
  <c r="D7" i="9"/>
  <c r="D7" i="10"/>
  <c r="D8" i="10" s="1"/>
  <c r="D7" i="11"/>
  <c r="D8" i="11" s="1"/>
  <c r="D9" i="11" s="1"/>
  <c r="D25" i="6"/>
  <c r="D26" i="6" s="1"/>
  <c r="D22" i="6"/>
  <c r="D23" i="6" s="1"/>
  <c r="E27" i="6"/>
  <c r="G27" i="6"/>
  <c r="E12" i="10"/>
  <c r="F27" i="6"/>
  <c r="E6" i="43"/>
  <c r="E74" i="4"/>
  <c r="E6" i="18"/>
  <c r="E8" i="18" s="1"/>
  <c r="E67" i="6"/>
  <c r="E69" i="6" s="1"/>
  <c r="E5" i="36"/>
  <c r="E6" i="19"/>
  <c r="E9" i="19" s="1"/>
  <c r="E72" i="6"/>
  <c r="E75" i="6" s="1"/>
  <c r="D12" i="4"/>
  <c r="D73" i="4"/>
  <c r="D61" i="4"/>
  <c r="D24" i="4"/>
  <c r="D63" i="4"/>
  <c r="D34" i="4"/>
  <c r="D5" i="43"/>
  <c r="D47" i="4"/>
  <c r="D20" i="4"/>
  <c r="D59" i="4"/>
  <c r="D6" i="4"/>
  <c r="D32" i="4"/>
  <c r="D28" i="4"/>
  <c r="D71" i="4"/>
  <c r="D51" i="4"/>
  <c r="D16" i="4"/>
  <c r="D55" i="4"/>
  <c r="D26" i="4"/>
  <c r="D7" i="24"/>
  <c r="D8" i="24" s="1"/>
  <c r="D45" i="4"/>
  <c r="D5" i="42"/>
  <c r="D49" i="4"/>
  <c r="D99" i="6"/>
  <c r="D100" i="6" s="1"/>
  <c r="D43" i="4"/>
  <c r="D57" i="4"/>
  <c r="D67" i="4"/>
  <c r="D75" i="4"/>
  <c r="D41" i="4"/>
  <c r="D8" i="4"/>
  <c r="D53" i="4"/>
  <c r="D18" i="4"/>
  <c r="D65" i="4"/>
  <c r="D36" i="4"/>
  <c r="D7" i="14"/>
  <c r="D8" i="14" s="1"/>
  <c r="D30" i="4"/>
  <c r="D69" i="4"/>
  <c r="D47" i="6"/>
  <c r="D48" i="6" s="1"/>
  <c r="D10" i="4"/>
  <c r="D22" i="4"/>
  <c r="F6" i="23"/>
  <c r="F8" i="23" s="1"/>
  <c r="F6" i="22"/>
  <c r="F8" i="22" s="1"/>
  <c r="G70" i="4"/>
  <c r="F72" i="4"/>
  <c r="F88" i="6"/>
  <c r="F90" i="6" s="1"/>
  <c r="F93" i="6"/>
  <c r="F95" i="6" s="1"/>
  <c r="F39" i="46"/>
  <c r="F40" i="46" s="1"/>
  <c r="G38" i="46"/>
  <c r="G39" i="46" s="1"/>
  <c r="G40" i="46" s="1"/>
  <c r="D12" i="10" l="1"/>
  <c r="D27" i="6"/>
  <c r="D9" i="46"/>
  <c r="D21" i="46" s="1"/>
  <c r="E8" i="46"/>
  <c r="D13" i="4"/>
  <c r="E11" i="4"/>
  <c r="G6" i="23"/>
  <c r="G8" i="23" s="1"/>
  <c r="G72" i="4"/>
  <c r="G93" i="6"/>
  <c r="G95" i="6" s="1"/>
  <c r="G6" i="22"/>
  <c r="G8" i="22" s="1"/>
  <c r="G88" i="6"/>
  <c r="G90" i="6" s="1"/>
  <c r="F72" i="6"/>
  <c r="F75" i="6" s="1"/>
  <c r="F6" i="43"/>
  <c r="F6" i="18"/>
  <c r="F8" i="18" s="1"/>
  <c r="F5" i="36"/>
  <c r="F74" i="4"/>
  <c r="F6" i="19"/>
  <c r="F9" i="19" s="1"/>
  <c r="F67" i="6"/>
  <c r="F69" i="6" s="1"/>
  <c r="E73" i="4"/>
  <c r="E71" i="4"/>
  <c r="E51" i="4"/>
  <c r="E18" i="4"/>
  <c r="E55" i="4"/>
  <c r="E28" i="4"/>
  <c r="E8" i="4"/>
  <c r="E47" i="4"/>
  <c r="E5" i="43"/>
  <c r="E49" i="4"/>
  <c r="E5" i="42"/>
  <c r="E75" i="4"/>
  <c r="E43" i="4"/>
  <c r="E10" i="4"/>
  <c r="E53" i="4"/>
  <c r="E20" i="4"/>
  <c r="E99" i="6"/>
  <c r="E100" i="6" s="1"/>
  <c r="E30" i="4"/>
  <c r="E16" i="4"/>
  <c r="E41" i="4"/>
  <c r="E12" i="4"/>
  <c r="E69" i="4"/>
  <c r="E34" i="4"/>
  <c r="E7" i="24"/>
  <c r="E8" i="24" s="1"/>
  <c r="E45" i="4"/>
  <c r="E7" i="14"/>
  <c r="E8" i="14" s="1"/>
  <c r="E65" i="4"/>
  <c r="E22" i="4"/>
  <c r="E67" i="4"/>
  <c r="E32" i="4"/>
  <c r="E61" i="4"/>
  <c r="E26" i="4"/>
  <c r="E63" i="4"/>
  <c r="E36" i="4"/>
  <c r="E47" i="6"/>
  <c r="E48" i="6" s="1"/>
  <c r="E57" i="4"/>
  <c r="E6" i="4"/>
  <c r="E59" i="4"/>
  <c r="E24" i="4"/>
  <c r="D5" i="34" l="1"/>
  <c r="D63" i="6"/>
  <c r="D64" i="6" s="1"/>
  <c r="D8" i="15"/>
  <c r="D14" i="4"/>
  <c r="D7" i="17"/>
  <c r="D8" i="17" s="1"/>
  <c r="D16" i="6"/>
  <c r="D18" i="6" s="1"/>
  <c r="D6" i="9"/>
  <c r="D8" i="9" s="1"/>
  <c r="D58" i="6"/>
  <c r="D59" i="6" s="1"/>
  <c r="D37" i="4"/>
  <c r="D7" i="16"/>
  <c r="D8" i="16" s="1"/>
  <c r="D53" i="6"/>
  <c r="E9" i="46"/>
  <c r="E21" i="46" s="1"/>
  <c r="F8" i="46"/>
  <c r="F11" i="4"/>
  <c r="E13" i="4"/>
  <c r="F43" i="4"/>
  <c r="F69" i="4"/>
  <c r="F36" i="4"/>
  <c r="F63" i="4"/>
  <c r="F22" i="4"/>
  <c r="F57" i="4"/>
  <c r="F24" i="4"/>
  <c r="F59" i="4"/>
  <c r="F7" i="24"/>
  <c r="F8" i="24" s="1"/>
  <c r="F10" i="4"/>
  <c r="F45" i="4"/>
  <c r="F65" i="4"/>
  <c r="F18" i="4"/>
  <c r="F71" i="4"/>
  <c r="F26" i="4"/>
  <c r="F61" i="4"/>
  <c r="F28" i="4"/>
  <c r="F55" i="4"/>
  <c r="F6" i="4"/>
  <c r="F49" i="4"/>
  <c r="F16" i="4"/>
  <c r="F51" i="4"/>
  <c r="F5" i="43"/>
  <c r="F75" i="4"/>
  <c r="F53" i="4"/>
  <c r="F20" i="4"/>
  <c r="F47" i="4"/>
  <c r="F5" i="42"/>
  <c r="F41" i="4"/>
  <c r="F8" i="4"/>
  <c r="F34" i="4"/>
  <c r="F73" i="4"/>
  <c r="F47" i="6"/>
  <c r="F48" i="6" s="1"/>
  <c r="F99" i="6"/>
  <c r="F100" i="6" s="1"/>
  <c r="F30" i="4"/>
  <c r="F7" i="14"/>
  <c r="F8" i="14" s="1"/>
  <c r="F67" i="4"/>
  <c r="F32" i="4"/>
  <c r="G74" i="4"/>
  <c r="G6" i="19"/>
  <c r="G9" i="19" s="1"/>
  <c r="G72" i="6"/>
  <c r="G75" i="6" s="1"/>
  <c r="G6" i="43"/>
  <c r="G6" i="18"/>
  <c r="G8" i="18" s="1"/>
  <c r="G67" i="6"/>
  <c r="G69" i="6" s="1"/>
  <c r="G5" i="36"/>
  <c r="E58" i="6" l="1"/>
  <c r="E59" i="6" s="1"/>
  <c r="E16" i="6"/>
  <c r="E18" i="6" s="1"/>
  <c r="E8" i="15"/>
  <c r="E53" i="6"/>
  <c r="E6" i="9"/>
  <c r="E8" i="9" s="1"/>
  <c r="E7" i="17"/>
  <c r="E8" i="17" s="1"/>
  <c r="E7" i="16"/>
  <c r="E8" i="16" s="1"/>
  <c r="E63" i="6"/>
  <c r="E64" i="6" s="1"/>
  <c r="E14" i="4"/>
  <c r="E5" i="34"/>
  <c r="E37" i="4"/>
  <c r="F12" i="4"/>
  <c r="G11" i="4"/>
  <c r="G13" i="4" s="1"/>
  <c r="F13" i="4"/>
  <c r="G8" i="46"/>
  <c r="G9" i="46" s="1"/>
  <c r="G21" i="46" s="1"/>
  <c r="F9" i="46"/>
  <c r="F21" i="46" s="1"/>
  <c r="D5" i="41"/>
  <c r="D38" i="4"/>
  <c r="D6" i="34"/>
  <c r="D5" i="40"/>
  <c r="G12" i="4"/>
  <c r="G71" i="4"/>
  <c r="G51" i="4"/>
  <c r="G18" i="4"/>
  <c r="G69" i="4"/>
  <c r="G36" i="4"/>
  <c r="G55" i="4"/>
  <c r="G7" i="14"/>
  <c r="G8" i="14" s="1"/>
  <c r="G41" i="4"/>
  <c r="G8" i="4"/>
  <c r="G6" i="4"/>
  <c r="G7" i="24"/>
  <c r="G8" i="24" s="1"/>
  <c r="G22" i="4"/>
  <c r="G47" i="6"/>
  <c r="G48" i="6" s="1"/>
  <c r="G75" i="4"/>
  <c r="G43" i="4"/>
  <c r="G5" i="42"/>
  <c r="G61" i="4"/>
  <c r="G20" i="4"/>
  <c r="G47" i="4"/>
  <c r="G65" i="4"/>
  <c r="G32" i="4"/>
  <c r="G99" i="6"/>
  <c r="G100" i="6" s="1"/>
  <c r="G59" i="4"/>
  <c r="G45" i="4"/>
  <c r="G16" i="4"/>
  <c r="G14" i="4"/>
  <c r="G67" i="4"/>
  <c r="G34" i="4"/>
  <c r="G28" i="4"/>
  <c r="G53" i="4"/>
  <c r="G5" i="43"/>
  <c r="G30" i="4"/>
  <c r="G57" i="4"/>
  <c r="G24" i="4"/>
  <c r="G10" i="4"/>
  <c r="G73" i="4"/>
  <c r="G26" i="4"/>
  <c r="G63" i="4"/>
  <c r="G49" i="4"/>
  <c r="E38" i="4" l="1"/>
  <c r="E5" i="41"/>
  <c r="E6" i="34"/>
  <c r="E5" i="40"/>
  <c r="F6" i="9"/>
  <c r="F8" i="9" s="1"/>
  <c r="F7" i="16"/>
  <c r="F8" i="16" s="1"/>
  <c r="F16" i="6"/>
  <c r="F18" i="6" s="1"/>
  <c r="F8" i="15"/>
  <c r="F14" i="4"/>
  <c r="F7" i="17"/>
  <c r="F8" i="17" s="1"/>
  <c r="F37" i="4"/>
  <c r="F5" i="34"/>
  <c r="F53" i="6"/>
  <c r="F58" i="6"/>
  <c r="F59" i="6" s="1"/>
  <c r="F63" i="6"/>
  <c r="F64" i="6" s="1"/>
  <c r="G16" i="6"/>
  <c r="G18" i="6" s="1"/>
  <c r="G8" i="15"/>
  <c r="G58" i="6"/>
  <c r="G59" i="6" s="1"/>
  <c r="G53" i="6"/>
  <c r="G7" i="17"/>
  <c r="G8" i="17" s="1"/>
  <c r="G37" i="4"/>
  <c r="G6" i="9"/>
  <c r="G8" i="9" s="1"/>
  <c r="G5" i="34"/>
  <c r="G63" i="6"/>
  <c r="G64" i="6" s="1"/>
  <c r="G7" i="16"/>
  <c r="G8" i="16" s="1"/>
  <c r="F6" i="34" l="1"/>
  <c r="F5" i="41"/>
  <c r="F38" i="4"/>
  <c r="F5" i="40"/>
  <c r="G5" i="40"/>
  <c r="G6" i="34"/>
  <c r="G5" i="41"/>
  <c r="G38" i="4"/>
</calcChain>
</file>

<file path=xl/sharedStrings.xml><?xml version="1.0" encoding="utf-8"?>
<sst xmlns="http://schemas.openxmlformats.org/spreadsheetml/2006/main" count="720" uniqueCount="288">
  <si>
    <t>Balance Sheet of Maruti Suzuki India (in Rs. Cr.)</t>
  </si>
  <si>
    <t xml:space="preserve"> </t>
  </si>
  <si>
    <t>12 mths</t>
  </si>
  <si>
    <t>EQUITIES AND LIABILITIES</t>
  </si>
  <si>
    <t>SHAREHOLDER'S FUNDS</t>
  </si>
  <si>
    <t>Equity Share Capital</t>
  </si>
  <si>
    <t>Total Share Capital</t>
  </si>
  <si>
    <t>Reserves and Surplus</t>
  </si>
  <si>
    <t>Total Reserves and Surplus</t>
  </si>
  <si>
    <t>Total Shareholders Funds</t>
  </si>
  <si>
    <t>Minority Interest</t>
  </si>
  <si>
    <t>NON-CURRENT LIABILITIES</t>
  </si>
  <si>
    <t>Long Term Borrowings</t>
  </si>
  <si>
    <t>Deferred Tax Liabilities [Net]</t>
  </si>
  <si>
    <t>Other Long Term Liabilities</t>
  </si>
  <si>
    <t>Long Term Provisions</t>
  </si>
  <si>
    <t>Total Non-Current Liabilities</t>
  </si>
  <si>
    <t>CURRENT LIABILITIES</t>
  </si>
  <si>
    <t>Short Term Borrowings</t>
  </si>
  <si>
    <t>Trade Payables</t>
  </si>
  <si>
    <t>Other Current Liabilities</t>
  </si>
  <si>
    <t>Short Term Provisions</t>
  </si>
  <si>
    <t>Total Current Liabilities</t>
  </si>
  <si>
    <t>Total Capital And Liabilities</t>
  </si>
  <si>
    <t>ASSETS</t>
  </si>
  <si>
    <t>NON-CURRENT ASSETS</t>
  </si>
  <si>
    <t>Tangible Assets</t>
  </si>
  <si>
    <t>Intangible Assets</t>
  </si>
  <si>
    <t>Capital Work-In-Progress</t>
  </si>
  <si>
    <t>Fixed Assets</t>
  </si>
  <si>
    <t>Non-Current Investments</t>
  </si>
  <si>
    <t>Deferred Tax Assets [Net]</t>
  </si>
  <si>
    <t>Long Term Loans And Advances</t>
  </si>
  <si>
    <t>Other Non-Current Assets</t>
  </si>
  <si>
    <t>Total Non-Current Assets</t>
  </si>
  <si>
    <t>CURRENT ASSETS</t>
  </si>
  <si>
    <t>Current Investments</t>
  </si>
  <si>
    <t>Inventories</t>
  </si>
  <si>
    <t>Trade Receivables</t>
  </si>
  <si>
    <t>Cash And Cash Equivalents</t>
  </si>
  <si>
    <t>Short Term Loans And Advances</t>
  </si>
  <si>
    <t>OtherCurrentAssets</t>
  </si>
  <si>
    <t>Total Current Assets</t>
  </si>
  <si>
    <t>Total Assets</t>
  </si>
  <si>
    <t>OTHER ADDITIONAL INFORMATION</t>
  </si>
  <si>
    <t>CONTINGENT LIABILITIES, COMMITMENTS</t>
  </si>
  <si>
    <t>Contingent Liabilities</t>
  </si>
  <si>
    <t>BONUS DETAILS</t>
  </si>
  <si>
    <t>Bonus Equity Share Capital</t>
  </si>
  <si>
    <t>NON-CURRENT INVESTMENTS</t>
  </si>
  <si>
    <t>Non-Current Investments Quoted Market Value</t>
  </si>
  <si>
    <t>Non-Current Investments Unquoted Book Value</t>
  </si>
  <si>
    <t>CURRENT INVESTMENTS</t>
  </si>
  <si>
    <t>Current Investments Quoted Market Value</t>
  </si>
  <si>
    <t>Current Investments Unquoted Book Value</t>
  </si>
  <si>
    <t>Profit &amp; Loss account of Maruti Suzuki India (in Rs. Cr.)</t>
  </si>
  <si>
    <t>INCOME</t>
  </si>
  <si>
    <t>Revenue From Operations [Net]</t>
  </si>
  <si>
    <t>Total Operating Revenues</t>
  </si>
  <si>
    <t>Other Income</t>
  </si>
  <si>
    <t>Total Revenue</t>
  </si>
  <si>
    <t>EXPENSES</t>
  </si>
  <si>
    <t>Cost Of Materials Consumed</t>
  </si>
  <si>
    <t xml:space="preserve">Purchase Of Stock-In Trade </t>
  </si>
  <si>
    <t>Operating And Direct Expenses</t>
  </si>
  <si>
    <t>Changes In Inventories Of FGWIP And Stock In Trade</t>
  </si>
  <si>
    <t>Employee Benefit Expenses</t>
  </si>
  <si>
    <t>Finance Costs</t>
  </si>
  <si>
    <t>Depreciation And Amortisation Expenses</t>
  </si>
  <si>
    <t>Other Expenses</t>
  </si>
  <si>
    <t>Total Expenses</t>
  </si>
  <si>
    <t>Profit/Loss Before Exceptional, ExtraOrdinary Items And Tax</t>
  </si>
  <si>
    <t>Exceptional Items</t>
  </si>
  <si>
    <t>Profit/Loss Before Tax</t>
  </si>
  <si>
    <t>Tax Expenses-Continued Operations</t>
  </si>
  <si>
    <t>Current Tax</t>
  </si>
  <si>
    <t>Less: MAT Credit Entitlement</t>
  </si>
  <si>
    <t>Deferred Tax</t>
  </si>
  <si>
    <t>Other Direct Taxes</t>
  </si>
  <si>
    <t>Total Tax Expenses</t>
  </si>
  <si>
    <t>Profit/Loss After Tax And Before ExtraOrdinary Items</t>
  </si>
  <si>
    <t>Profit/Loss From Continuing Operations</t>
  </si>
  <si>
    <t>Profit/Loss For The Period</t>
  </si>
  <si>
    <t>Consolidated Profit/Loss After MI And Associates</t>
  </si>
  <si>
    <t>EARNINGS PER SHARE</t>
  </si>
  <si>
    <t>Basic EPS (Rs.)</t>
  </si>
  <si>
    <t>Diluted EPS (Rs.)</t>
  </si>
  <si>
    <t>DIVIDEND AND DIVIDEND PERCENTAGE</t>
  </si>
  <si>
    <t>Equity Share Dividend</t>
  </si>
  <si>
    <t>Tax On Dividend</t>
  </si>
  <si>
    <t>Reserves</t>
  </si>
  <si>
    <t>Debt</t>
  </si>
  <si>
    <t>Current Liabilities</t>
  </si>
  <si>
    <t>Provisions</t>
  </si>
  <si>
    <t>Investments</t>
  </si>
  <si>
    <t>Loans and advances</t>
  </si>
  <si>
    <t>Current Assets</t>
  </si>
  <si>
    <t>Gross Sales</t>
  </si>
  <si>
    <t>Excise Duty</t>
  </si>
  <si>
    <t>Expenditure</t>
  </si>
  <si>
    <t>Interest</t>
  </si>
  <si>
    <t>ISMDepreciation</t>
  </si>
  <si>
    <t>Extra-ordinary items</t>
  </si>
  <si>
    <t>Tax</t>
  </si>
  <si>
    <t>Dividend</t>
  </si>
  <si>
    <t>Net Sales</t>
  </si>
  <si>
    <t>Stock Adjustments</t>
  </si>
  <si>
    <t>Total Income</t>
  </si>
  <si>
    <t>Total Expenditure</t>
  </si>
  <si>
    <t>Operating Profit</t>
  </si>
  <si>
    <t>PBDIT</t>
  </si>
  <si>
    <t>PBIT</t>
  </si>
  <si>
    <t>Profit Before share of Associates</t>
  </si>
  <si>
    <t>Share Of Profit/Loss Of Associates</t>
  </si>
  <si>
    <t>PBT</t>
  </si>
  <si>
    <t>PBT(Post Extra Ordinary Items)</t>
  </si>
  <si>
    <t>Reported Net Profit(PAT)</t>
  </si>
  <si>
    <t>Amount C\F to Balance Sheet</t>
  </si>
  <si>
    <t>Total Shares Outstanding(cr)</t>
  </si>
  <si>
    <t>Particulars</t>
  </si>
  <si>
    <t>Income Statement</t>
  </si>
  <si>
    <t>Preference Share Capital</t>
  </si>
  <si>
    <t>Net Worth</t>
  </si>
  <si>
    <t>Total Debt</t>
  </si>
  <si>
    <t>Total Liabilities</t>
  </si>
  <si>
    <t>Depreciation</t>
  </si>
  <si>
    <t>Net Assets</t>
  </si>
  <si>
    <t>Total Non Current Assets</t>
  </si>
  <si>
    <t>Balance Sheet</t>
  </si>
  <si>
    <t>Profit Before Tax</t>
  </si>
  <si>
    <t>Adjustments</t>
  </si>
  <si>
    <t>Finance Cost</t>
  </si>
  <si>
    <t>Total NonCash &amp; Non Operating Transactions</t>
  </si>
  <si>
    <t>Changes in Current Assets</t>
  </si>
  <si>
    <t>Changes in Current Liabilities</t>
  </si>
  <si>
    <t>Total Cash from Operating Activities</t>
  </si>
  <si>
    <t>Investment Activities</t>
  </si>
  <si>
    <t>Total Cash Flow from Investment Activities</t>
  </si>
  <si>
    <t>Finance Activities</t>
  </si>
  <si>
    <t>Total Dividend Paid</t>
  </si>
  <si>
    <t>Interest Paid</t>
  </si>
  <si>
    <t>Total Cash From Financing Activities</t>
  </si>
  <si>
    <t>Cash C/F to Balance Sheet</t>
  </si>
  <si>
    <t>CashFlow Statement</t>
  </si>
  <si>
    <t>Period</t>
  </si>
  <si>
    <t>Earning Per Share = Reported Net Profit/ Share Outstanding</t>
  </si>
  <si>
    <t>Earning  Per Share</t>
  </si>
  <si>
    <t>Dividend Per Share = Equity Dividend/ Shares Outstanding</t>
  </si>
  <si>
    <t>Equity Dividend Per Share</t>
  </si>
  <si>
    <t>BookValue Per Share = Net Worth/ Share Outstanding</t>
  </si>
  <si>
    <t>Book Value  Per Share</t>
  </si>
  <si>
    <t>Dividend Pay Out Ratio = Dividend Per Share/Earnings Per Share</t>
  </si>
  <si>
    <t>Dividend Pay Out Ratio</t>
  </si>
  <si>
    <t>Dividend Retention Ratio = 1 - Dividend Payout Ratio</t>
  </si>
  <si>
    <t>Dividend Payout Ratio</t>
  </si>
  <si>
    <t>Dividend Retention Ratio</t>
  </si>
  <si>
    <t>Gross Profit = Gross Sales - Cost Of Goods Sold</t>
  </si>
  <si>
    <t>Gross Profit</t>
  </si>
  <si>
    <t>Net Profit = Gross Sales - Total Expenditure</t>
  </si>
  <si>
    <t>Net Profit</t>
  </si>
  <si>
    <t>Return On Assets = Reported Net Profit /  Total Assets</t>
  </si>
  <si>
    <t>Return On Assets</t>
  </si>
  <si>
    <t>Return On Capital Employed = PBIT /  Total Debt + Net Worth</t>
  </si>
  <si>
    <t>Return On Capital Employeed</t>
  </si>
  <si>
    <t>Return On Equity = Reported Net Profit / Net Worth</t>
  </si>
  <si>
    <t>Return On Equity</t>
  </si>
  <si>
    <t>Debt Equity Ratio = Total Debt / Net Worth</t>
  </si>
  <si>
    <t>Debt Equity Ratio</t>
  </si>
  <si>
    <t>Current Ratio = Total Current Assets / Total Current Liabilities</t>
  </si>
  <si>
    <t>Current Ratio</t>
  </si>
  <si>
    <t>Quick Ratio = (Total Current Assets - Inventories)/ Total Current Liabilities</t>
  </si>
  <si>
    <t>Quick Ratio</t>
  </si>
  <si>
    <t>Interest Coverage Ratio = PBIT / Interest</t>
  </si>
  <si>
    <t>Interest Coverage Ratio</t>
  </si>
  <si>
    <t>Material Consumed = Cost Of Good Sold  / Net Sales</t>
  </si>
  <si>
    <t>Material Consumed</t>
  </si>
  <si>
    <t>Defensive Interval Ratio =   Cash and Bank Balance / Cost Of Good Sold * 365</t>
  </si>
  <si>
    <t>Defensive Interval Ratio</t>
  </si>
  <si>
    <t>Purchases Per Day =   Cash and Bank Balance / Cost Of Good Sold * 365</t>
  </si>
  <si>
    <t>Days in a Year</t>
  </si>
  <si>
    <t>Purchases Per Day</t>
  </si>
  <si>
    <t>Asset TurnOver Ratio  =   Gross Sales / Total Assets</t>
  </si>
  <si>
    <t>Asset TurnOver Ratio</t>
  </si>
  <si>
    <t>Inventory TurnOver Ratio  =   Gross Sales / Inventory</t>
  </si>
  <si>
    <t>Inventory TurnOver Ratio</t>
  </si>
  <si>
    <t>Debtors TurnOver Ratio  =   Gross Sales / Debtors</t>
  </si>
  <si>
    <t>Debtors TurnOver Ratio</t>
  </si>
  <si>
    <t>Fixed Assets TurnOver Ratio  =   Gross Sales / Gross Block</t>
  </si>
  <si>
    <t>Fixed Assets TurnOver Ratio</t>
  </si>
  <si>
    <t>Payable TurnOver Ratio  =   Cost of Goods Sold / Total Current Liabilities</t>
  </si>
  <si>
    <t>Payable TurnOver Ratio</t>
  </si>
  <si>
    <t>Inventory Days  =   365/Gross Sales  * Inventories</t>
  </si>
  <si>
    <t>Inventory Days</t>
  </si>
  <si>
    <t xml:space="preserve"> Payable Days   =   365/Cost of Goods Sold  * Total Current Liabilities</t>
  </si>
  <si>
    <t>Payable Days</t>
  </si>
  <si>
    <t>Receivable Days  =   365/Gross Sales  * Sundry Debtors</t>
  </si>
  <si>
    <t>Receivable Days</t>
  </si>
  <si>
    <t>Operating Cycle Days =    Receivable Days + Inventory Days</t>
  </si>
  <si>
    <t>Operating Cycle</t>
  </si>
  <si>
    <t>Cash Conversion Cycle =   Operating Cycle Days -  Payable Days</t>
  </si>
  <si>
    <t>Operating Cycle Days</t>
  </si>
  <si>
    <t>Cash Conversion Cycle Days</t>
  </si>
  <si>
    <t>Years</t>
  </si>
  <si>
    <t>Equity Share Capital % in Assets</t>
  </si>
  <si>
    <t>Preference Share Capital % in Assets</t>
  </si>
  <si>
    <t>Total Share Capital % in Assets</t>
  </si>
  <si>
    <t>Reserves and Surplus % in Assets</t>
  </si>
  <si>
    <t>Net Worth % in Assets</t>
  </si>
  <si>
    <t>Long Term Borrowings % in Assets</t>
  </si>
  <si>
    <t>Deferred Tax Liabilities [Net] % in Assets</t>
  </si>
  <si>
    <t>Short Term Borrowings % in Assets</t>
  </si>
  <si>
    <t>Total Debt % in Assets</t>
  </si>
  <si>
    <t>Long Term Provisions % in Assets</t>
  </si>
  <si>
    <t>Short Term Provisions % in Assets</t>
  </si>
  <si>
    <t>Other Long Term Liabilities % in Assets</t>
  </si>
  <si>
    <t>Trade Payables % in Assets</t>
  </si>
  <si>
    <t>Other Current Liabilities % in Assets</t>
  </si>
  <si>
    <t>Total Current Liabilities % in Assets</t>
  </si>
  <si>
    <t>Minority Interest % in Assets</t>
  </si>
  <si>
    <t>Total Liabilities % in Assets</t>
  </si>
  <si>
    <t>Tangible Assets % in Assets</t>
  </si>
  <si>
    <t>Intangible Assets % in Assets</t>
  </si>
  <si>
    <t>Depreciation % in Assets</t>
  </si>
  <si>
    <t>Net Assets % in Assets</t>
  </si>
  <si>
    <t>Non-Current Investments % in Assets</t>
  </si>
  <si>
    <t>Current Investments % in Assets</t>
  </si>
  <si>
    <t>Capital Work-In-Progress % in Assets</t>
  </si>
  <si>
    <t>Total Non Current Assets % in Assets</t>
  </si>
  <si>
    <t>Deferred Tax Assets [Net] % in Assets</t>
  </si>
  <si>
    <t>Long Term Loans And Advances % in Assets</t>
  </si>
  <si>
    <t>Other Non-Current Assets % in Assets</t>
  </si>
  <si>
    <t>Short Term Loans And Advances % in Assets</t>
  </si>
  <si>
    <t>OtherCurrentAssets % in Assets</t>
  </si>
  <si>
    <t>Inventories % in Assets</t>
  </si>
  <si>
    <t>Trade Receivables % in Assets</t>
  </si>
  <si>
    <t>Cash And Cash Equivalents % in Assets</t>
  </si>
  <si>
    <t>Total Current Assets % in Assets</t>
  </si>
  <si>
    <t>Total Assets % in Assets</t>
  </si>
  <si>
    <t>Gross Sales % in Gross Sales</t>
  </si>
  <si>
    <t>Excise Duty % in Gross Sales</t>
  </si>
  <si>
    <t>Net Sales % in Gross Sales</t>
  </si>
  <si>
    <t>Other Income % in Gross Sales</t>
  </si>
  <si>
    <t>Stock Adjustments % in Gross Sales</t>
  </si>
  <si>
    <t>Total Income % in Gross Sales</t>
  </si>
  <si>
    <t>Cost Of Materials Consumed % in Gross Sales</t>
  </si>
  <si>
    <t>Operating And Direct Expenses % in Gross Sales</t>
  </si>
  <si>
    <t>Employee Benefit Expenses % in Gross Sales</t>
  </si>
  <si>
    <t>Other Expenses % in Gross Sales</t>
  </si>
  <si>
    <t>Total Expenditure % in Gross Sales</t>
  </si>
  <si>
    <t>Operating Profit % in Gross Sales</t>
  </si>
  <si>
    <t>PBDIT % in Gross Sales</t>
  </si>
  <si>
    <t>Depreciation And Amortisation Expenses % in Gross Sales</t>
  </si>
  <si>
    <t>PBIT % in Gross Sales</t>
  </si>
  <si>
    <t>Finance Costs % in Gross Sales</t>
  </si>
  <si>
    <t>Profit Before share of Associates % in Gross Sales</t>
  </si>
  <si>
    <t>Share Of Profit/Loss Of Associates % in Gross Sales</t>
  </si>
  <si>
    <t>PBT % in Gross Sales</t>
  </si>
  <si>
    <t>Exceptional Items % in Gross Sales</t>
  </si>
  <si>
    <t>PBT(Post Extra Ordinary Items) % in Gross Sales</t>
  </si>
  <si>
    <t>Total Tax Expenses % in Gross Sales</t>
  </si>
  <si>
    <t>Reported Net Profit(PAT) % in Gross Sales</t>
  </si>
  <si>
    <t>Equity Share Dividend % in Gross Sales</t>
  </si>
  <si>
    <t>Tax On Dividend % in Gross Sales</t>
  </si>
  <si>
    <t>Amount C\F to Balance Sheet % in Gross Sales</t>
  </si>
  <si>
    <t xml:space="preserve">      ForeCasting</t>
  </si>
  <si>
    <t>TotalAssets TurnOver</t>
  </si>
  <si>
    <t>DepreciationForeCasting</t>
  </si>
  <si>
    <t>InterestForeCasting</t>
  </si>
  <si>
    <t>TaxRateForeCasting</t>
  </si>
  <si>
    <t>DividendTaxRateForeCasting</t>
  </si>
  <si>
    <t>BSInput</t>
  </si>
  <si>
    <t>Back To Index</t>
  </si>
  <si>
    <t>ISMInput</t>
  </si>
  <si>
    <t>Ratios</t>
  </si>
  <si>
    <t>NetWorthVsTotalLiabilties</t>
  </si>
  <si>
    <t>PBDITvsPBIT</t>
  </si>
  <si>
    <t>CAvsCL</t>
  </si>
  <si>
    <t>TotalExpenditureVsTotalIncome</t>
  </si>
  <si>
    <t>Long And Short Term Provisions</t>
  </si>
  <si>
    <t>MaterialConsumed DirectExpenses</t>
  </si>
  <si>
    <t>Gross Sales In Total Income</t>
  </si>
  <si>
    <t>Total Debt In Liabilities</t>
  </si>
  <si>
    <t>Total CL In Liabilities</t>
  </si>
  <si>
    <t>Total NCA In Assets</t>
  </si>
  <si>
    <t>Total CA In Assets</t>
  </si>
  <si>
    <t>Net Profit CF To Balance Sheet</t>
  </si>
  <si>
    <t>BS Backup</t>
  </si>
  <si>
    <t>ISM Backup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</si>
</sst>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.00"/>
  </numFmts>
  <fonts count="13" x14ac:knownFonts="1">
    <font>
      <sz val="11"/>
      <color theme="1"/>
      <name val="Calibri"/>
      <family val="2"/>
      <scheme val="minor"/>
    </font>
    <font>
      <sz val="15"/>
      <color theme="1"/>
      <name val="Century"/>
      <family val="1"/>
    </font>
    <font>
      <b/>
      <sz val="15"/>
      <color indexed="18"/>
      <name val="Century"/>
      <family val="1"/>
    </font>
    <font>
      <b/>
      <sz val="15"/>
      <color indexed="9"/>
      <name val="Century"/>
      <family val="1"/>
    </font>
    <font>
      <b/>
      <sz val="15"/>
      <color theme="1"/>
      <name val="Century"/>
      <family val="1"/>
    </font>
    <font>
      <b/>
      <sz val="15"/>
      <color indexed="16"/>
      <name val="Century"/>
      <family val="1"/>
    </font>
    <font>
      <sz val="15"/>
      <color indexed="32"/>
      <name val="Century"/>
      <family val="1"/>
    </font>
    <font>
      <sz val="15"/>
      <color indexed="37"/>
      <name val="Century"/>
      <family val="1"/>
    </font>
    <font>
      <sz val="11"/>
      <color indexed="16"/>
      <name val="Century"/>
      <family val="1"/>
    </font>
    <font>
      <b/>
      <sz val="11"/>
      <color indexed="16"/>
      <name val="Century"/>
      <family val="1"/>
    </font>
    <font>
      <b/>
      <sz val="11"/>
      <color indexed="18"/>
      <name val="Century"/>
      <family val="1"/>
    </font>
    <font>
      <u/>
      <sz val="11"/>
      <color theme="10"/>
      <name val="Calibri"/>
      <family val="2"/>
      <scheme val="minor"/>
    </font>
    <font>
      <sz val="11"/>
      <color indexed="3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58"/>
        <bgColor indexed="64"/>
      </patternFill>
    </fill>
    <fill>
      <patternFill patternType="solid">
        <fgColor indexed="47"/>
        <bgColor indexed="64"/>
      </patternFill>
    </fill>
  </fills>
  <borders count="9">
    <border>
      <left/>
      <right/>
      <top/>
      <bottom/>
      <diagonal/>
    </border>
    <border>
      <left style="thick">
        <color indexed="16"/>
      </left>
      <right/>
      <top style="thick">
        <color indexed="16"/>
      </top>
      <bottom/>
      <diagonal/>
    </border>
    <border>
      <left/>
      <right/>
      <top style="thick">
        <color indexed="16"/>
      </top>
      <bottom/>
      <diagonal/>
    </border>
    <border>
      <left/>
      <right style="thick">
        <color indexed="16"/>
      </right>
      <top style="thick">
        <color indexed="16"/>
      </top>
      <bottom/>
      <diagonal/>
    </border>
    <border>
      <left style="thick">
        <color indexed="16"/>
      </left>
      <right/>
      <top/>
      <bottom/>
      <diagonal/>
    </border>
    <border>
      <left/>
      <right style="thick">
        <color indexed="16"/>
      </right>
      <top/>
      <bottom/>
      <diagonal/>
    </border>
    <border>
      <left style="thick">
        <color indexed="16"/>
      </left>
      <right/>
      <top/>
      <bottom style="thick">
        <color indexed="16"/>
      </bottom>
      <diagonal/>
    </border>
    <border>
      <left/>
      <right/>
      <top/>
      <bottom style="thick">
        <color indexed="16"/>
      </bottom>
      <diagonal/>
    </border>
    <border>
      <left/>
      <right style="thick">
        <color indexed="16"/>
      </right>
      <top/>
      <bottom style="thick">
        <color indexed="16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49">
    <xf numFmtId="0" fontId="0" fillId="0" borderId="0" xfId="0"/>
    <xf numFmtId="16" fontId="0" fillId="0" borderId="0" xfId="0" applyNumberFormat="1"/>
    <xf numFmtId="4" fontId="0" fillId="0" borderId="0" xfId="0" applyNumberFormat="1"/>
    <xf numFmtId="0" fontId="0" fillId="0" borderId="0" xfId="0" applyAlignment="1">
      <alignment horizontal="fill"/>
    </xf>
    <xf numFmtId="0" fontId="1" fillId="0" borderId="0" xfId="0" applyFont="1" applyAlignment="1">
      <alignment horizontal="right"/>
    </xf>
    <xf numFmtId="4" fontId="1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4" fontId="2" fillId="0" borderId="0" xfId="0" applyNumberFormat="1" applyFont="1" applyAlignment="1">
      <alignment horizontal="righ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5" fillId="3" borderId="0" xfId="0" applyFont="1" applyFill="1" applyAlignment="1">
      <alignment horizontal="center"/>
    </xf>
    <xf numFmtId="0" fontId="3" fillId="4" borderId="0" xfId="0" applyFont="1" applyFill="1"/>
    <xf numFmtId="0" fontId="6" fillId="0" borderId="0" xfId="0" applyFont="1"/>
    <xf numFmtId="164" fontId="6" fillId="0" borderId="0" xfId="0" applyNumberFormat="1" applyFont="1"/>
    <xf numFmtId="0" fontId="7" fillId="0" borderId="0" xfId="0" applyFont="1"/>
    <xf numFmtId="10" fontId="7" fillId="0" borderId="0" xfId="0" applyNumberFormat="1" applyFont="1"/>
    <xf numFmtId="164" fontId="7" fillId="0" borderId="0" xfId="0" applyNumberFormat="1" applyFont="1"/>
    <xf numFmtId="0" fontId="8" fillId="0" borderId="0" xfId="0" applyFont="1" applyAlignment="1">
      <alignment horizontal="left"/>
    </xf>
    <xf numFmtId="10" fontId="8" fillId="0" borderId="0" xfId="0" applyNumberFormat="1" applyFont="1" applyAlignment="1">
      <alignment horizontal="right"/>
    </xf>
    <xf numFmtId="0" fontId="9" fillId="0" borderId="0" xfId="0" applyFont="1" applyAlignment="1">
      <alignment horizontal="left"/>
    </xf>
    <xf numFmtId="10" fontId="10" fillId="0" borderId="0" xfId="0" applyNumberFormat="1" applyFont="1" applyAlignment="1">
      <alignment horizontal="right"/>
    </xf>
    <xf numFmtId="10" fontId="9" fillId="0" borderId="0" xfId="0" applyNumberFormat="1" applyFont="1" applyAlignment="1">
      <alignment horizontal="right"/>
    </xf>
    <xf numFmtId="0" fontId="3" fillId="6" borderId="0" xfId="0" applyFont="1" applyFill="1" applyAlignment="1">
      <alignment horizontal="center"/>
    </xf>
    <xf numFmtId="10" fontId="0" fillId="0" borderId="0" xfId="0" applyNumberFormat="1"/>
    <xf numFmtId="0" fontId="1" fillId="8" borderId="0" xfId="0" applyFont="1" applyFill="1" applyAlignment="1">
      <alignment horizontal="right"/>
    </xf>
    <xf numFmtId="10" fontId="8" fillId="8" borderId="0" xfId="0" applyNumberFormat="1" applyFont="1" applyFill="1" applyAlignment="1">
      <alignment horizontal="right"/>
    </xf>
    <xf numFmtId="0" fontId="2" fillId="8" borderId="0" xfId="0" applyFont="1" applyFill="1" applyAlignment="1">
      <alignment horizontal="right"/>
    </xf>
    <xf numFmtId="10" fontId="10" fillId="8" borderId="0" xfId="0" applyNumberFormat="1" applyFont="1" applyFill="1" applyAlignment="1">
      <alignment horizontal="right"/>
    </xf>
    <xf numFmtId="4" fontId="1" fillId="8" borderId="0" xfId="0" applyNumberFormat="1" applyFont="1" applyFill="1" applyAlignment="1">
      <alignment horizontal="right"/>
    </xf>
    <xf numFmtId="4" fontId="2" fillId="8" borderId="0" xfId="0" applyNumberFormat="1" applyFont="1" applyFill="1" applyAlignment="1">
      <alignment horizontal="right"/>
    </xf>
    <xf numFmtId="10" fontId="9" fillId="8" borderId="0" xfId="0" applyNumberFormat="1" applyFont="1" applyFill="1" applyAlignment="1">
      <alignment horizontal="right"/>
    </xf>
    <xf numFmtId="0" fontId="3" fillId="2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3" fillId="7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3" fillId="5" borderId="0" xfId="0" applyFont="1" applyFill="1" applyAlignment="1">
      <alignment horizontal="center" vertical="center"/>
    </xf>
    <xf numFmtId="0" fontId="11" fillId="0" borderId="0" xfId="1"/>
    <xf numFmtId="0" fontId="0" fillId="0" borderId="0" xfId="0" applyFont="1"/>
    <xf numFmtId="0" fontId="12" fillId="0" borderId="0" xfId="1" applyFont="1"/>
    <xf numFmtId="0" fontId="12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Earning  Per Share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Earning  Per Share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Earning__Per_Share!$C$3:$G$3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Earning__Per_Share!$C$8:$G$8</c:f>
              <c:numCache>
                <c:formatCode>General</c:formatCode>
                <c:ptCount val="5"/>
                <c:pt idx="0">
                  <c:v>261</c:v>
                </c:pt>
                <c:pt idx="1">
                  <c:v>253</c:v>
                </c:pt>
                <c:pt idx="2">
                  <c:v>188</c:v>
                </c:pt>
                <c:pt idx="3">
                  <c:v>145</c:v>
                </c:pt>
                <c:pt idx="4">
                  <c:v>128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149-4D9B-8E76-18368D45C8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815568"/>
        <c:axId val="553816552"/>
      </c:lineChart>
      <c:catAx>
        <c:axId val="553815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816552"/>
        <c:crosses val="autoZero"/>
        <c:auto val="0"/>
        <c:lblAlgn val="ctr"/>
        <c:lblOffset val="100"/>
        <c:noMultiLvlLbl val="0"/>
      </c:catAx>
      <c:valAx>
        <c:axId val="55381655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381556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Return On Equity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Return On Equity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FA6C-4186-AAF6-45A67C910FD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Return_On_Equity!$C$3:$G$3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Return_On_Equity!$C$8:$G$8</c:f>
              <c:numCache>
                <c:formatCode>0.00%</c:formatCode>
                <c:ptCount val="5"/>
                <c:pt idx="0">
                  <c:v>0.19</c:v>
                </c:pt>
                <c:pt idx="1">
                  <c:v>0.17</c:v>
                </c:pt>
                <c:pt idx="2">
                  <c:v>0.13</c:v>
                </c:pt>
                <c:pt idx="3">
                  <c:v>0.1</c:v>
                </c:pt>
                <c:pt idx="4">
                  <c:v>0.11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A6C-4186-AAF6-45A67C910F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1094784"/>
        <c:axId val="630030160"/>
      </c:lineChart>
      <c:catAx>
        <c:axId val="621094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30030160"/>
        <c:crosses val="autoZero"/>
        <c:auto val="0"/>
        <c:lblAlgn val="ctr"/>
        <c:lblOffset val="100"/>
        <c:noMultiLvlLbl val="0"/>
      </c:catAx>
      <c:valAx>
        <c:axId val="63003016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62109478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Debt Equity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Debt Equity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B663-489A-B7C1-721D284C1E9D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B663-489A-B7C1-721D284C1E9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Debt_Equity_Ratio!$C$3:$G$3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Debt_Equity_Ratio!$C$8:$G$8</c:f>
              <c:numCache>
                <c:formatCode>General</c:formatCode>
                <c:ptCount val="5"/>
                <c:pt idx="0">
                  <c:v>0.02</c:v>
                </c:pt>
                <c:pt idx="1">
                  <c:v>0.01</c:v>
                </c:pt>
                <c:pt idx="2">
                  <c:v>0.01</c:v>
                </c:pt>
                <c:pt idx="3">
                  <c:v>0.01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663-489A-B7C1-721D284C1E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30030488"/>
        <c:axId val="630030816"/>
      </c:lineChart>
      <c:catAx>
        <c:axId val="630030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30030816"/>
        <c:crosses val="autoZero"/>
        <c:auto val="0"/>
        <c:lblAlgn val="ctr"/>
        <c:lblOffset val="100"/>
        <c:noMultiLvlLbl val="0"/>
      </c:catAx>
      <c:valAx>
        <c:axId val="63003081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3003048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Current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Current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A52B-48DB-90F6-7B9CE87599D6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A52B-48DB-90F6-7B9CE87599D6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A52B-48DB-90F6-7B9CE87599D6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A52B-48DB-90F6-7B9CE87599D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Current_Ratio!$C$3:$G$3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Current_Ratio!$C$8:$G$8</c:f>
              <c:numCache>
                <c:formatCode>General</c:formatCode>
                <c:ptCount val="5"/>
                <c:pt idx="0">
                  <c:v>0.51</c:v>
                </c:pt>
                <c:pt idx="1">
                  <c:v>1.53</c:v>
                </c:pt>
                <c:pt idx="2">
                  <c:v>3.17</c:v>
                </c:pt>
                <c:pt idx="3">
                  <c:v>3.45</c:v>
                </c:pt>
                <c:pt idx="4">
                  <c:v>4.8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52B-48DB-90F6-7B9CE87599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814912"/>
        <c:axId val="553816224"/>
      </c:lineChart>
      <c:catAx>
        <c:axId val="553814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816224"/>
        <c:crosses val="autoZero"/>
        <c:auto val="0"/>
        <c:lblAlgn val="ctr"/>
        <c:lblOffset val="100"/>
        <c:noMultiLvlLbl val="0"/>
      </c:catAx>
      <c:valAx>
        <c:axId val="55381622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381491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Quick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Quick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6ED0-47FF-9020-B8E085532B5A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6ED0-47FF-9020-B8E085532B5A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6ED0-47FF-9020-B8E085532B5A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6ED0-47FF-9020-B8E085532B5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Quick_Ratio!$C$3:$G$3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Quick_Ratio!$C$9:$G$9</c:f>
              <c:numCache>
                <c:formatCode>General</c:formatCode>
                <c:ptCount val="5"/>
                <c:pt idx="0">
                  <c:v>0.32</c:v>
                </c:pt>
                <c:pt idx="1">
                  <c:v>1.32</c:v>
                </c:pt>
                <c:pt idx="2">
                  <c:v>2.93</c:v>
                </c:pt>
                <c:pt idx="3">
                  <c:v>3.28</c:v>
                </c:pt>
                <c:pt idx="4">
                  <c:v>4.6100000000000003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6ED0-47FF-9020-B8E085532B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593624"/>
        <c:axId val="553593296"/>
      </c:lineChart>
      <c:catAx>
        <c:axId val="553593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593296"/>
        <c:crosses val="autoZero"/>
        <c:auto val="0"/>
        <c:lblAlgn val="ctr"/>
        <c:lblOffset val="100"/>
        <c:noMultiLvlLbl val="0"/>
      </c:catAx>
      <c:valAx>
        <c:axId val="55359329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359362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Interest Coverage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Interest Coverage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E60F-49FC-9798-4B898119AD5E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E60F-49FC-9798-4B898119AD5E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E60F-49FC-9798-4B898119AD5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Interest_Coverage_Ratio!$C$3:$G$3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Interest_Coverage_Ratio!$C$8:$G$8</c:f>
              <c:numCache>
                <c:formatCode>General</c:formatCode>
                <c:ptCount val="5"/>
                <c:pt idx="0">
                  <c:v>56.69</c:v>
                </c:pt>
                <c:pt idx="1">
                  <c:v>298.17</c:v>
                </c:pt>
                <c:pt idx="2">
                  <c:v>160.74</c:v>
                </c:pt>
                <c:pt idx="3">
                  <c:v>185.75</c:v>
                </c:pt>
                <c:pt idx="4">
                  <c:v>208.83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60F-49FC-9798-4B898119AD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6758880"/>
        <c:axId val="446761504"/>
      </c:lineChart>
      <c:catAx>
        <c:axId val="446758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6761504"/>
        <c:crosses val="autoZero"/>
        <c:auto val="0"/>
        <c:lblAlgn val="ctr"/>
        <c:lblOffset val="100"/>
        <c:noMultiLvlLbl val="0"/>
      </c:catAx>
      <c:valAx>
        <c:axId val="44676150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675888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Material Consumed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Material Consumed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D539-46D0-BA50-7416B014ACA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Material_Consumed!$C$3:$G$3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Material_Consumed!$C$8:$G$8</c:f>
              <c:numCache>
                <c:formatCode>General</c:formatCode>
                <c:ptCount val="5"/>
                <c:pt idx="0">
                  <c:v>0.57999999999999996</c:v>
                </c:pt>
                <c:pt idx="1">
                  <c:v>0.54</c:v>
                </c:pt>
                <c:pt idx="2">
                  <c:v>0.48</c:v>
                </c:pt>
                <c:pt idx="3">
                  <c:v>0.5</c:v>
                </c:pt>
                <c:pt idx="4">
                  <c:v>0.47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539-46D0-BA50-7416B014AC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0786496"/>
        <c:axId val="450787152"/>
      </c:lineChart>
      <c:catAx>
        <c:axId val="450786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0787152"/>
        <c:crosses val="autoZero"/>
        <c:auto val="0"/>
        <c:lblAlgn val="ctr"/>
        <c:lblOffset val="100"/>
        <c:noMultiLvlLbl val="0"/>
      </c:catAx>
      <c:valAx>
        <c:axId val="45078715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5078649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Defensive Interval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Defensive Interval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DE1B-4740-A219-C43521714E36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DE1B-4740-A219-C43521714E36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DE1B-4740-A219-C43521714E36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DE1B-4740-A219-C43521714E3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Defensive_Interval_Ratio!$C$3:$G$3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Defensive_Interval_Ratio!$C$8:$G$8</c:f>
              <c:numCache>
                <c:formatCode>General</c:formatCode>
                <c:ptCount val="5"/>
                <c:pt idx="0">
                  <c:v>0.6</c:v>
                </c:pt>
                <c:pt idx="1">
                  <c:v>124.39</c:v>
                </c:pt>
                <c:pt idx="2">
                  <c:v>353.7</c:v>
                </c:pt>
                <c:pt idx="3">
                  <c:v>578.99</c:v>
                </c:pt>
                <c:pt idx="4">
                  <c:v>716.08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E1B-4740-A219-C43521714E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6760520"/>
        <c:axId val="446763472"/>
      </c:lineChart>
      <c:catAx>
        <c:axId val="446760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6763472"/>
        <c:crosses val="autoZero"/>
        <c:auto val="0"/>
        <c:lblAlgn val="ctr"/>
        <c:lblOffset val="100"/>
        <c:noMultiLvlLbl val="0"/>
      </c:catAx>
      <c:valAx>
        <c:axId val="44676347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676052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Purchases Per Day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Purchases Per Day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B0DE-42DD-B0D9-17C6319A482A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B0DE-42DD-B0D9-17C6319A482A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B0DE-42DD-B0D9-17C6319A482A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B0DE-42DD-B0D9-17C6319A482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Purchases_Per_Day!$C$3:$G$3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Purchases_Per_Day!$C$8:$G$8</c:f>
              <c:numCache>
                <c:formatCode>General</c:formatCode>
                <c:ptCount val="5"/>
                <c:pt idx="0">
                  <c:v>74</c:v>
                </c:pt>
                <c:pt idx="1">
                  <c:v>15344.53</c:v>
                </c:pt>
                <c:pt idx="2">
                  <c:v>33562.58</c:v>
                </c:pt>
                <c:pt idx="3">
                  <c:v>52817.120000000003</c:v>
                </c:pt>
                <c:pt idx="4">
                  <c:v>77963.839999999997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0DE-42DD-B0D9-17C6319A48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6760848"/>
        <c:axId val="446755272"/>
      </c:lineChart>
      <c:catAx>
        <c:axId val="446760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6755272"/>
        <c:crosses val="autoZero"/>
        <c:auto val="0"/>
        <c:lblAlgn val="ctr"/>
        <c:lblOffset val="100"/>
        <c:noMultiLvlLbl val="0"/>
      </c:catAx>
      <c:valAx>
        <c:axId val="44675527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676084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Asset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Asset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975A-48A4-A755-981045885FA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Asset_TurnOver_Ratio!$C$3:$G$3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Asset_TurnOver_Ratio!$C$8:$G$8</c:f>
              <c:numCache>
                <c:formatCode>General</c:formatCode>
                <c:ptCount val="5"/>
                <c:pt idx="0">
                  <c:v>1.33</c:v>
                </c:pt>
                <c:pt idx="1">
                  <c:v>1.0900000000000001</c:v>
                </c:pt>
                <c:pt idx="2">
                  <c:v>0.79</c:v>
                </c:pt>
                <c:pt idx="3">
                  <c:v>0.6</c:v>
                </c:pt>
                <c:pt idx="4">
                  <c:v>0.61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75A-48A4-A755-981045885F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3069304"/>
        <c:axId val="453069960"/>
      </c:lineChart>
      <c:catAx>
        <c:axId val="453069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3069960"/>
        <c:crosses val="autoZero"/>
        <c:auto val="0"/>
        <c:lblAlgn val="ctr"/>
        <c:lblOffset val="100"/>
        <c:noMultiLvlLbl val="0"/>
      </c:catAx>
      <c:valAx>
        <c:axId val="45306996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5306930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Inventory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Inventory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329F-4410-A910-0BFB36F88B5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Inventory_TurnOver_Ratio!$C$3:$G$3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Inventory_TurnOver_Ratio!$C$8:$G$8</c:f>
              <c:numCache>
                <c:formatCode>General</c:formatCode>
                <c:ptCount val="5"/>
                <c:pt idx="0">
                  <c:v>25.43</c:v>
                </c:pt>
                <c:pt idx="1">
                  <c:v>24.99</c:v>
                </c:pt>
                <c:pt idx="2">
                  <c:v>22.31</c:v>
                </c:pt>
                <c:pt idx="3">
                  <c:v>21.83</c:v>
                </c:pt>
                <c:pt idx="4">
                  <c:v>23.72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29F-4410-A910-0BFB36F88B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7842464"/>
        <c:axId val="621096424"/>
      </c:lineChart>
      <c:catAx>
        <c:axId val="447842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1096424"/>
        <c:crosses val="autoZero"/>
        <c:auto val="0"/>
        <c:lblAlgn val="ctr"/>
        <c:lblOffset val="100"/>
        <c:noMultiLvlLbl val="0"/>
      </c:catAx>
      <c:valAx>
        <c:axId val="62109642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784246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Equity Dividend Per Share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Equity Dividend Per Share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Equity_Dividend_Per_Share!$C$3:$G$3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Equity_Dividend_Per_Share!$C$8:$G$8</c:f>
              <c:numCache>
                <c:formatCode>General</c:formatCode>
                <c:ptCount val="5"/>
                <c:pt idx="0">
                  <c:v>37.03</c:v>
                </c:pt>
                <c:pt idx="1">
                  <c:v>31.22</c:v>
                </c:pt>
                <c:pt idx="2">
                  <c:v>22.7</c:v>
                </c:pt>
                <c:pt idx="3">
                  <c:v>14.7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8EA-4336-AE7A-25B5E9F12C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3064712"/>
        <c:axId val="453067992"/>
      </c:lineChart>
      <c:catAx>
        <c:axId val="453064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3067992"/>
        <c:crosses val="autoZero"/>
        <c:auto val="0"/>
        <c:lblAlgn val="ctr"/>
        <c:lblOffset val="100"/>
        <c:noMultiLvlLbl val="0"/>
      </c:catAx>
      <c:valAx>
        <c:axId val="45306799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5306471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Debtors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Debtors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33CA-42D8-9E88-A862F6A73DE2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33CA-42D8-9E88-A862F6A73DE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Debtors_TurnOver_Ratio!$C$3:$G$3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Debtors_TurnOver_Ratio!$C$8:$G$8</c:f>
              <c:numCache>
                <c:formatCode>General</c:formatCode>
                <c:ptCount val="5"/>
                <c:pt idx="0">
                  <c:v>54.83</c:v>
                </c:pt>
                <c:pt idx="1">
                  <c:v>35.9</c:v>
                </c:pt>
                <c:pt idx="2">
                  <c:v>36.26</c:v>
                </c:pt>
                <c:pt idx="3">
                  <c:v>52.01</c:v>
                </c:pt>
                <c:pt idx="4">
                  <c:v>41.19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3CA-42D8-9E88-A862F6A73D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6641824"/>
        <c:axId val="446642808"/>
      </c:lineChart>
      <c:catAx>
        <c:axId val="446641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6642808"/>
        <c:crosses val="autoZero"/>
        <c:auto val="0"/>
        <c:lblAlgn val="ctr"/>
        <c:lblOffset val="100"/>
        <c:noMultiLvlLbl val="0"/>
      </c:catAx>
      <c:valAx>
        <c:axId val="44664280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664182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Fixed Assets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Fixed Assets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3A9E-4D3D-8C7A-0A0CE9613B7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Fixed_Assets_TurnOver_Ratio!$C$3:$G$3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Fixed_Assets_TurnOver_Ratio!$C$8:$G$8</c:f>
              <c:numCache>
                <c:formatCode>General</c:formatCode>
                <c:ptCount val="5"/>
                <c:pt idx="0">
                  <c:v>6.14</c:v>
                </c:pt>
                <c:pt idx="1">
                  <c:v>5.54</c:v>
                </c:pt>
                <c:pt idx="2">
                  <c:v>4.6500000000000004</c:v>
                </c:pt>
                <c:pt idx="3">
                  <c:v>4.51</c:v>
                </c:pt>
                <c:pt idx="4">
                  <c:v>5.0199999999999996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A9E-4D3D-8C7A-0A0CE9613B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6519864"/>
        <c:axId val="446520192"/>
      </c:lineChart>
      <c:catAx>
        <c:axId val="446519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6520192"/>
        <c:crosses val="autoZero"/>
        <c:auto val="0"/>
        <c:lblAlgn val="ctr"/>
        <c:lblOffset val="100"/>
        <c:noMultiLvlLbl val="0"/>
      </c:catAx>
      <c:valAx>
        <c:axId val="44652019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651986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Payable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Payable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3298-4A2B-8C8F-E7E209554E2B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3298-4A2B-8C8F-E7E209554E2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Payable_TurnOver_Ratio!$C$3:$G$3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Payable_TurnOver_Ratio!$C$8:$G$8</c:f>
              <c:numCache>
                <c:formatCode>General</c:formatCode>
                <c:ptCount val="5"/>
                <c:pt idx="0">
                  <c:v>2.65</c:v>
                </c:pt>
                <c:pt idx="1">
                  <c:v>2.8</c:v>
                </c:pt>
                <c:pt idx="2">
                  <c:v>2.58</c:v>
                </c:pt>
                <c:pt idx="3">
                  <c:v>1.87</c:v>
                </c:pt>
                <c:pt idx="4">
                  <c:v>2.1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298-4A2B-8C8F-E7E209554E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9541368"/>
        <c:axId val="548324120"/>
      </c:lineChart>
      <c:catAx>
        <c:axId val="549541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8324120"/>
        <c:crosses val="autoZero"/>
        <c:auto val="0"/>
        <c:lblAlgn val="ctr"/>
        <c:lblOffset val="100"/>
        <c:noMultiLvlLbl val="0"/>
      </c:catAx>
      <c:valAx>
        <c:axId val="54832412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4954136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Inventory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Inventory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B217-48D3-8F50-65A91B28B3B8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B217-48D3-8F50-65A91B28B3B8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B217-48D3-8F50-65A91B28B3B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Inventory_Days!$C$3:$G$3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Inventory_Days!$C$8:$G$8</c:f>
              <c:numCache>
                <c:formatCode>General</c:formatCode>
                <c:ptCount val="5"/>
                <c:pt idx="0">
                  <c:v>14.36</c:v>
                </c:pt>
                <c:pt idx="1">
                  <c:v>14.6</c:v>
                </c:pt>
                <c:pt idx="2">
                  <c:v>16.36</c:v>
                </c:pt>
                <c:pt idx="3">
                  <c:v>16.72</c:v>
                </c:pt>
                <c:pt idx="4">
                  <c:v>15.39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217-48D3-8F50-65A91B28B3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6436584"/>
        <c:axId val="560418464"/>
      </c:lineChart>
      <c:catAx>
        <c:axId val="556436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60418464"/>
        <c:crosses val="autoZero"/>
        <c:auto val="0"/>
        <c:lblAlgn val="ctr"/>
        <c:lblOffset val="100"/>
        <c:noMultiLvlLbl val="0"/>
      </c:catAx>
      <c:valAx>
        <c:axId val="56041846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643658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Payable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Payable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5852-4DA8-9967-381F04DD6959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5852-4DA8-9967-381F04DD695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Payable_Days!$C$3:$G$3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Payable_Days!$C$8:$G$8</c:f>
              <c:numCache>
                <c:formatCode>General</c:formatCode>
                <c:ptCount val="5"/>
                <c:pt idx="0">
                  <c:v>137.66</c:v>
                </c:pt>
                <c:pt idx="1">
                  <c:v>130.41</c:v>
                </c:pt>
                <c:pt idx="2">
                  <c:v>141.49</c:v>
                </c:pt>
                <c:pt idx="3">
                  <c:v>195.62</c:v>
                </c:pt>
                <c:pt idx="4">
                  <c:v>173.96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852-4DA8-9967-381F04DD69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0416496"/>
        <c:axId val="560417152"/>
      </c:lineChart>
      <c:catAx>
        <c:axId val="560416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60417152"/>
        <c:crosses val="autoZero"/>
        <c:auto val="0"/>
        <c:lblAlgn val="ctr"/>
        <c:lblOffset val="100"/>
        <c:noMultiLvlLbl val="0"/>
      </c:catAx>
      <c:valAx>
        <c:axId val="56041715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6041649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Receivable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Receivable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3D09-4D51-9889-BC6B74C3635E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3D09-4D51-9889-BC6B74C3635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Receivable_Days!$C$3:$G$3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Receivable_Days!$C$8:$G$8</c:f>
              <c:numCache>
                <c:formatCode>General</c:formatCode>
                <c:ptCount val="5"/>
                <c:pt idx="0">
                  <c:v>6.66</c:v>
                </c:pt>
                <c:pt idx="1">
                  <c:v>10.17</c:v>
                </c:pt>
                <c:pt idx="2">
                  <c:v>10.07</c:v>
                </c:pt>
                <c:pt idx="3">
                  <c:v>7.02</c:v>
                </c:pt>
                <c:pt idx="4">
                  <c:v>8.86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D09-4D51-9889-BC6B74C363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5813976"/>
        <c:axId val="555809056"/>
      </c:lineChart>
      <c:catAx>
        <c:axId val="5558139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5809056"/>
        <c:crosses val="autoZero"/>
        <c:auto val="0"/>
        <c:lblAlgn val="ctr"/>
        <c:lblOffset val="100"/>
        <c:noMultiLvlLbl val="0"/>
      </c:catAx>
      <c:valAx>
        <c:axId val="55580905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581397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Operating Cycle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Operating Cycle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67C9-4CD4-912C-77AE614F6554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67C9-4CD4-912C-77AE614F655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Operating_Cycle!$C$3:$G$3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Operating_Cycle!$C$12:$G$12</c:f>
              <c:numCache>
                <c:formatCode>.00</c:formatCode>
                <c:ptCount val="5"/>
                <c:pt idx="0">
                  <c:v>152.02000000000001</c:v>
                </c:pt>
                <c:pt idx="1">
                  <c:v>145.01</c:v>
                </c:pt>
                <c:pt idx="2">
                  <c:v>157.85</c:v>
                </c:pt>
                <c:pt idx="3">
                  <c:v>212.34</c:v>
                </c:pt>
                <c:pt idx="4">
                  <c:v>189.35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7C9-4CD4-912C-77AE614F65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595264"/>
        <c:axId val="553648864"/>
      </c:lineChart>
      <c:catAx>
        <c:axId val="553595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648864"/>
        <c:crosses val="autoZero"/>
        <c:auto val="0"/>
        <c:lblAlgn val="ctr"/>
        <c:lblOffset val="100"/>
        <c:noMultiLvlLbl val="0"/>
      </c:catAx>
      <c:valAx>
        <c:axId val="55364886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55359526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Cash Conversion Cycle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Cash Conversion Cycle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221F-4595-894C-B24DEC93E5D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Cash_Conversion_Cycle_Days!$C$3:$G$3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Cash_Conversion_Cycle_Days!$C$16:$G$16</c:f>
              <c:numCache>
                <c:formatCode>.00</c:formatCode>
                <c:ptCount val="5"/>
                <c:pt idx="0">
                  <c:v>-14.36</c:v>
                </c:pt>
                <c:pt idx="1">
                  <c:v>-14.6</c:v>
                </c:pt>
                <c:pt idx="2">
                  <c:v>-16.36</c:v>
                </c:pt>
                <c:pt idx="3">
                  <c:v>-16.72</c:v>
                </c:pt>
                <c:pt idx="4">
                  <c:v>-15.39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21F-4595-894C-B24DEC93E5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4046696"/>
        <c:axId val="364048992"/>
      </c:lineChart>
      <c:catAx>
        <c:axId val="364046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364048992"/>
        <c:crosses val="autoZero"/>
        <c:auto val="0"/>
        <c:lblAlgn val="ctr"/>
        <c:lblOffset val="100"/>
        <c:noMultiLvlLbl val="0"/>
      </c:catAx>
      <c:valAx>
        <c:axId val="36404899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36404669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Net Worth Vs Total Liabilities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Net Worth</c:v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NetWorthVsTotalLiabilties!$C$4:$G$4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NetWorthVsTotalLiabilties!$C$5:$G$5</c:f>
              <c:numCache>
                <c:formatCode>.00</c:formatCode>
                <c:ptCount val="5"/>
                <c:pt idx="0">
                  <c:v>42559.4</c:v>
                </c:pt>
                <c:pt idx="1">
                  <c:v>59228.030848341441</c:v>
                </c:pt>
                <c:pt idx="2">
                  <c:v>76326.477350109795</c:v>
                </c:pt>
                <c:pt idx="3">
                  <c:v>92389.821457374434</c:v>
                </c:pt>
                <c:pt idx="4">
                  <c:v>117882.8422772332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D1-42A4-ABC5-61673C732A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5808072"/>
        <c:axId val="555808400"/>
      </c:barChart>
      <c:lineChart>
        <c:grouping val="standard"/>
        <c:varyColors val="0"/>
        <c:ser>
          <c:idx val="1"/>
          <c:order val="1"/>
          <c:tx>
            <c:v>Total Liabilities</c:v>
          </c:tx>
          <c:spPr>
            <a:ln w="38100">
              <a:solidFill>
                <a:srgbClr val="E0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NetWorthVsTotalLiabilties!$C$6:$G$6</c:f>
              <c:numCache>
                <c:formatCode>.00</c:formatCode>
                <c:ptCount val="5"/>
                <c:pt idx="0">
                  <c:v>60248.4</c:v>
                </c:pt>
                <c:pt idx="1">
                  <c:v>76104.630848341447</c:v>
                </c:pt>
                <c:pt idx="2">
                  <c:v>90541.177350109792</c:v>
                </c:pt>
                <c:pt idx="3">
                  <c:v>111171.92145737444</c:v>
                </c:pt>
                <c:pt idx="4">
                  <c:v>137204.8422772332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6D1-42A4-ABC5-61673C732A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5808072"/>
        <c:axId val="555808400"/>
      </c:lineChart>
      <c:catAx>
        <c:axId val="555808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5808400"/>
        <c:crosses val="autoZero"/>
        <c:auto val="1"/>
        <c:lblAlgn val="ctr"/>
        <c:lblOffset val="100"/>
        <c:noMultiLvlLbl val="0"/>
      </c:catAx>
      <c:valAx>
        <c:axId val="55580840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NetWorth Vs Total Liabilities(Cr)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5808072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PBDIT And PBIT Comparision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PBDIT</c:v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PBDITvsPBIT!$C$4:$G$4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PBDITvsPBIT!$C$5:$G$5</c:f>
              <c:numCache>
                <c:formatCode>.00</c:formatCode>
                <c:ptCount val="5"/>
                <c:pt idx="0">
                  <c:v>22361.697686337575</c:v>
                </c:pt>
                <c:pt idx="1">
                  <c:v>25651.930848341435</c:v>
                </c:pt>
                <c:pt idx="2">
                  <c:v>25099.646501768359</c:v>
                </c:pt>
                <c:pt idx="3">
                  <c:v>21943.644107264641</c:v>
                </c:pt>
                <c:pt idx="4">
                  <c:v>29226.320819858767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698-45D9-8D94-F9EF1DA59B97}"/>
            </c:ext>
          </c:extLst>
        </c:ser>
        <c:ser>
          <c:idx val="1"/>
          <c:order val="1"/>
          <c:tx>
            <c:v>PBIT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PBDITvsPBIT!$C$6:$G$6</c:f>
              <c:numCache>
                <c:formatCode>.00</c:formatCode>
                <c:ptCount val="5"/>
                <c:pt idx="0">
                  <c:v>19601.897686337576</c:v>
                </c:pt>
                <c:pt idx="1">
                  <c:v>22631.130848341436</c:v>
                </c:pt>
                <c:pt idx="2">
                  <c:v>21571.246501768357</c:v>
                </c:pt>
                <c:pt idx="3">
                  <c:v>18909.544107264643</c:v>
                </c:pt>
                <c:pt idx="4">
                  <c:v>26437.320819858767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698-45D9-8D94-F9EF1DA59B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4049976"/>
        <c:axId val="364043088"/>
      </c:barChart>
      <c:catAx>
        <c:axId val="364049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364043088"/>
        <c:crosses val="autoZero"/>
        <c:auto val="1"/>
        <c:lblAlgn val="ctr"/>
        <c:lblOffset val="100"/>
        <c:noMultiLvlLbl val="0"/>
      </c:catAx>
      <c:valAx>
        <c:axId val="36404308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PBDIT Vs PBIT(Cr)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364049976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Book Value  Per Share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Book Value  Per Share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2343-43C0-BDF3-FE54C47B677F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2343-43C0-BDF3-FE54C47B677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Book_Value__Per_Share!$C$3:$G$3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Book_Value__Per_Share!$C$8:$G$8</c:f>
              <c:numCache>
                <c:formatCode>General</c:formatCode>
                <c:ptCount val="5"/>
                <c:pt idx="0">
                  <c:v>695.56</c:v>
                </c:pt>
                <c:pt idx="1">
                  <c:v>765.23</c:v>
                </c:pt>
                <c:pt idx="2">
                  <c:v>717.04</c:v>
                </c:pt>
                <c:pt idx="3">
                  <c:v>749.42</c:v>
                </c:pt>
                <c:pt idx="4">
                  <c:v>591.89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343-43C0-BDF3-FE54C47B67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3065696"/>
        <c:axId val="453066680"/>
      </c:lineChart>
      <c:catAx>
        <c:axId val="453065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3066680"/>
        <c:crosses val="autoZero"/>
        <c:auto val="0"/>
        <c:lblAlgn val="ctr"/>
        <c:lblOffset val="100"/>
        <c:noMultiLvlLbl val="0"/>
      </c:catAx>
      <c:valAx>
        <c:axId val="45306668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5306569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Current Assets Vs Current Liabilites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Current Assets</c:v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CAvsCL!$C$4:$G$4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CAvsCL!$C$5:$G$5</c:f>
              <c:numCache>
                <c:formatCode>.00</c:formatCode>
                <c:ptCount val="5"/>
                <c:pt idx="0">
                  <c:v>8604.4</c:v>
                </c:pt>
                <c:pt idx="1">
                  <c:v>24577.63084834144</c:v>
                </c:pt>
                <c:pt idx="2">
                  <c:v>42513.677350109792</c:v>
                </c:pt>
                <c:pt idx="3">
                  <c:v>61622.421457374439</c:v>
                </c:pt>
                <c:pt idx="4">
                  <c:v>90858.742277233192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4E4-4234-8B3F-E3F16A8CFDCB}"/>
            </c:ext>
          </c:extLst>
        </c:ser>
        <c:ser>
          <c:idx val="1"/>
          <c:order val="1"/>
          <c:tx>
            <c:v>Total Current Liabilities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CAvsCL!$C$6:$G$6</c:f>
              <c:numCache>
                <c:formatCode>.00</c:formatCode>
                <c:ptCount val="5"/>
                <c:pt idx="0">
                  <c:v>16950.099999999999</c:v>
                </c:pt>
                <c:pt idx="1">
                  <c:v>16087.5</c:v>
                </c:pt>
                <c:pt idx="2">
                  <c:v>13426.300000000001</c:v>
                </c:pt>
                <c:pt idx="3">
                  <c:v>17845.099999999999</c:v>
                </c:pt>
                <c:pt idx="4">
                  <c:v>18940.099999999999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4E4-4234-8B3F-E3F16A8CFD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5812992"/>
        <c:axId val="555810696"/>
      </c:barChart>
      <c:catAx>
        <c:axId val="555812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5810696"/>
        <c:crosses val="autoZero"/>
        <c:auto val="1"/>
        <c:lblAlgn val="ctr"/>
        <c:lblOffset val="100"/>
        <c:noMultiLvlLbl val="0"/>
      </c:catAx>
      <c:valAx>
        <c:axId val="55581069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Cur Assets Vs Cur Liabilities(Cr)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5812992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Long Term Vs Short Term Provisions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Long Term Provisions</c:v>
          </c:tx>
          <c:spPr>
            <a:ln w="38100">
              <a:solidFill>
                <a:srgbClr val="E0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Long_And_Short_Term_Provisions!$C$4:$G$4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Long_And_Short_Term_Provisions!$C$5:$G$5</c:f>
              <c:numCache>
                <c:formatCode>.00</c:formatCode>
                <c:ptCount val="5"/>
                <c:pt idx="0">
                  <c:v>26.5</c:v>
                </c:pt>
                <c:pt idx="1">
                  <c:v>39.5</c:v>
                </c:pt>
                <c:pt idx="2">
                  <c:v>51.6</c:v>
                </c:pt>
                <c:pt idx="3">
                  <c:v>44.7</c:v>
                </c:pt>
                <c:pt idx="4">
                  <c:v>84.4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FCD-4D70-995C-6E15202ACB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6435928"/>
        <c:axId val="556437568"/>
      </c:lineChart>
      <c:lineChart>
        <c:grouping val="standard"/>
        <c:varyColors val="0"/>
        <c:ser>
          <c:idx val="1"/>
          <c:order val="1"/>
          <c:tx>
            <c:v>Short Term Provisions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Long_And_Short_Term_Provisions!$C$6:$G$6</c:f>
              <c:numCache>
                <c:formatCode>.00</c:formatCode>
                <c:ptCount val="5"/>
                <c:pt idx="0">
                  <c:v>560.9</c:v>
                </c:pt>
                <c:pt idx="1">
                  <c:v>625.4</c:v>
                </c:pt>
                <c:pt idx="2">
                  <c:v>680.7</c:v>
                </c:pt>
                <c:pt idx="3">
                  <c:v>742.8</c:v>
                </c:pt>
                <c:pt idx="4">
                  <c:v>861.3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FCD-4D70-995C-6E15202ACB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2885672"/>
        <c:axId val="622885016"/>
      </c:lineChart>
      <c:catAx>
        <c:axId val="556435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56437568"/>
        <c:crosses val="autoZero"/>
        <c:auto val="1"/>
        <c:lblAlgn val="ctr"/>
        <c:lblOffset val="100"/>
        <c:noMultiLvlLbl val="0"/>
      </c:catAx>
      <c:valAx>
        <c:axId val="55643756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Long Term Provisions(Cr)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6435928"/>
        <c:crosses val="autoZero"/>
        <c:crossBetween val="between"/>
      </c:valAx>
      <c:valAx>
        <c:axId val="622885016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Short Term Provisions(Cr)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622885672"/>
        <c:crosses val="max"/>
        <c:crossBetween val="between"/>
      </c:valAx>
      <c:catAx>
        <c:axId val="622885672"/>
        <c:scaling>
          <c:orientation val="minMax"/>
        </c:scaling>
        <c:delete val="1"/>
        <c:axPos val="b"/>
        <c:majorTickMark val="out"/>
        <c:minorTickMark val="none"/>
        <c:tickLblPos val="nextTo"/>
        <c:crossAx val="622885016"/>
        <c:crosses val="autoZero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Cost Of Material Vs Direct Expenses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Cost Of Materials Consumed</c:v>
          </c:tx>
          <c:spPr>
            <a:ln w="38100">
              <a:solidFill>
                <a:srgbClr val="E0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MaterialConsumed_DirectExpenses!$C$4:$G$4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MaterialConsumed_DirectExpenses!$C$5:$G$5</c:f>
              <c:numCache>
                <c:formatCode>.00</c:formatCode>
                <c:ptCount val="5"/>
                <c:pt idx="0">
                  <c:v>44943.199999999997</c:v>
                </c:pt>
                <c:pt idx="1">
                  <c:v>45025.7</c:v>
                </c:pt>
                <c:pt idx="2">
                  <c:v>34634.800000000003</c:v>
                </c:pt>
                <c:pt idx="3">
                  <c:v>33296.400000000001</c:v>
                </c:pt>
                <c:pt idx="4">
                  <c:v>39739.599999999999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C63-462C-90CA-14AE2418CE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2884032"/>
        <c:axId val="622881736"/>
      </c:lineChart>
      <c:lineChart>
        <c:grouping val="standard"/>
        <c:varyColors val="0"/>
        <c:ser>
          <c:idx val="1"/>
          <c:order val="1"/>
          <c:tx>
            <c:v>Operating And Direct Expenses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MaterialConsumed_DirectExpenses!$C$6:$G$6</c:f>
              <c:numCache>
                <c:formatCode>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C63-462C-90CA-14AE2418CE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0416824"/>
        <c:axId val="621089208"/>
      </c:lineChart>
      <c:catAx>
        <c:axId val="622884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22881736"/>
        <c:crosses val="autoZero"/>
        <c:auto val="1"/>
        <c:lblAlgn val="ctr"/>
        <c:lblOffset val="100"/>
        <c:noMultiLvlLbl val="0"/>
      </c:catAx>
      <c:valAx>
        <c:axId val="62288173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Cost of Material Consumed(Cr)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2884032"/>
        <c:crosses val="autoZero"/>
        <c:crossBetween val="between"/>
      </c:valAx>
      <c:valAx>
        <c:axId val="621089208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Operating And Direct Expenses(Cr)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560416824"/>
        <c:crosses val="max"/>
        <c:crossBetween val="between"/>
      </c:valAx>
      <c:catAx>
        <c:axId val="560416824"/>
        <c:scaling>
          <c:orientation val="minMax"/>
        </c:scaling>
        <c:delete val="1"/>
        <c:axPos val="b"/>
        <c:majorTickMark val="out"/>
        <c:minorTickMark val="none"/>
        <c:tickLblPos val="nextTo"/>
        <c:crossAx val="621089208"/>
        <c:crosses val="autoZero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Gross Sales In Total Income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Gross Sales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Gross_Sales_In_Total_Income!$C$4:$G$4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Gross_Sales_In_Total_Income!$C$5:$G$5</c:f>
              <c:numCache>
                <c:formatCode>.00</c:formatCode>
                <c:ptCount val="5"/>
                <c:pt idx="0">
                  <c:v>80348.800000000003</c:v>
                </c:pt>
                <c:pt idx="1">
                  <c:v>83038.5</c:v>
                </c:pt>
                <c:pt idx="2">
                  <c:v>71704.800000000003</c:v>
                </c:pt>
                <c:pt idx="3">
                  <c:v>66571.8</c:v>
                </c:pt>
                <c:pt idx="4">
                  <c:v>83799.8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801-4A43-AFEB-9AF97DF02A69}"/>
            </c:ext>
          </c:extLst>
        </c:ser>
        <c:ser>
          <c:idx val="1"/>
          <c:order val="1"/>
          <c:tx>
            <c:v>Total Income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Gross_Sales_In_Total_Income!$C$6:$G$6</c:f>
              <c:numCache>
                <c:formatCode>.00</c:formatCode>
                <c:ptCount val="5"/>
                <c:pt idx="0">
                  <c:v>80163.897686337572</c:v>
                </c:pt>
                <c:pt idx="1">
                  <c:v>85601.130848341432</c:v>
                </c:pt>
                <c:pt idx="2">
                  <c:v>75040.246501768357</c:v>
                </c:pt>
                <c:pt idx="3">
                  <c:v>69509.144107264641</c:v>
                </c:pt>
                <c:pt idx="4">
                  <c:v>85545.520819858764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801-4A43-AFEB-9AF97DF02A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46949056"/>
        <c:axId val="546948400"/>
      </c:barChart>
      <c:catAx>
        <c:axId val="546949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6948400"/>
        <c:crosses val="autoZero"/>
        <c:auto val="1"/>
        <c:lblAlgn val="ctr"/>
        <c:lblOffset val="100"/>
        <c:noMultiLvlLbl val="0"/>
      </c:catAx>
      <c:valAx>
        <c:axId val="54694840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6949056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Debt in Liabilities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Liabilities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Total_Debt_In_Liabilities!$C$4:$G$4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Total_Debt_In_Liabilities!$C$5:$G$5</c:f>
              <c:numCache>
                <c:formatCode>.00</c:formatCode>
                <c:ptCount val="5"/>
                <c:pt idx="0">
                  <c:v>60248.4</c:v>
                </c:pt>
                <c:pt idx="1">
                  <c:v>76104.630848341447</c:v>
                </c:pt>
                <c:pt idx="2">
                  <c:v>90541.177350109792</c:v>
                </c:pt>
                <c:pt idx="3">
                  <c:v>111171.92145737444</c:v>
                </c:pt>
                <c:pt idx="4">
                  <c:v>137204.8422772332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8F-420C-8D13-F591ECD2305C}"/>
            </c:ext>
          </c:extLst>
        </c:ser>
        <c:ser>
          <c:idx val="1"/>
          <c:order val="1"/>
          <c:tx>
            <c:v>Total Debt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Total_Debt_In_Liabilities!$C$6:$G$6</c:f>
              <c:numCache>
                <c:formatCode>.00</c:formatCode>
                <c:ptCount val="5"/>
                <c:pt idx="0">
                  <c:v>722.8</c:v>
                </c:pt>
                <c:pt idx="1">
                  <c:v>771.5</c:v>
                </c:pt>
                <c:pt idx="2">
                  <c:v>769.19999999999993</c:v>
                </c:pt>
                <c:pt idx="3">
                  <c:v>937</c:v>
                </c:pt>
                <c:pt idx="4">
                  <c:v>381.9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8F-420C-8D13-F591ECD230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50194096"/>
        <c:axId val="450195736"/>
      </c:barChart>
      <c:catAx>
        <c:axId val="450194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0195736"/>
        <c:crosses val="autoZero"/>
        <c:auto val="1"/>
        <c:lblAlgn val="ctr"/>
        <c:lblOffset val="100"/>
        <c:noMultiLvlLbl val="0"/>
      </c:catAx>
      <c:valAx>
        <c:axId val="45019573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0194096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CL in Liabilities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Liabilities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Total_CL_In_Liabilities!$C$4:$G$4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Total_CL_In_Liabilities!$C$5:$G$5</c:f>
              <c:numCache>
                <c:formatCode>.00</c:formatCode>
                <c:ptCount val="5"/>
                <c:pt idx="0">
                  <c:v>60248.4</c:v>
                </c:pt>
                <c:pt idx="1">
                  <c:v>76104.630848341447</c:v>
                </c:pt>
                <c:pt idx="2">
                  <c:v>90541.177350109792</c:v>
                </c:pt>
                <c:pt idx="3">
                  <c:v>111171.92145737444</c:v>
                </c:pt>
                <c:pt idx="4">
                  <c:v>137204.8422772332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634-4E66-937E-95BBC69BE75C}"/>
            </c:ext>
          </c:extLst>
        </c:ser>
        <c:ser>
          <c:idx val="1"/>
          <c:order val="1"/>
          <c:tx>
            <c:v>Total Current Liabilities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Total_CL_In_Liabilities!$C$6:$G$6</c:f>
              <c:numCache>
                <c:formatCode>.00</c:formatCode>
                <c:ptCount val="5"/>
                <c:pt idx="0">
                  <c:v>16950.099999999999</c:v>
                </c:pt>
                <c:pt idx="1">
                  <c:v>16087.5</c:v>
                </c:pt>
                <c:pt idx="2">
                  <c:v>13426.300000000001</c:v>
                </c:pt>
                <c:pt idx="3">
                  <c:v>17845.099999999999</c:v>
                </c:pt>
                <c:pt idx="4">
                  <c:v>18940.099999999999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634-4E66-937E-95BBC69BE7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48825648"/>
        <c:axId val="448824336"/>
      </c:barChart>
      <c:catAx>
        <c:axId val="448825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8824336"/>
        <c:crosses val="autoZero"/>
        <c:auto val="1"/>
        <c:lblAlgn val="ctr"/>
        <c:lblOffset val="100"/>
        <c:noMultiLvlLbl val="0"/>
      </c:catAx>
      <c:valAx>
        <c:axId val="44882433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8825648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FA in Assets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Assets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Total_NCA_In_Assets!$C$4:$G$4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Total_NCA_In_Assets!$C$5:$G$5</c:f>
              <c:numCache>
                <c:formatCode>.00</c:formatCode>
                <c:ptCount val="5"/>
                <c:pt idx="0">
                  <c:v>60248.400000000009</c:v>
                </c:pt>
                <c:pt idx="1">
                  <c:v>76104.630848341447</c:v>
                </c:pt>
                <c:pt idx="2">
                  <c:v>90541.177350109792</c:v>
                </c:pt>
                <c:pt idx="3">
                  <c:v>111171.92145737444</c:v>
                </c:pt>
                <c:pt idx="4">
                  <c:v>137204.8422772332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85E-4D61-8798-3D3538354358}"/>
            </c:ext>
          </c:extLst>
        </c:ser>
        <c:ser>
          <c:idx val="1"/>
          <c:order val="1"/>
          <c:tx>
            <c:v>Total Non Current Assets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Total_NCA_In_Assets!$C$6:$G$6</c:f>
              <c:numCache>
                <c:formatCode>.00</c:formatCode>
                <c:ptCount val="5"/>
                <c:pt idx="0">
                  <c:v>51644.000000000007</c:v>
                </c:pt>
                <c:pt idx="1">
                  <c:v>51527</c:v>
                </c:pt>
                <c:pt idx="2">
                  <c:v>48027.5</c:v>
                </c:pt>
                <c:pt idx="3">
                  <c:v>49549.5</c:v>
                </c:pt>
                <c:pt idx="4">
                  <c:v>46346.1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85E-4D61-8798-3D35383543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50775792"/>
        <c:axId val="623733896"/>
      </c:barChart>
      <c:catAx>
        <c:axId val="550775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3733896"/>
        <c:crosses val="autoZero"/>
        <c:auto val="1"/>
        <c:lblAlgn val="ctr"/>
        <c:lblOffset val="100"/>
        <c:noMultiLvlLbl val="0"/>
      </c:catAx>
      <c:valAx>
        <c:axId val="62373389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0775792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CA in Assets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Assets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Total_CA_In_Assets!$C$4:$G$4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Total_CA_In_Assets!$C$5:$G$5</c:f>
              <c:numCache>
                <c:formatCode>.00</c:formatCode>
                <c:ptCount val="5"/>
                <c:pt idx="0">
                  <c:v>60248.400000000009</c:v>
                </c:pt>
                <c:pt idx="1">
                  <c:v>76104.630848341447</c:v>
                </c:pt>
                <c:pt idx="2">
                  <c:v>90541.177350109792</c:v>
                </c:pt>
                <c:pt idx="3">
                  <c:v>111171.92145737444</c:v>
                </c:pt>
                <c:pt idx="4">
                  <c:v>137204.8422772332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FB5-4DD5-BCE3-784774EF101F}"/>
            </c:ext>
          </c:extLst>
        </c:ser>
        <c:ser>
          <c:idx val="1"/>
          <c:order val="1"/>
          <c:tx>
            <c:v>Total Current Assets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Total_CA_In_Assets!$C$6:$G$6</c:f>
              <c:numCache>
                <c:formatCode>.00</c:formatCode>
                <c:ptCount val="5"/>
                <c:pt idx="0">
                  <c:v>8604.4</c:v>
                </c:pt>
                <c:pt idx="1">
                  <c:v>24577.63084834144</c:v>
                </c:pt>
                <c:pt idx="2">
                  <c:v>42513.677350109792</c:v>
                </c:pt>
                <c:pt idx="3">
                  <c:v>61622.421457374439</c:v>
                </c:pt>
                <c:pt idx="4">
                  <c:v>90858.742277233192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FB5-4DD5-BCE3-784774EF10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23728648"/>
        <c:axId val="623731272"/>
      </c:barChart>
      <c:catAx>
        <c:axId val="623728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3731272"/>
        <c:crosses val="autoZero"/>
        <c:auto val="1"/>
        <c:lblAlgn val="ctr"/>
        <c:lblOffset val="100"/>
        <c:noMultiLvlLbl val="0"/>
      </c:catAx>
      <c:valAx>
        <c:axId val="62373127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3728648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CA in Assets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Expenditure</c:v>
          </c:tx>
          <c:spPr>
            <a:solidFill>
              <a:srgbClr val="0000FF"/>
            </a:solidFill>
            <a:ln w="38100"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TotalExpenditureVsTotalIncome!$C$4:$G$4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TotalExpenditureVsTotalIncome!$C$5:$G$5</c:f>
              <c:numCache>
                <c:formatCode>.00</c:formatCode>
                <c:ptCount val="5"/>
                <c:pt idx="0">
                  <c:v>57802.2</c:v>
                </c:pt>
                <c:pt idx="1">
                  <c:v>59949.2</c:v>
                </c:pt>
                <c:pt idx="2">
                  <c:v>49940.6</c:v>
                </c:pt>
                <c:pt idx="3">
                  <c:v>47565.5</c:v>
                </c:pt>
                <c:pt idx="4">
                  <c:v>56319.199999999997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AA7-4A43-845D-B378A9AFE6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9964904"/>
        <c:axId val="559962608"/>
      </c:barChart>
      <c:lineChart>
        <c:grouping val="standard"/>
        <c:varyColors val="0"/>
        <c:ser>
          <c:idx val="1"/>
          <c:order val="1"/>
          <c:tx>
            <c:v>Total Income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TotalExpenditureVsTotalIncome!$C$6:$G$6</c:f>
              <c:numCache>
                <c:formatCode>.00</c:formatCode>
                <c:ptCount val="5"/>
                <c:pt idx="0">
                  <c:v>80163.897686337572</c:v>
                </c:pt>
                <c:pt idx="1">
                  <c:v>85601.130848341432</c:v>
                </c:pt>
                <c:pt idx="2">
                  <c:v>75040.246501768357</c:v>
                </c:pt>
                <c:pt idx="3">
                  <c:v>69509.144107264641</c:v>
                </c:pt>
                <c:pt idx="4">
                  <c:v>85545.520819858764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AA7-4A43-845D-B378A9AFE6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9963920"/>
        <c:axId val="559962280"/>
      </c:lineChart>
      <c:catAx>
        <c:axId val="559964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9962608"/>
        <c:crosses val="autoZero"/>
        <c:auto val="1"/>
        <c:lblAlgn val="ctr"/>
        <c:lblOffset val="100"/>
        <c:noMultiLvlLbl val="0"/>
      </c:catAx>
      <c:valAx>
        <c:axId val="55996260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Total Expenditure(Cr)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9964904"/>
        <c:crosses val="autoZero"/>
        <c:crossBetween val="between"/>
      </c:valAx>
      <c:valAx>
        <c:axId val="559962280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Total Income(Cr)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559963920"/>
        <c:crosses val="max"/>
        <c:crossBetween val="between"/>
      </c:valAx>
      <c:catAx>
        <c:axId val="559963920"/>
        <c:scaling>
          <c:orientation val="minMax"/>
        </c:scaling>
        <c:delete val="1"/>
        <c:axPos val="b"/>
        <c:majorTickMark val="out"/>
        <c:minorTickMark val="none"/>
        <c:tickLblPos val="nextTo"/>
        <c:crossAx val="559962280"/>
        <c:crosses val="autoZero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Amt C\F to Balance Sheet In Profit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Amount C\F to Balance Sheet</c:v>
          </c:tx>
          <c:spPr>
            <a:solidFill>
              <a:srgbClr val="0000FF"/>
            </a:solidFill>
            <a:ln w="38100"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Net_Profit_CF_To_Balance_Sheet!$C$4:$G$4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Net_Profit_CF_To_Balance_Sheet!$C$5:$G$5</c:f>
              <c:numCache>
                <c:formatCode>.00</c:formatCode>
                <c:ptCount val="5"/>
                <c:pt idx="0">
                  <c:v>13243.097686337574</c:v>
                </c:pt>
                <c:pt idx="1">
                  <c:v>16668.630848341436</c:v>
                </c:pt>
                <c:pt idx="2">
                  <c:v>17098.446501768358</c:v>
                </c:pt>
                <c:pt idx="3">
                  <c:v>16063.344107264642</c:v>
                </c:pt>
                <c:pt idx="4">
                  <c:v>25493.020819858768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BD3-424D-8FAE-55C665570A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9961952"/>
        <c:axId val="559962936"/>
      </c:barChart>
      <c:lineChart>
        <c:grouping val="standard"/>
        <c:varyColors val="0"/>
        <c:ser>
          <c:idx val="1"/>
          <c:order val="1"/>
          <c:tx>
            <c:v>Reported Net Profit(PAT)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Net_Profit_CF_To_Balance_Sheet!$C$6:$G$6</c:f>
              <c:numCache>
                <c:formatCode>.00</c:formatCode>
                <c:ptCount val="5"/>
                <c:pt idx="0">
                  <c:v>15969.897686337576</c:v>
                </c:pt>
                <c:pt idx="1">
                  <c:v>19582.030848341434</c:v>
                </c:pt>
                <c:pt idx="2">
                  <c:v>20011.846501768356</c:v>
                </c:pt>
                <c:pt idx="3">
                  <c:v>17875.844107264642</c:v>
                </c:pt>
                <c:pt idx="4">
                  <c:v>25493.020819858768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BD3-424D-8FAE-55C665570A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9954408"/>
        <c:axId val="559958344"/>
      </c:lineChart>
      <c:catAx>
        <c:axId val="559961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9962936"/>
        <c:crosses val="autoZero"/>
        <c:auto val="1"/>
        <c:lblAlgn val="ctr"/>
        <c:lblOffset val="100"/>
        <c:noMultiLvlLbl val="0"/>
      </c:catAx>
      <c:valAx>
        <c:axId val="55996293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Amount CF To Balance Sheet(in 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9961952"/>
        <c:crosses val="autoZero"/>
        <c:crossBetween val="between"/>
      </c:valAx>
      <c:valAx>
        <c:axId val="559958344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Total Income(Cr)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559954408"/>
        <c:crosses val="max"/>
        <c:crossBetween val="between"/>
      </c:valAx>
      <c:catAx>
        <c:axId val="559954408"/>
        <c:scaling>
          <c:orientation val="minMax"/>
        </c:scaling>
        <c:delete val="1"/>
        <c:axPos val="b"/>
        <c:majorTickMark val="out"/>
        <c:minorTickMark val="none"/>
        <c:tickLblPos val="nextTo"/>
        <c:crossAx val="559958344"/>
        <c:crosses val="autoZero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Dividend Pay Out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Dividend Pay Out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44F3-4FDA-8AFA-FFAD33003C2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Dividend_Pay_Out_Ratio!$C$3:$G$3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Dividend_Pay_Out_Ratio!$C$12:$G$12</c:f>
              <c:numCache>
                <c:formatCode>General</c:formatCode>
                <c:ptCount val="5"/>
                <c:pt idx="0">
                  <c:v>0.14000000000000001</c:v>
                </c:pt>
                <c:pt idx="1">
                  <c:v>0.12</c:v>
                </c:pt>
                <c:pt idx="2">
                  <c:v>0.12</c:v>
                </c:pt>
                <c:pt idx="3">
                  <c:v>0.1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4F3-4FDA-8AFA-FFAD33003C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6751008"/>
        <c:axId val="446752320"/>
      </c:lineChart>
      <c:catAx>
        <c:axId val="446751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6752320"/>
        <c:crosses val="autoZero"/>
        <c:auto val="0"/>
        <c:lblAlgn val="ctr"/>
        <c:lblOffset val="100"/>
        <c:noMultiLvlLbl val="0"/>
      </c:catAx>
      <c:valAx>
        <c:axId val="44675232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675100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Dividend Retention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Dividend Retention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9FC0-4784-A65C-E745012F594F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9FC0-4784-A65C-E745012F594F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9FC0-4784-A65C-E745012F594F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9FC0-4784-A65C-E745012F594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Dividend_Retention_Ratio!$C$3:$G$3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Dividend_Retention_Ratio!$C$9:$G$9</c:f>
              <c:numCache>
                <c:formatCode>0.00%</c:formatCode>
                <c:ptCount val="5"/>
                <c:pt idx="0">
                  <c:v>-36.03</c:v>
                </c:pt>
                <c:pt idx="1">
                  <c:v>-30.22</c:v>
                </c:pt>
                <c:pt idx="2">
                  <c:v>-21.7</c:v>
                </c:pt>
                <c:pt idx="3">
                  <c:v>-13.7</c:v>
                </c:pt>
                <c:pt idx="4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FC0-4784-A65C-E745012F59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1096096"/>
        <c:axId val="621090848"/>
      </c:lineChart>
      <c:catAx>
        <c:axId val="621096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1090848"/>
        <c:crosses val="autoZero"/>
        <c:auto val="0"/>
        <c:lblAlgn val="ctr"/>
        <c:lblOffset val="100"/>
        <c:noMultiLvlLbl val="0"/>
      </c:catAx>
      <c:valAx>
        <c:axId val="62109084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62109609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Gross Profit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Gross Profit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203C-4789-BF15-8FD7FC2F3ABF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203C-4789-BF15-8FD7FC2F3AB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Gross_Profit!$C$3:$G$3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Gross_Profit!$C$8:$G$8</c:f>
              <c:numCache>
                <c:formatCode>.00</c:formatCode>
                <c:ptCount val="5"/>
                <c:pt idx="0">
                  <c:v>35405.599999999999</c:v>
                </c:pt>
                <c:pt idx="1">
                  <c:v>38012.800000000003</c:v>
                </c:pt>
                <c:pt idx="2">
                  <c:v>37070</c:v>
                </c:pt>
                <c:pt idx="3">
                  <c:v>33275.4</c:v>
                </c:pt>
                <c:pt idx="4">
                  <c:v>44060.2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03C-4789-BF15-8FD7FC2F3A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5561752"/>
        <c:axId val="555560768"/>
      </c:lineChart>
      <c:catAx>
        <c:axId val="555561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5560768"/>
        <c:crosses val="autoZero"/>
        <c:auto val="0"/>
        <c:lblAlgn val="ctr"/>
        <c:lblOffset val="100"/>
        <c:noMultiLvlLbl val="0"/>
      </c:catAx>
      <c:valAx>
        <c:axId val="55556076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55556175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Net Profit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Net Profit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95D4-4223-A4EF-FC0D4E36D32D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95D4-4223-A4EF-FC0D4E36D32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Net_Profit!$C$3:$G$3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Net_Profit!$C$8:$G$8</c:f>
              <c:numCache>
                <c:formatCode>.00</c:formatCode>
                <c:ptCount val="5"/>
                <c:pt idx="0">
                  <c:v>22546.6</c:v>
                </c:pt>
                <c:pt idx="1">
                  <c:v>23089.3</c:v>
                </c:pt>
                <c:pt idx="2">
                  <c:v>21764.2</c:v>
                </c:pt>
                <c:pt idx="3">
                  <c:v>19006.3</c:v>
                </c:pt>
                <c:pt idx="4">
                  <c:v>27480.6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5D4-4223-A4EF-FC0D4E36D3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1089864"/>
        <c:axId val="621092488"/>
      </c:lineChart>
      <c:catAx>
        <c:axId val="621089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1092488"/>
        <c:crosses val="autoZero"/>
        <c:auto val="0"/>
        <c:lblAlgn val="ctr"/>
        <c:lblOffset val="100"/>
        <c:noMultiLvlLbl val="0"/>
      </c:catAx>
      <c:valAx>
        <c:axId val="62109248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62108986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Return On Assets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Return On Assets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7C8E-4AA7-BE86-45674E6ABFD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Return_On_Assets!$C$3:$G$3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Return_On_Assets!$C$8:$G$8</c:f>
              <c:numCache>
                <c:formatCode>0.00%</c:formatCode>
                <c:ptCount val="5"/>
                <c:pt idx="0">
                  <c:v>0.27</c:v>
                </c:pt>
                <c:pt idx="1">
                  <c:v>0.26</c:v>
                </c:pt>
                <c:pt idx="2">
                  <c:v>0.22</c:v>
                </c:pt>
                <c:pt idx="3">
                  <c:v>0.16</c:v>
                </c:pt>
                <c:pt idx="4">
                  <c:v>0.19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C8E-4AA7-BE86-45674E6ABF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6750024"/>
        <c:axId val="446756584"/>
      </c:lineChart>
      <c:catAx>
        <c:axId val="446750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6756584"/>
        <c:crosses val="autoZero"/>
        <c:auto val="0"/>
        <c:lblAlgn val="ctr"/>
        <c:lblOffset val="100"/>
        <c:noMultiLvlLbl val="0"/>
      </c:catAx>
      <c:valAx>
        <c:axId val="44675658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44675002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Return On Capital Employeed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Return On Capital Employeed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EEB6-45EC-8151-2E474E88F37A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EEB6-45EC-8151-2E474E88F37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Return_On_Capital_Employeed!$C$3:$G$3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Return_On_Capital_Employeed!$C$9:$G$9</c:f>
              <c:numCache>
                <c:formatCode>0.00%</c:formatCode>
                <c:ptCount val="5"/>
                <c:pt idx="0">
                  <c:v>13.56</c:v>
                </c:pt>
                <c:pt idx="1">
                  <c:v>14.67</c:v>
                </c:pt>
                <c:pt idx="2">
                  <c:v>14.02</c:v>
                </c:pt>
                <c:pt idx="3">
                  <c:v>10.09</c:v>
                </c:pt>
                <c:pt idx="4">
                  <c:v>34.61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EEB6-45EC-8151-2E474E88F3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6757240"/>
        <c:axId val="446748712"/>
      </c:lineChart>
      <c:catAx>
        <c:axId val="446757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6748712"/>
        <c:crosses val="autoZero"/>
        <c:auto val="0"/>
        <c:lblAlgn val="ctr"/>
        <c:lblOffset val="100"/>
        <c:noMultiLvlLbl val="0"/>
      </c:catAx>
      <c:valAx>
        <c:axId val="44674871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44675724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7.xml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8.xml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9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CA48ED0-4D2A-FBD5-DCD4-C837570D53E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AACA473-5B72-9B0B-8467-FF3CA1E0DEE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A6CA415-9821-D10F-3706-AE0A6485324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5D32B44-673A-4C12-DB04-87B23ADA1E1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0</xdr:colOff>
      <xdr:row>27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7282750-67D5-31CB-D148-15319B02FB3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1595306-F43A-5345-6F54-451894B58F2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84ACA4C-F886-93AC-5DAE-1BD17F6BA09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477AAB3-62E9-3D03-6CAB-66A4EFC2D9E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04983C4-206A-C7BB-93C0-F31DB200582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A701499-9DFC-138F-F01E-0EAAD33769D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B6BA4A2-9EB0-868D-E4F5-F696435E6A2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DC176B3-5F89-8E98-6F1E-62F7B907F1B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AA9A1D1-AE28-F4E8-4011-C9187F9CA98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45A0B67-9B44-23ED-3321-D28D258E88D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C4FBE9F-8B14-BD62-4034-2190B9B45EE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0190D18-E310-743F-2A93-8BBB28B185F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99455EB-0C78-51B9-E643-B0B6E117688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0E4BADE-7DAC-149A-0B7D-67F09D5BC9B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0</xdr:rowOff>
    </xdr:from>
    <xdr:to>
      <xdr:col>8</xdr:col>
      <xdr:colOff>0</xdr:colOff>
      <xdr:row>30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31D1DE2-5097-2EA5-45D8-E3C33B01E15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17</xdr:row>
      <xdr:rowOff>0</xdr:rowOff>
    </xdr:from>
    <xdr:to>
      <xdr:col>8</xdr:col>
      <xdr:colOff>0</xdr:colOff>
      <xdr:row>34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1F54610-DAF7-1A58-8CF6-896D474B428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NetWorth_TotalLiabilities">
          <a:extLst>
            <a:ext uri="{FF2B5EF4-FFF2-40B4-BE49-F238E27FC236}">
              <a16:creationId xmlns:a16="http://schemas.microsoft.com/office/drawing/2014/main" id="{CECD2D8E-F393-3DAF-D2AC-67EF6D0B492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PBDIT_PBIT">
          <a:extLst>
            <a:ext uri="{FF2B5EF4-FFF2-40B4-BE49-F238E27FC236}">
              <a16:creationId xmlns:a16="http://schemas.microsoft.com/office/drawing/2014/main" id="{031430D0-83E7-260A-27FB-16D48CBB8B3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8AC8686-D514-B1DB-FFEB-1B952F13019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AvsCL">
          <a:extLst>
            <a:ext uri="{FF2B5EF4-FFF2-40B4-BE49-F238E27FC236}">
              <a16:creationId xmlns:a16="http://schemas.microsoft.com/office/drawing/2014/main" id="{A350AC11-43FF-673E-9C57-8879D12BD95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Long And Short Term Provisions">
          <a:extLst>
            <a:ext uri="{FF2B5EF4-FFF2-40B4-BE49-F238E27FC236}">
              <a16:creationId xmlns:a16="http://schemas.microsoft.com/office/drawing/2014/main" id="{A9ED5B28-906C-6199-BE7C-DE956C00453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MaterialConsumed">
          <a:extLst>
            <a:ext uri="{FF2B5EF4-FFF2-40B4-BE49-F238E27FC236}">
              <a16:creationId xmlns:a16="http://schemas.microsoft.com/office/drawing/2014/main" id="{A99D3CD8-507C-1F3F-931F-8DBF200BE9A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GrossSales_Income">
          <a:extLst>
            <a:ext uri="{FF2B5EF4-FFF2-40B4-BE49-F238E27FC236}">
              <a16:creationId xmlns:a16="http://schemas.microsoft.com/office/drawing/2014/main" id="{BEEEF32F-CE2A-2C52-ECE0-0BCCBA2FCF0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DebtVsLiablilites">
          <a:extLst>
            <a:ext uri="{FF2B5EF4-FFF2-40B4-BE49-F238E27FC236}">
              <a16:creationId xmlns:a16="http://schemas.microsoft.com/office/drawing/2014/main" id="{59E1F5DD-6B18-9180-AC05-401ACC3E043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LVsLiablilites">
          <a:extLst>
            <a:ext uri="{FF2B5EF4-FFF2-40B4-BE49-F238E27FC236}">
              <a16:creationId xmlns:a16="http://schemas.microsoft.com/office/drawing/2014/main" id="{4A2AA127-3AD0-DEB5-5A22-C420229E1B8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FA_Vs_Assets">
          <a:extLst>
            <a:ext uri="{FF2B5EF4-FFF2-40B4-BE49-F238E27FC236}">
              <a16:creationId xmlns:a16="http://schemas.microsoft.com/office/drawing/2014/main" id="{9EB63D67-4B25-0C0C-C503-DFE2380F876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AVsAssets">
          <a:extLst>
            <a:ext uri="{FF2B5EF4-FFF2-40B4-BE49-F238E27FC236}">
              <a16:creationId xmlns:a16="http://schemas.microsoft.com/office/drawing/2014/main" id="{189D7BB8-3232-C853-DCE8-2FCE018160C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AVsAssets">
          <a:extLst>
            <a:ext uri="{FF2B5EF4-FFF2-40B4-BE49-F238E27FC236}">
              <a16:creationId xmlns:a16="http://schemas.microsoft.com/office/drawing/2014/main" id="{A236FE45-2514-3304-66A8-54654D18E80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AmountCFToBS">
          <a:extLst>
            <a:ext uri="{FF2B5EF4-FFF2-40B4-BE49-F238E27FC236}">
              <a16:creationId xmlns:a16="http://schemas.microsoft.com/office/drawing/2014/main" id="{EB5231CC-902A-9341-E1A0-1229657A23E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0</xdr:rowOff>
    </xdr:from>
    <xdr:to>
      <xdr:col>8</xdr:col>
      <xdr:colOff>0</xdr:colOff>
      <xdr:row>30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2F52E9D-B6C6-E304-EB4E-2A41E9B47AF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0</xdr:colOff>
      <xdr:row>27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E4036C6-D6F7-666B-E5AB-1B3A36EB213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E1AC091-33D8-861E-D1C7-9B2D39A1A25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3D07C79-245F-85D5-3E0E-EB0CED3C5E8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BDF1BBD-EC1B-35EC-9253-F1A1B4E31AA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0</xdr:colOff>
      <xdr:row>27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A36A222-3D5B-CD77-F677-50580F7F6A3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2.xml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3.xml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4.xml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5.xml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6.xml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7.xml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8.xml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9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FE9EBD-E11E-4AB5-A94C-65A7CB4B3F29}">
  <dimension ref="A1:O55"/>
  <sheetViews>
    <sheetView topLeftCell="A45" workbookViewId="0">
      <selection activeCell="A55" sqref="A55"/>
    </sheetView>
  </sheetViews>
  <sheetFormatPr defaultRowHeight="15" x14ac:dyDescent="0.25"/>
  <sheetData>
    <row r="1" spans="1:15" x14ac:dyDescent="0.25">
      <c r="F1" s="45" t="s">
        <v>271</v>
      </c>
      <c r="O1" s="46"/>
    </row>
    <row r="2" spans="1:15" x14ac:dyDescent="0.25">
      <c r="B2" s="3" t="s">
        <v>0</v>
      </c>
      <c r="C2" s="1">
        <v>44638</v>
      </c>
      <c r="D2" s="1">
        <v>44639</v>
      </c>
      <c r="E2" s="1">
        <v>44640</v>
      </c>
      <c r="F2" s="1">
        <v>44641</v>
      </c>
      <c r="G2" s="1">
        <v>44642</v>
      </c>
      <c r="H2" t="s">
        <v>1</v>
      </c>
    </row>
    <row r="3" spans="1:15" x14ac:dyDescent="0.25">
      <c r="B3" t="s">
        <v>1</v>
      </c>
      <c r="C3" t="s">
        <v>2</v>
      </c>
      <c r="D3" t="s">
        <v>2</v>
      </c>
      <c r="E3" t="s">
        <v>2</v>
      </c>
      <c r="F3" t="s">
        <v>2</v>
      </c>
      <c r="G3" t="s">
        <v>2</v>
      </c>
      <c r="H3" t="s">
        <v>1</v>
      </c>
    </row>
    <row r="4" spans="1:15" x14ac:dyDescent="0.25">
      <c r="B4" t="s">
        <v>3</v>
      </c>
      <c r="H4" t="s">
        <v>1</v>
      </c>
    </row>
    <row r="5" spans="1:15" x14ac:dyDescent="0.25">
      <c r="B5" t="s">
        <v>4</v>
      </c>
      <c r="H5" t="s">
        <v>1</v>
      </c>
    </row>
    <row r="6" spans="1:15" x14ac:dyDescent="0.25">
      <c r="A6" t="s">
        <v>5</v>
      </c>
      <c r="B6" t="s">
        <v>5</v>
      </c>
      <c r="C6">
        <v>151</v>
      </c>
      <c r="D6">
        <v>151</v>
      </c>
      <c r="E6">
        <v>151</v>
      </c>
      <c r="F6">
        <v>151</v>
      </c>
      <c r="G6">
        <v>151</v>
      </c>
      <c r="H6" t="s">
        <v>1</v>
      </c>
    </row>
    <row r="7" spans="1:15" x14ac:dyDescent="0.25">
      <c r="B7" t="s">
        <v>6</v>
      </c>
      <c r="C7">
        <v>151</v>
      </c>
      <c r="D7">
        <v>151</v>
      </c>
      <c r="E7">
        <v>151</v>
      </c>
      <c r="F7">
        <v>151</v>
      </c>
      <c r="G7">
        <v>151</v>
      </c>
      <c r="H7" t="s">
        <v>1</v>
      </c>
    </row>
    <row r="8" spans="1:15" x14ac:dyDescent="0.25">
      <c r="A8" t="s">
        <v>90</v>
      </c>
      <c r="B8" t="s">
        <v>7</v>
      </c>
      <c r="C8" s="2">
        <v>42408.4</v>
      </c>
      <c r="D8" s="2">
        <v>46941.1</v>
      </c>
      <c r="E8" s="2">
        <v>49262</v>
      </c>
      <c r="F8" s="2">
        <v>52349.599999999999</v>
      </c>
      <c r="G8" s="2">
        <v>55182.5</v>
      </c>
      <c r="H8" t="s">
        <v>1</v>
      </c>
    </row>
    <row r="9" spans="1:15" x14ac:dyDescent="0.25">
      <c r="B9" t="s">
        <v>8</v>
      </c>
      <c r="C9" s="2">
        <v>42408.4</v>
      </c>
      <c r="D9" s="2">
        <v>46941.1</v>
      </c>
      <c r="E9" s="2">
        <v>49262</v>
      </c>
      <c r="F9" s="2">
        <v>52349.599999999999</v>
      </c>
      <c r="G9" s="2">
        <v>55182.5</v>
      </c>
      <c r="H9" t="s">
        <v>1</v>
      </c>
    </row>
    <row r="10" spans="1:15" x14ac:dyDescent="0.25">
      <c r="B10" t="s">
        <v>9</v>
      </c>
      <c r="C10" s="2">
        <v>42559.4</v>
      </c>
      <c r="D10" s="2">
        <v>47092.1</v>
      </c>
      <c r="E10" s="2">
        <v>49413</v>
      </c>
      <c r="F10" s="2">
        <v>52500.6</v>
      </c>
      <c r="G10" s="2">
        <v>55333.5</v>
      </c>
      <c r="H10" t="s">
        <v>1</v>
      </c>
    </row>
    <row r="11" spans="1:15" x14ac:dyDescent="0.25">
      <c r="A11" t="s">
        <v>10</v>
      </c>
      <c r="B11" t="s">
        <v>10</v>
      </c>
      <c r="C11">
        <v>16.100000000000001</v>
      </c>
      <c r="D11">
        <v>17.600000000000001</v>
      </c>
      <c r="E11">
        <v>19.2</v>
      </c>
      <c r="F11">
        <v>0</v>
      </c>
      <c r="G11">
        <v>0</v>
      </c>
      <c r="H11" t="s">
        <v>1</v>
      </c>
    </row>
    <row r="12" spans="1:15" x14ac:dyDescent="0.25">
      <c r="B12" t="s">
        <v>11</v>
      </c>
      <c r="H12" t="s">
        <v>1</v>
      </c>
    </row>
    <row r="13" spans="1:15" x14ac:dyDescent="0.25">
      <c r="A13" t="s">
        <v>91</v>
      </c>
      <c r="B13" t="s">
        <v>12</v>
      </c>
      <c r="C13">
        <v>10</v>
      </c>
      <c r="D13">
        <v>8</v>
      </c>
      <c r="E13">
        <v>5.4</v>
      </c>
      <c r="F13">
        <v>2.8</v>
      </c>
      <c r="G13">
        <v>0</v>
      </c>
      <c r="H13" t="s">
        <v>1</v>
      </c>
    </row>
    <row r="14" spans="1:15" x14ac:dyDescent="0.25">
      <c r="A14" t="s">
        <v>91</v>
      </c>
      <c r="B14" t="s">
        <v>13</v>
      </c>
      <c r="C14">
        <v>602</v>
      </c>
      <c r="D14">
        <v>613.9</v>
      </c>
      <c r="E14">
        <v>657.5</v>
      </c>
      <c r="F14">
        <v>445.4</v>
      </c>
      <c r="G14">
        <v>0</v>
      </c>
      <c r="H14" t="s">
        <v>1</v>
      </c>
    </row>
    <row r="15" spans="1:15" x14ac:dyDescent="0.25">
      <c r="A15" t="s">
        <v>92</v>
      </c>
      <c r="B15" t="s">
        <v>14</v>
      </c>
      <c r="C15" s="2">
        <v>1585.9</v>
      </c>
      <c r="D15" s="2">
        <v>2037.1</v>
      </c>
      <c r="E15" s="2">
        <v>2175.6</v>
      </c>
      <c r="F15" s="2">
        <v>2168.6999999999998</v>
      </c>
      <c r="G15" s="2">
        <v>2214.1</v>
      </c>
      <c r="H15" t="s">
        <v>1</v>
      </c>
    </row>
    <row r="16" spans="1:15" x14ac:dyDescent="0.25">
      <c r="A16" t="s">
        <v>93</v>
      </c>
      <c r="B16" t="s">
        <v>15</v>
      </c>
      <c r="C16">
        <v>26.5</v>
      </c>
      <c r="D16">
        <v>39.5</v>
      </c>
      <c r="E16">
        <v>51.6</v>
      </c>
      <c r="F16">
        <v>44.7</v>
      </c>
      <c r="G16">
        <v>84.4</v>
      </c>
      <c r="H16" t="s">
        <v>1</v>
      </c>
    </row>
    <row r="17" spans="1:8" x14ac:dyDescent="0.25">
      <c r="B17" t="s">
        <v>16</v>
      </c>
      <c r="C17" s="2">
        <v>2224.4</v>
      </c>
      <c r="D17" s="2">
        <v>2698.5</v>
      </c>
      <c r="E17" s="2">
        <v>2890.1</v>
      </c>
      <c r="F17" s="2">
        <v>2661.6</v>
      </c>
      <c r="G17" s="2">
        <v>2298.5</v>
      </c>
      <c r="H17" t="s">
        <v>1</v>
      </c>
    </row>
    <row r="18" spans="1:8" x14ac:dyDescent="0.25">
      <c r="B18" t="s">
        <v>17</v>
      </c>
      <c r="H18" t="s">
        <v>1</v>
      </c>
    </row>
    <row r="19" spans="1:8" x14ac:dyDescent="0.25">
      <c r="A19" t="s">
        <v>91</v>
      </c>
      <c r="B19" t="s">
        <v>18</v>
      </c>
      <c r="C19">
        <v>110.8</v>
      </c>
      <c r="D19">
        <v>149.6</v>
      </c>
      <c r="E19">
        <v>106.3</v>
      </c>
      <c r="F19">
        <v>488.8</v>
      </c>
      <c r="G19">
        <v>381.9</v>
      </c>
      <c r="H19" t="s">
        <v>1</v>
      </c>
    </row>
    <row r="20" spans="1:8" x14ac:dyDescent="0.25">
      <c r="A20" t="s">
        <v>92</v>
      </c>
      <c r="B20" t="s">
        <v>19</v>
      </c>
      <c r="C20" s="2">
        <v>10499.3</v>
      </c>
      <c r="D20" s="2">
        <v>9637.7000000000007</v>
      </c>
      <c r="E20" s="2">
        <v>7498.8</v>
      </c>
      <c r="F20" s="2">
        <v>10168.1</v>
      </c>
      <c r="G20" s="2">
        <v>9765.2000000000007</v>
      </c>
      <c r="H20" t="s">
        <v>1</v>
      </c>
    </row>
    <row r="21" spans="1:8" x14ac:dyDescent="0.25">
      <c r="A21" t="s">
        <v>92</v>
      </c>
      <c r="B21" t="s">
        <v>20</v>
      </c>
      <c r="C21" s="2">
        <v>4277.5</v>
      </c>
      <c r="D21" s="2">
        <v>3747.8</v>
      </c>
      <c r="E21" s="2">
        <v>3019.6</v>
      </c>
      <c r="F21" s="2">
        <v>4720.8</v>
      </c>
      <c r="G21" s="2">
        <v>6015.1</v>
      </c>
      <c r="H21" t="s">
        <v>1</v>
      </c>
    </row>
    <row r="22" spans="1:8" x14ac:dyDescent="0.25">
      <c r="A22" t="s">
        <v>93</v>
      </c>
      <c r="B22" t="s">
        <v>21</v>
      </c>
      <c r="C22">
        <v>560.9</v>
      </c>
      <c r="D22">
        <v>625.4</v>
      </c>
      <c r="E22">
        <v>680.7</v>
      </c>
      <c r="F22">
        <v>742.8</v>
      </c>
      <c r="G22">
        <v>861.3</v>
      </c>
      <c r="H22" t="s">
        <v>1</v>
      </c>
    </row>
    <row r="23" spans="1:8" x14ac:dyDescent="0.25">
      <c r="B23" t="s">
        <v>22</v>
      </c>
      <c r="C23" s="2">
        <v>15448.5</v>
      </c>
      <c r="D23" s="2">
        <v>14160.5</v>
      </c>
      <c r="E23" s="2">
        <v>11305.4</v>
      </c>
      <c r="F23" s="2">
        <v>16120.5</v>
      </c>
      <c r="G23" s="2">
        <v>17023.5</v>
      </c>
      <c r="H23" t="s">
        <v>1</v>
      </c>
    </row>
    <row r="24" spans="1:8" x14ac:dyDescent="0.25">
      <c r="B24" t="s">
        <v>23</v>
      </c>
      <c r="C24" s="2">
        <v>60248.4</v>
      </c>
      <c r="D24" s="2">
        <v>63968.7</v>
      </c>
      <c r="E24" s="2">
        <v>63627.7</v>
      </c>
      <c r="F24" s="2">
        <v>71282.7</v>
      </c>
      <c r="G24" s="2">
        <v>74655.5</v>
      </c>
      <c r="H24" t="s">
        <v>1</v>
      </c>
    </row>
    <row r="25" spans="1:8" x14ac:dyDescent="0.25">
      <c r="B25" t="s">
        <v>24</v>
      </c>
      <c r="H25" t="s">
        <v>1</v>
      </c>
    </row>
    <row r="26" spans="1:8" x14ac:dyDescent="0.25">
      <c r="B26" t="s">
        <v>25</v>
      </c>
      <c r="H26" t="s">
        <v>1</v>
      </c>
    </row>
    <row r="27" spans="1:8" x14ac:dyDescent="0.25">
      <c r="A27" t="s">
        <v>29</v>
      </c>
      <c r="B27" t="s">
        <v>26</v>
      </c>
      <c r="C27" s="2">
        <v>13077.1</v>
      </c>
      <c r="D27" s="2">
        <v>14986.2</v>
      </c>
      <c r="E27" s="2">
        <v>15408.6</v>
      </c>
      <c r="F27" s="2">
        <v>14764.5</v>
      </c>
      <c r="G27" s="2">
        <v>16683.7</v>
      </c>
      <c r="H27" t="s">
        <v>1</v>
      </c>
    </row>
    <row r="28" spans="1:8" x14ac:dyDescent="0.25">
      <c r="A28" t="s">
        <v>29</v>
      </c>
      <c r="B28" t="s">
        <v>27</v>
      </c>
      <c r="C28">
        <v>311.7</v>
      </c>
      <c r="D28">
        <v>451.1</v>
      </c>
      <c r="E28">
        <v>335.8</v>
      </c>
      <c r="F28">
        <v>224.2</v>
      </c>
      <c r="G28">
        <v>0</v>
      </c>
      <c r="H28" t="s">
        <v>1</v>
      </c>
    </row>
    <row r="29" spans="1:8" x14ac:dyDescent="0.25">
      <c r="A29" t="s">
        <v>28</v>
      </c>
      <c r="B29" t="s">
        <v>28</v>
      </c>
      <c r="C29">
        <v>2132.1</v>
      </c>
      <c r="D29" s="2">
        <v>1606.9</v>
      </c>
      <c r="E29" s="2">
        <v>1344.3</v>
      </c>
      <c r="F29" s="2">
        <v>1199.3</v>
      </c>
      <c r="G29" s="2">
        <v>0</v>
      </c>
      <c r="H29" t="s">
        <v>1</v>
      </c>
    </row>
    <row r="30" spans="1:8" x14ac:dyDescent="0.25">
      <c r="B30" t="s">
        <v>29</v>
      </c>
      <c r="C30" s="2">
        <v>15520.9</v>
      </c>
      <c r="D30" s="2">
        <v>17044.2</v>
      </c>
      <c r="E30" s="2">
        <v>17159.599999999999</v>
      </c>
      <c r="F30" s="2">
        <v>16485.5</v>
      </c>
      <c r="G30" s="2">
        <v>16683.7</v>
      </c>
      <c r="H30" t="s">
        <v>1</v>
      </c>
    </row>
    <row r="31" spans="1:8" x14ac:dyDescent="0.25">
      <c r="A31" t="s">
        <v>94</v>
      </c>
      <c r="B31" t="s">
        <v>30</v>
      </c>
      <c r="C31" s="2">
        <v>34905.800000000003</v>
      </c>
      <c r="D31" s="2">
        <v>32458.1</v>
      </c>
      <c r="E31" s="2">
        <v>36269.199999999997</v>
      </c>
      <c r="F31" s="2">
        <v>34529.1</v>
      </c>
      <c r="G31" s="2">
        <v>37934.6</v>
      </c>
      <c r="H31" t="s">
        <v>1</v>
      </c>
    </row>
    <row r="32" spans="1:8" x14ac:dyDescent="0.25">
      <c r="A32" t="s">
        <v>95</v>
      </c>
      <c r="B32" t="s">
        <v>31</v>
      </c>
      <c r="C32">
        <v>0</v>
      </c>
      <c r="D32">
        <v>0</v>
      </c>
      <c r="E32">
        <v>0</v>
      </c>
      <c r="F32">
        <v>0</v>
      </c>
      <c r="G32">
        <v>141.1</v>
      </c>
      <c r="H32" t="s">
        <v>1</v>
      </c>
    </row>
    <row r="33" spans="1:8" x14ac:dyDescent="0.25">
      <c r="A33" t="s">
        <v>95</v>
      </c>
      <c r="B33" t="s">
        <v>32</v>
      </c>
      <c r="C33">
        <v>0.2</v>
      </c>
      <c r="D33">
        <v>0.2</v>
      </c>
      <c r="E33">
        <v>0.2</v>
      </c>
      <c r="F33">
        <v>0.2</v>
      </c>
      <c r="G33">
        <v>0.2</v>
      </c>
      <c r="H33" t="s">
        <v>1</v>
      </c>
    </row>
    <row r="34" spans="1:8" x14ac:dyDescent="0.25">
      <c r="A34" t="s">
        <v>95</v>
      </c>
      <c r="B34" t="s">
        <v>33</v>
      </c>
      <c r="C34" s="2">
        <v>1891.5</v>
      </c>
      <c r="D34" s="2">
        <v>2093.5</v>
      </c>
      <c r="E34" s="2">
        <v>1758.1</v>
      </c>
      <c r="F34" s="2">
        <v>1723.6</v>
      </c>
      <c r="G34" s="2">
        <v>3102.5</v>
      </c>
      <c r="H34" t="s">
        <v>1</v>
      </c>
    </row>
    <row r="35" spans="1:8" x14ac:dyDescent="0.25">
      <c r="B35" t="s">
        <v>34</v>
      </c>
      <c r="C35" s="2">
        <v>52318.400000000001</v>
      </c>
      <c r="D35" s="2">
        <v>51596</v>
      </c>
      <c r="E35" s="2">
        <v>55187.1</v>
      </c>
      <c r="F35" s="2">
        <v>52738.400000000001</v>
      </c>
      <c r="G35" s="2">
        <v>57862.1</v>
      </c>
      <c r="H35" t="s">
        <v>1</v>
      </c>
    </row>
    <row r="36" spans="1:8" x14ac:dyDescent="0.25">
      <c r="B36" t="s">
        <v>35</v>
      </c>
      <c r="H36" t="s">
        <v>1</v>
      </c>
    </row>
    <row r="37" spans="1:8" x14ac:dyDescent="0.25">
      <c r="A37" t="s">
        <v>94</v>
      </c>
      <c r="B37" t="s">
        <v>36</v>
      </c>
      <c r="C37" s="2">
        <v>1217.3</v>
      </c>
      <c r="D37" s="2">
        <v>5045.5</v>
      </c>
      <c r="E37" s="2">
        <v>1218.8</v>
      </c>
      <c r="F37" s="2">
        <v>8415.7000000000007</v>
      </c>
      <c r="G37" s="2">
        <v>4100.1000000000004</v>
      </c>
      <c r="H37" t="s">
        <v>1</v>
      </c>
    </row>
    <row r="38" spans="1:8" x14ac:dyDescent="0.25">
      <c r="A38" t="s">
        <v>96</v>
      </c>
      <c r="B38" t="s">
        <v>37</v>
      </c>
      <c r="C38" s="2">
        <v>3160.2</v>
      </c>
      <c r="D38" s="2">
        <v>3322.6</v>
      </c>
      <c r="E38" s="2">
        <v>3213.9</v>
      </c>
      <c r="F38" s="2">
        <v>3049</v>
      </c>
      <c r="G38" s="2">
        <v>3532.3</v>
      </c>
      <c r="H38" t="s">
        <v>1</v>
      </c>
    </row>
    <row r="39" spans="1:8" x14ac:dyDescent="0.25">
      <c r="A39" t="s">
        <v>96</v>
      </c>
      <c r="B39" t="s">
        <v>38</v>
      </c>
      <c r="C39" s="2">
        <v>1465.4</v>
      </c>
      <c r="D39" s="2">
        <v>2312.8000000000002</v>
      </c>
      <c r="E39" s="2">
        <v>1977.7</v>
      </c>
      <c r="F39" s="2">
        <v>1279.9000000000001</v>
      </c>
      <c r="G39" s="2">
        <v>2034.5</v>
      </c>
      <c r="H39" t="s">
        <v>1</v>
      </c>
    </row>
    <row r="40" spans="1:8" x14ac:dyDescent="0.25">
      <c r="A40" t="s">
        <v>96</v>
      </c>
      <c r="B40" t="s">
        <v>39</v>
      </c>
      <c r="C40" s="2">
        <v>74</v>
      </c>
      <c r="D40" s="2">
        <v>187.8</v>
      </c>
      <c r="E40">
        <v>29</v>
      </c>
      <c r="F40">
        <v>3047.1</v>
      </c>
      <c r="G40">
        <v>3042.2</v>
      </c>
      <c r="H40" t="s">
        <v>1</v>
      </c>
    </row>
    <row r="41" spans="1:8" x14ac:dyDescent="0.25">
      <c r="A41" t="s">
        <v>95</v>
      </c>
      <c r="B41" t="s">
        <v>40</v>
      </c>
      <c r="C41">
        <v>3</v>
      </c>
      <c r="D41">
        <v>16.100000000000001</v>
      </c>
      <c r="E41">
        <v>17</v>
      </c>
      <c r="F41">
        <v>23</v>
      </c>
      <c r="G41">
        <v>30.5</v>
      </c>
      <c r="H41" t="s">
        <v>1</v>
      </c>
    </row>
    <row r="42" spans="1:8" x14ac:dyDescent="0.25">
      <c r="A42" t="s">
        <v>95</v>
      </c>
      <c r="B42" t="s">
        <v>41</v>
      </c>
      <c r="C42" s="2">
        <v>2010.1</v>
      </c>
      <c r="D42" s="2">
        <v>1487.9</v>
      </c>
      <c r="E42" s="2">
        <v>1984.2</v>
      </c>
      <c r="F42" s="2">
        <v>2729.6</v>
      </c>
      <c r="G42" s="2">
        <v>4053.8</v>
      </c>
      <c r="H42" t="s">
        <v>1</v>
      </c>
    </row>
    <row r="43" spans="1:8" x14ac:dyDescent="0.25">
      <c r="B43" t="s">
        <v>42</v>
      </c>
      <c r="C43" s="2">
        <v>7930</v>
      </c>
      <c r="D43" s="2">
        <v>12372.7</v>
      </c>
      <c r="E43" s="2">
        <v>8440.6</v>
      </c>
      <c r="F43" s="2">
        <v>18544.3</v>
      </c>
      <c r="G43" s="2">
        <v>16793.400000000001</v>
      </c>
      <c r="H43" t="s">
        <v>1</v>
      </c>
    </row>
    <row r="44" spans="1:8" x14ac:dyDescent="0.25">
      <c r="B44" t="s">
        <v>43</v>
      </c>
      <c r="C44" s="2">
        <v>60248.4</v>
      </c>
      <c r="D44" s="2">
        <v>63968.7</v>
      </c>
      <c r="E44" s="2">
        <v>63627.7</v>
      </c>
      <c r="F44" s="2">
        <v>71282.7</v>
      </c>
      <c r="G44" s="2">
        <v>74655.5</v>
      </c>
      <c r="H44" t="s">
        <v>1</v>
      </c>
    </row>
    <row r="45" spans="1:8" x14ac:dyDescent="0.25">
      <c r="B45" t="s">
        <v>44</v>
      </c>
      <c r="H45" t="s">
        <v>1</v>
      </c>
    </row>
    <row r="46" spans="1:8" x14ac:dyDescent="0.25">
      <c r="B46" t="s">
        <v>45</v>
      </c>
      <c r="H46" t="s">
        <v>1</v>
      </c>
    </row>
    <row r="47" spans="1:8" x14ac:dyDescent="0.25">
      <c r="B47" t="s">
        <v>46</v>
      </c>
      <c r="C47">
        <v>10455.200000000001</v>
      </c>
      <c r="D47" s="2">
        <v>11948.6</v>
      </c>
      <c r="E47" s="2">
        <v>11232.8</v>
      </c>
      <c r="F47" s="2">
        <v>15704.3</v>
      </c>
      <c r="G47" s="2">
        <v>0</v>
      </c>
      <c r="H47" t="s">
        <v>1</v>
      </c>
    </row>
    <row r="48" spans="1:8" x14ac:dyDescent="0.25">
      <c r="B48" t="s">
        <v>47</v>
      </c>
      <c r="H48" t="s">
        <v>1</v>
      </c>
    </row>
    <row r="49" spans="2:8" x14ac:dyDescent="0.25">
      <c r="B49" t="s">
        <v>48</v>
      </c>
      <c r="C49">
        <v>0</v>
      </c>
      <c r="D49">
        <v>0</v>
      </c>
      <c r="E49">
        <v>0</v>
      </c>
      <c r="F49">
        <v>0</v>
      </c>
      <c r="G49">
        <v>0</v>
      </c>
      <c r="H49" t="s">
        <v>1</v>
      </c>
    </row>
    <row r="50" spans="2:8" x14ac:dyDescent="0.25">
      <c r="B50" t="s">
        <v>49</v>
      </c>
      <c r="H50" t="s">
        <v>1</v>
      </c>
    </row>
    <row r="51" spans="2:8" x14ac:dyDescent="0.25">
      <c r="B51" t="s">
        <v>50</v>
      </c>
      <c r="C51">
        <v>1371</v>
      </c>
      <c r="D51" s="2">
        <v>1077.3</v>
      </c>
      <c r="E51">
        <v>559.79999999999995</v>
      </c>
      <c r="F51" s="2">
        <v>1132.3</v>
      </c>
      <c r="G51" s="2">
        <v>0</v>
      </c>
      <c r="H51" t="s">
        <v>1</v>
      </c>
    </row>
    <row r="52" spans="2:8" x14ac:dyDescent="0.25">
      <c r="B52" t="s">
        <v>51</v>
      </c>
      <c r="C52">
        <v>33750.1</v>
      </c>
      <c r="D52" s="2">
        <v>31457.200000000001</v>
      </c>
      <c r="E52" s="2">
        <v>35650</v>
      </c>
      <c r="F52" s="2">
        <v>33426.6</v>
      </c>
      <c r="G52" s="2">
        <v>0</v>
      </c>
      <c r="H52" t="s">
        <v>1</v>
      </c>
    </row>
    <row r="53" spans="2:8" x14ac:dyDescent="0.25">
      <c r="B53" t="s">
        <v>52</v>
      </c>
      <c r="H53" t="s">
        <v>1</v>
      </c>
    </row>
    <row r="54" spans="2:8" x14ac:dyDescent="0.25">
      <c r="B54" t="s">
        <v>53</v>
      </c>
      <c r="C54">
        <v>0</v>
      </c>
      <c r="D54">
        <v>0</v>
      </c>
      <c r="E54">
        <v>0</v>
      </c>
      <c r="F54">
        <v>0</v>
      </c>
      <c r="G54">
        <v>0</v>
      </c>
      <c r="H54" t="s">
        <v>1</v>
      </c>
    </row>
    <row r="55" spans="2:8" x14ac:dyDescent="0.25">
      <c r="B55" t="s">
        <v>54</v>
      </c>
      <c r="C55">
        <v>1217.3</v>
      </c>
      <c r="D55" s="2">
        <v>5045.5</v>
      </c>
      <c r="E55" s="2">
        <v>1218.8</v>
      </c>
      <c r="F55" s="2">
        <v>8415.7000000000007</v>
      </c>
      <c r="G55" s="2">
        <v>0</v>
      </c>
      <c r="H55" t="s">
        <v>1</v>
      </c>
    </row>
  </sheetData>
  <hyperlinks>
    <hyperlink ref="F1" location="Index_Data!A1" tooltip="Hi click here To return Index page" display="Index_Data!A1" xr:uid="{CEF9E58F-570D-405D-BFDD-12769AC2D728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D22778-D2BA-4624-AF7D-3BD05096A307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41.140625" bestFit="1" customWidth="1"/>
    <col min="3" max="6" width="13.140625" bestFit="1" customWidth="1"/>
    <col min="7" max="7" width="14.8554687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149</v>
      </c>
      <c r="C5" s="44"/>
      <c r="D5" s="44"/>
      <c r="E5" s="44"/>
      <c r="F5" s="44"/>
      <c r="G5" s="44"/>
    </row>
    <row r="6" spans="2:15" ht="18.75" x14ac:dyDescent="0.25">
      <c r="B6" s="12" t="str">
        <f>Balance_Sheet!B13</f>
        <v>Net Worth</v>
      </c>
      <c r="C6" s="13">
        <f>Balance_Sheet!C13</f>
        <v>42559.4</v>
      </c>
      <c r="D6" s="13">
        <f>Balance_Sheet!D13</f>
        <v>59228.030848341441</v>
      </c>
      <c r="E6" s="13">
        <f>Balance_Sheet!E13</f>
        <v>76326.477350109795</v>
      </c>
      <c r="F6" s="13">
        <f>Balance_Sheet!F13</f>
        <v>92389.821457374434</v>
      </c>
      <c r="G6" s="13">
        <f>Balance_Sheet!G13</f>
        <v>117882.8422772332</v>
      </c>
    </row>
    <row r="7" spans="2:15" ht="18.75" x14ac:dyDescent="0.25">
      <c r="B7" s="12" t="str">
        <f>Income_Statement!B61</f>
        <v>Total Shares Outstanding(cr)</v>
      </c>
      <c r="C7" s="13">
        <f>Income_Statement!C61</f>
        <v>61.187347457232093</v>
      </c>
      <c r="D7" s="13">
        <f>Income_Statement!D61</f>
        <v>77.399331416369307</v>
      </c>
      <c r="E7" s="13">
        <f>Income_Statement!E61</f>
        <v>106.44599203068275</v>
      </c>
      <c r="F7" s="13">
        <f>Income_Statement!F61</f>
        <v>123.28168349837684</v>
      </c>
      <c r="G7" s="13">
        <f>Income_Statement!G61</f>
        <v>199.16422515514662</v>
      </c>
    </row>
    <row r="8" spans="2:15" ht="18.75" x14ac:dyDescent="0.25">
      <c r="B8" s="14" t="s">
        <v>150</v>
      </c>
      <c r="C8" s="14">
        <f>ROUND(C6/C7, 2)</f>
        <v>695.56</v>
      </c>
      <c r="D8" s="14">
        <f t="shared" ref="D8:G8" si="0">ROUND(D6/D7, 2)</f>
        <v>765.23</v>
      </c>
      <c r="E8" s="14">
        <f t="shared" si="0"/>
        <v>717.04</v>
      </c>
      <c r="F8" s="14">
        <f t="shared" si="0"/>
        <v>749.42</v>
      </c>
      <c r="G8" s="14">
        <f t="shared" si="0"/>
        <v>591.89</v>
      </c>
    </row>
  </sheetData>
  <mergeCells count="1">
    <mergeCell ref="B5:G5"/>
  </mergeCells>
  <hyperlinks>
    <hyperlink ref="F1" location="Index_Data!A1" tooltip="Hi click here To return Index page" display="Index_Data!A1" xr:uid="{4F676AAB-E564-40B9-BA39-FCF1C4FB255E}"/>
  </hyperlink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7EF8F6-D623-4659-B68D-A494966B784F}">
  <dimension ref="B1:O12"/>
  <sheetViews>
    <sheetView showGridLines="0" workbookViewId="0">
      <selection activeCell="C12" sqref="C12"/>
    </sheetView>
  </sheetViews>
  <sheetFormatPr defaultRowHeight="15" x14ac:dyDescent="0.25"/>
  <cols>
    <col min="2" max="2" width="41.140625" bestFit="1" customWidth="1"/>
    <col min="3" max="7" width="13.1406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151</v>
      </c>
      <c r="C5" s="44"/>
      <c r="D5" s="44"/>
      <c r="E5" s="44"/>
      <c r="F5" s="44"/>
      <c r="G5" s="44"/>
    </row>
    <row r="6" spans="2:15" ht="18.75" x14ac:dyDescent="0.25">
      <c r="B6" s="12" t="str">
        <f>Income_Statement!B51</f>
        <v>Equity Share Dividend</v>
      </c>
      <c r="C6" s="13">
        <f>Income_Statement!C51</f>
        <v>2265.6</v>
      </c>
      <c r="D6" s="13">
        <f>Income_Statement!D51</f>
        <v>2416.6</v>
      </c>
      <c r="E6" s="13">
        <f>Income_Statement!E51</f>
        <v>2416.6</v>
      </c>
      <c r="F6" s="13">
        <f>Income_Statement!F51</f>
        <v>1812.5</v>
      </c>
      <c r="G6" s="13">
        <f>Income_Statement!G51</f>
        <v>0</v>
      </c>
    </row>
    <row r="7" spans="2:15" ht="18.75" x14ac:dyDescent="0.25">
      <c r="B7" s="12" t="str">
        <f>Income_Statement!B61</f>
        <v>Total Shares Outstanding(cr)</v>
      </c>
      <c r="C7" s="13">
        <f>Income_Statement!C61</f>
        <v>61.187347457232093</v>
      </c>
      <c r="D7" s="13">
        <f>Income_Statement!D61</f>
        <v>77.399331416369307</v>
      </c>
      <c r="E7" s="13">
        <f>Income_Statement!E61</f>
        <v>106.44599203068275</v>
      </c>
      <c r="F7" s="13">
        <f>Income_Statement!F61</f>
        <v>123.28168349837684</v>
      </c>
      <c r="G7" s="13">
        <f>Income_Statement!G61</f>
        <v>199.16422515514662</v>
      </c>
    </row>
    <row r="8" spans="2:15" ht="18.75" x14ac:dyDescent="0.25">
      <c r="B8" s="12" t="s">
        <v>148</v>
      </c>
      <c r="C8" s="13">
        <f>ROUND(C6/C7, 2)</f>
        <v>37.03</v>
      </c>
      <c r="D8" s="13">
        <f t="shared" ref="D8:G8" si="0">ROUND(D6/D7, 2)</f>
        <v>31.22</v>
      </c>
      <c r="E8" s="13">
        <f t="shared" si="0"/>
        <v>22.7</v>
      </c>
      <c r="F8" s="13">
        <f t="shared" si="0"/>
        <v>14.7</v>
      </c>
      <c r="G8" s="13">
        <f t="shared" si="0"/>
        <v>0</v>
      </c>
    </row>
    <row r="9" spans="2:15" ht="18.75" x14ac:dyDescent="0.25">
      <c r="B9" s="12" t="str">
        <f>Income_Statement!B49</f>
        <v>Reported Net Profit(PAT)</v>
      </c>
      <c r="C9" s="13">
        <f>Income_Statement!C49</f>
        <v>15969.897686337576</v>
      </c>
      <c r="D9" s="13">
        <f>Income_Statement!D49</f>
        <v>19582.030848341434</v>
      </c>
      <c r="E9" s="13">
        <f>Income_Statement!E49</f>
        <v>20011.846501768356</v>
      </c>
      <c r="F9" s="13">
        <f>Income_Statement!F49</f>
        <v>17875.844107264642</v>
      </c>
      <c r="G9" s="13">
        <f>Income_Statement!G49</f>
        <v>25493.020819858768</v>
      </c>
    </row>
    <row r="10" spans="2:15" ht="18.75" x14ac:dyDescent="0.25">
      <c r="B10" s="12" t="str">
        <f>Income_Statement!B61</f>
        <v>Total Shares Outstanding(cr)</v>
      </c>
      <c r="C10" s="13">
        <f>Income_Statement!C61</f>
        <v>61.187347457232093</v>
      </c>
      <c r="D10" s="13">
        <f>Income_Statement!D61</f>
        <v>77.399331416369307</v>
      </c>
      <c r="E10" s="13">
        <f>Income_Statement!E61</f>
        <v>106.44599203068275</v>
      </c>
      <c r="F10" s="13">
        <f>Income_Statement!F61</f>
        <v>123.28168349837684</v>
      </c>
      <c r="G10" s="13">
        <f>Income_Statement!G61</f>
        <v>199.16422515514662</v>
      </c>
    </row>
    <row r="11" spans="2:15" ht="18.75" x14ac:dyDescent="0.25">
      <c r="B11" s="12" t="s">
        <v>146</v>
      </c>
      <c r="C11" s="13">
        <f>C9/C10</f>
        <v>261</v>
      </c>
      <c r="D11" s="13">
        <f t="shared" ref="D11:G11" si="1">D9/D10</f>
        <v>253</v>
      </c>
      <c r="E11" s="13">
        <f t="shared" si="1"/>
        <v>188</v>
      </c>
      <c r="F11" s="13">
        <f t="shared" si="1"/>
        <v>145</v>
      </c>
      <c r="G11" s="13">
        <f t="shared" si="1"/>
        <v>128</v>
      </c>
    </row>
    <row r="12" spans="2:15" ht="18.75" x14ac:dyDescent="0.25">
      <c r="B12" s="14" t="s">
        <v>152</v>
      </c>
      <c r="C12" s="14">
        <f>ROUND(C8/C11, 2)</f>
        <v>0.14000000000000001</v>
      </c>
      <c r="D12" s="14">
        <f t="shared" ref="D12:G12" si="2">ROUND(D8/D11, 2)</f>
        <v>0.12</v>
      </c>
      <c r="E12" s="14">
        <f t="shared" si="2"/>
        <v>0.12</v>
      </c>
      <c r="F12" s="14">
        <f t="shared" si="2"/>
        <v>0.1</v>
      </c>
      <c r="G12" s="14">
        <f t="shared" si="2"/>
        <v>0</v>
      </c>
    </row>
  </sheetData>
  <mergeCells count="1">
    <mergeCell ref="B5:G5"/>
  </mergeCells>
  <hyperlinks>
    <hyperlink ref="F1" location="Index_Data!A1" tooltip="Hi click here To return Index page" display="Index_Data!A1" xr:uid="{4D1A9258-5DC8-4D0D-9B28-A095F4AF0E30}"/>
  </hyperlink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40DD34-A62B-43CB-B57F-D3D8A0B5F786}">
  <dimension ref="B1:O9"/>
  <sheetViews>
    <sheetView showGridLines="0" workbookViewId="0">
      <selection activeCell="C9" sqref="C9"/>
    </sheetView>
  </sheetViews>
  <sheetFormatPr defaultRowHeight="15" x14ac:dyDescent="0.25"/>
  <cols>
    <col min="2" max="2" width="41.140625" bestFit="1" customWidth="1"/>
    <col min="3" max="6" width="15.140625" bestFit="1" customWidth="1"/>
    <col min="7" max="7" width="12.425781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153</v>
      </c>
      <c r="C5" s="44"/>
      <c r="D5" s="44"/>
      <c r="E5" s="44"/>
      <c r="F5" s="44"/>
      <c r="G5" s="44"/>
    </row>
    <row r="6" spans="2:15" ht="18.75" x14ac:dyDescent="0.25">
      <c r="B6" s="12" t="str">
        <f>Income_Statement!B51</f>
        <v>Equity Share Dividend</v>
      </c>
      <c r="C6" s="13">
        <f>Income_Statement!C51</f>
        <v>2265.6</v>
      </c>
      <c r="D6" s="13">
        <f>Income_Statement!D51</f>
        <v>2416.6</v>
      </c>
      <c r="E6" s="13">
        <f>Income_Statement!E51</f>
        <v>2416.6</v>
      </c>
      <c r="F6" s="13">
        <f>Income_Statement!F51</f>
        <v>1812.5</v>
      </c>
      <c r="G6" s="13">
        <f>Income_Statement!G51</f>
        <v>0</v>
      </c>
    </row>
    <row r="7" spans="2:15" ht="18.75" x14ac:dyDescent="0.25">
      <c r="B7" s="12" t="str">
        <f>Income_Statement!B61</f>
        <v>Total Shares Outstanding(cr)</v>
      </c>
      <c r="C7" s="13">
        <f>Income_Statement!C61</f>
        <v>61.187347457232093</v>
      </c>
      <c r="D7" s="13">
        <f>Income_Statement!D61</f>
        <v>77.399331416369307</v>
      </c>
      <c r="E7" s="13">
        <f>Income_Statement!E61</f>
        <v>106.44599203068275</v>
      </c>
      <c r="F7" s="13">
        <f>Income_Statement!F61</f>
        <v>123.28168349837684</v>
      </c>
      <c r="G7" s="13">
        <f>Income_Statement!G61</f>
        <v>199.16422515514662</v>
      </c>
    </row>
    <row r="8" spans="2:15" ht="18.75" x14ac:dyDescent="0.25">
      <c r="B8" s="12" t="s">
        <v>154</v>
      </c>
      <c r="C8" s="13">
        <f>ROUND(C6/C7, 2)</f>
        <v>37.03</v>
      </c>
      <c r="D8" s="13">
        <f t="shared" ref="D8:G8" si="0">ROUND(D6/D7, 2)</f>
        <v>31.22</v>
      </c>
      <c r="E8" s="13">
        <f t="shared" si="0"/>
        <v>22.7</v>
      </c>
      <c r="F8" s="13">
        <f t="shared" si="0"/>
        <v>14.7</v>
      </c>
      <c r="G8" s="13">
        <f t="shared" si="0"/>
        <v>0</v>
      </c>
    </row>
    <row r="9" spans="2:15" ht="18.75" x14ac:dyDescent="0.25">
      <c r="B9" s="14" t="s">
        <v>155</v>
      </c>
      <c r="C9" s="15">
        <f>1-C8</f>
        <v>-36.03</v>
      </c>
      <c r="D9" s="15">
        <f t="shared" ref="D9:G9" si="1">1-D8</f>
        <v>-30.22</v>
      </c>
      <c r="E9" s="15">
        <f t="shared" si="1"/>
        <v>-21.7</v>
      </c>
      <c r="F9" s="15">
        <f t="shared" si="1"/>
        <v>-13.7</v>
      </c>
      <c r="G9" s="15">
        <f t="shared" si="1"/>
        <v>1</v>
      </c>
    </row>
  </sheetData>
  <mergeCells count="1">
    <mergeCell ref="B5:G5"/>
  </mergeCells>
  <hyperlinks>
    <hyperlink ref="F1" location="Index_Data!A1" tooltip="Hi click here To return Index page" display="Index_Data!A1" xr:uid="{29530092-F6DC-41A0-8EB8-AF0FB904C433}"/>
  </hyperlink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194E65-B68C-4318-A68C-4D3C00325F92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40.42578125" bestFit="1" customWidth="1"/>
    <col min="3" max="7" width="13.1406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156</v>
      </c>
      <c r="C5" s="44"/>
      <c r="D5" s="44"/>
      <c r="E5" s="44"/>
      <c r="F5" s="44"/>
      <c r="G5" s="44"/>
    </row>
    <row r="6" spans="2:15" ht="18.75" x14ac:dyDescent="0.25">
      <c r="B6" s="12" t="str">
        <f>Income_Statement!B5</f>
        <v>Gross Sales</v>
      </c>
      <c r="C6" s="13">
        <f>Income_Statement!C5</f>
        <v>80348.800000000003</v>
      </c>
      <c r="D6" s="13">
        <f>Income_Statement!D5</f>
        <v>83038.5</v>
      </c>
      <c r="E6" s="13">
        <f>Income_Statement!E5</f>
        <v>71704.800000000003</v>
      </c>
      <c r="F6" s="13">
        <f>Income_Statement!F5</f>
        <v>66571.8</v>
      </c>
      <c r="G6" s="13">
        <f>Income_Statement!G5</f>
        <v>83799.8</v>
      </c>
    </row>
    <row r="7" spans="2:15" ht="18.75" x14ac:dyDescent="0.25">
      <c r="B7" s="12" t="str">
        <f>Income_Statement!B17</f>
        <v>Cost Of Materials Consumed</v>
      </c>
      <c r="C7" s="13">
        <f>Income_Statement!C17</f>
        <v>44943.199999999997</v>
      </c>
      <c r="D7" s="13">
        <f>Income_Statement!D17</f>
        <v>45025.7</v>
      </c>
      <c r="E7" s="13">
        <f>Income_Statement!E17</f>
        <v>34634.800000000003</v>
      </c>
      <c r="F7" s="13">
        <f>Income_Statement!F17</f>
        <v>33296.400000000001</v>
      </c>
      <c r="G7" s="13">
        <f>Income_Statement!G17</f>
        <v>39739.599999999999</v>
      </c>
    </row>
    <row r="8" spans="2:15" ht="18.75" x14ac:dyDescent="0.25">
      <c r="B8" s="14" t="s">
        <v>157</v>
      </c>
      <c r="C8" s="16">
        <f>ROUND(C6- C7, 2)</f>
        <v>35405.599999999999</v>
      </c>
      <c r="D8" s="16">
        <f t="shared" ref="D8:G8" si="0">ROUND(D6- D7, 2)</f>
        <v>38012.800000000003</v>
      </c>
      <c r="E8" s="16">
        <f t="shared" si="0"/>
        <v>37070</v>
      </c>
      <c r="F8" s="16">
        <f t="shared" si="0"/>
        <v>33275.4</v>
      </c>
      <c r="G8" s="16">
        <f t="shared" si="0"/>
        <v>44060.2</v>
      </c>
    </row>
  </sheetData>
  <mergeCells count="1">
    <mergeCell ref="B5:G5"/>
  </mergeCells>
  <hyperlinks>
    <hyperlink ref="F1" location="Index_Data!A1" tooltip="Hi click here To return Index page" display="Index_Data!A1" xr:uid="{A7F4B61D-5048-492C-ADB1-4E86B170D5DA}"/>
  </hyperlink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CEF72C-F80D-4353-90D0-9881AB754D32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25.85546875" bestFit="1" customWidth="1"/>
    <col min="3" max="7" width="13.1406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158</v>
      </c>
      <c r="C5" s="44"/>
      <c r="D5" s="44"/>
      <c r="E5" s="44"/>
      <c r="F5" s="44"/>
      <c r="G5" s="44"/>
    </row>
    <row r="6" spans="2:15" ht="18.75" x14ac:dyDescent="0.25">
      <c r="B6" s="12" t="str">
        <f>Income_Statement!B5</f>
        <v>Gross Sales</v>
      </c>
      <c r="C6" s="13">
        <f>Income_Statement!C5</f>
        <v>80348.800000000003</v>
      </c>
      <c r="D6" s="13">
        <f>Income_Statement!D5</f>
        <v>83038.5</v>
      </c>
      <c r="E6" s="13">
        <f>Income_Statement!E5</f>
        <v>71704.800000000003</v>
      </c>
      <c r="F6" s="13">
        <f>Income_Statement!F5</f>
        <v>66571.8</v>
      </c>
      <c r="G6" s="13">
        <f>Income_Statement!G5</f>
        <v>83799.8</v>
      </c>
    </row>
    <row r="7" spans="2:15" ht="18.75" x14ac:dyDescent="0.25">
      <c r="B7" s="12" t="str">
        <f>Income_Statement!B25</f>
        <v>Total Expenditure</v>
      </c>
      <c r="C7" s="13">
        <f>Income_Statement!C25</f>
        <v>57802.2</v>
      </c>
      <c r="D7" s="13">
        <f>Income_Statement!D25</f>
        <v>59949.2</v>
      </c>
      <c r="E7" s="13">
        <f>Income_Statement!E25</f>
        <v>49940.6</v>
      </c>
      <c r="F7" s="13">
        <f>Income_Statement!F25</f>
        <v>47565.5</v>
      </c>
      <c r="G7" s="13">
        <f>Income_Statement!G25</f>
        <v>56319.199999999997</v>
      </c>
    </row>
    <row r="8" spans="2:15" ht="18.75" x14ac:dyDescent="0.25">
      <c r="B8" s="14" t="s">
        <v>159</v>
      </c>
      <c r="C8" s="16">
        <f>ROUND(C6- C7, 2)</f>
        <v>22546.6</v>
      </c>
      <c r="D8" s="16">
        <f t="shared" ref="D8:G8" si="0">ROUND(D6- D7, 2)</f>
        <v>23089.3</v>
      </c>
      <c r="E8" s="16">
        <f t="shared" si="0"/>
        <v>21764.2</v>
      </c>
      <c r="F8" s="16">
        <f t="shared" si="0"/>
        <v>19006.3</v>
      </c>
      <c r="G8" s="16">
        <f t="shared" si="0"/>
        <v>27480.6</v>
      </c>
    </row>
  </sheetData>
  <mergeCells count="1">
    <mergeCell ref="B5:G5"/>
  </mergeCells>
  <hyperlinks>
    <hyperlink ref="F1" location="Index_Data!A1" tooltip="Hi click here To return Index page" display="Index_Data!A1" xr:uid="{43765B54-8071-4EEE-B439-E9ADDD92CBC9}"/>
  </hyperlink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C08DF6-3CBE-40EC-9A72-ABE7D4977CF0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35.85546875" bestFit="1" customWidth="1"/>
    <col min="3" max="5" width="13.140625" bestFit="1" customWidth="1"/>
    <col min="6" max="7" width="14.8554687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160</v>
      </c>
      <c r="C5" s="44"/>
      <c r="D5" s="44"/>
      <c r="E5" s="44"/>
      <c r="F5" s="44"/>
      <c r="G5" s="44"/>
    </row>
    <row r="6" spans="2:15" ht="18.75" x14ac:dyDescent="0.25">
      <c r="B6" s="12" t="str">
        <f>Income_Statement!B49</f>
        <v>Reported Net Profit(PAT)</v>
      </c>
      <c r="C6" s="13">
        <f>Income_Statement!C49</f>
        <v>15969.897686337576</v>
      </c>
      <c r="D6" s="13">
        <f>Income_Statement!D49</f>
        <v>19582.030848341434</v>
      </c>
      <c r="E6" s="13">
        <f>Income_Statement!E49</f>
        <v>20011.846501768356</v>
      </c>
      <c r="F6" s="13">
        <f>Income_Statement!F49</f>
        <v>17875.844107264642</v>
      </c>
      <c r="G6" s="13">
        <f>Income_Statement!G49</f>
        <v>25493.020819858768</v>
      </c>
    </row>
    <row r="7" spans="2:15" ht="18.75" x14ac:dyDescent="0.25">
      <c r="B7" s="12" t="str">
        <f>Balance_Sheet!B74</f>
        <v>Total Assets</v>
      </c>
      <c r="C7" s="13">
        <f>Balance_Sheet!C74</f>
        <v>60248.400000000009</v>
      </c>
      <c r="D7" s="13">
        <f>Balance_Sheet!D74</f>
        <v>76104.630848341447</v>
      </c>
      <c r="E7" s="13">
        <f>Balance_Sheet!E74</f>
        <v>90541.177350109792</v>
      </c>
      <c r="F7" s="13">
        <f>Balance_Sheet!F74</f>
        <v>111171.92145737444</v>
      </c>
      <c r="G7" s="13">
        <f>Balance_Sheet!G74</f>
        <v>137204.8422772332</v>
      </c>
    </row>
    <row r="8" spans="2:15" ht="18.75" x14ac:dyDescent="0.25">
      <c r="B8" s="14" t="s">
        <v>161</v>
      </c>
      <c r="C8" s="15">
        <f>ROUND(C6/ C7, 2)</f>
        <v>0.27</v>
      </c>
      <c r="D8" s="15">
        <f t="shared" ref="D8:G8" si="0">ROUND(D6/ D7, 2)</f>
        <v>0.26</v>
      </c>
      <c r="E8" s="15">
        <f t="shared" si="0"/>
        <v>0.22</v>
      </c>
      <c r="F8" s="15">
        <f t="shared" si="0"/>
        <v>0.16</v>
      </c>
      <c r="G8" s="15">
        <f t="shared" si="0"/>
        <v>0.19</v>
      </c>
    </row>
  </sheetData>
  <mergeCells count="1">
    <mergeCell ref="B5:G5"/>
  </mergeCells>
  <hyperlinks>
    <hyperlink ref="F1" location="Index_Data!A1" tooltip="Hi click here To return Index page" display="Index_Data!A1" xr:uid="{9CDE9826-6422-4EDA-B0FF-2A99F16D916E}"/>
  </hyperlink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F4BD17-2734-4DFF-A904-3736030994DD}">
  <dimension ref="B1:O9"/>
  <sheetViews>
    <sheetView showGridLines="0" workbookViewId="0">
      <selection activeCell="B9" sqref="B9"/>
    </sheetView>
  </sheetViews>
  <sheetFormatPr defaultRowHeight="15" x14ac:dyDescent="0.25"/>
  <cols>
    <col min="2" max="2" width="42.140625" bestFit="1" customWidth="1"/>
    <col min="3" max="6" width="14.140625" bestFit="1" customWidth="1"/>
    <col min="7" max="7" width="14.8554687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162</v>
      </c>
      <c r="C5" s="44"/>
      <c r="D5" s="44"/>
      <c r="E5" s="44"/>
      <c r="F5" s="44"/>
      <c r="G5" s="44"/>
    </row>
    <row r="6" spans="2:15" ht="18.75" x14ac:dyDescent="0.25">
      <c r="B6" s="12" t="str">
        <f>Income_Statement!B33</f>
        <v>PBIT</v>
      </c>
      <c r="C6" s="13">
        <f>Income_Statement!C33</f>
        <v>19601.897686337576</v>
      </c>
      <c r="D6" s="13">
        <f>Income_Statement!D33</f>
        <v>22631.130848341436</v>
      </c>
      <c r="E6" s="13">
        <f>Income_Statement!E33</f>
        <v>21571.246501768357</v>
      </c>
      <c r="F6" s="13">
        <f>Income_Statement!F33</f>
        <v>18909.544107264643</v>
      </c>
      <c r="G6" s="13">
        <f>Income_Statement!G33</f>
        <v>26437.320819858767</v>
      </c>
    </row>
    <row r="7" spans="2:15" ht="18.75" x14ac:dyDescent="0.25">
      <c r="B7" s="12" t="str">
        <f>Balance_Sheet!B21</f>
        <v>Total Debt</v>
      </c>
      <c r="C7" s="13">
        <f>Balance_Sheet!C21</f>
        <v>722.8</v>
      </c>
      <c r="D7" s="13">
        <f>Balance_Sheet!D21</f>
        <v>771.5</v>
      </c>
      <c r="E7" s="13">
        <f>Balance_Sheet!E21</f>
        <v>769.19999999999993</v>
      </c>
      <c r="F7" s="13">
        <f>Balance_Sheet!F21</f>
        <v>937</v>
      </c>
      <c r="G7" s="13">
        <f>Balance_Sheet!G21</f>
        <v>381.9</v>
      </c>
    </row>
    <row r="8" spans="2:15" ht="18.75" x14ac:dyDescent="0.25">
      <c r="B8" s="12" t="str">
        <f>Balance_Sheet!B13</f>
        <v>Net Worth</v>
      </c>
      <c r="C8" s="13">
        <f>Balance_Sheet!C13</f>
        <v>42559.4</v>
      </c>
      <c r="D8" s="13">
        <f>Balance_Sheet!D13</f>
        <v>59228.030848341441</v>
      </c>
      <c r="E8" s="13">
        <f>Balance_Sheet!E13</f>
        <v>76326.477350109795</v>
      </c>
      <c r="F8" s="13">
        <f>Balance_Sheet!F13</f>
        <v>92389.821457374434</v>
      </c>
      <c r="G8" s="13">
        <f>Balance_Sheet!G13</f>
        <v>117882.8422772332</v>
      </c>
    </row>
    <row r="9" spans="2:15" ht="18.75" x14ac:dyDescent="0.25">
      <c r="B9" s="14" t="s">
        <v>163</v>
      </c>
      <c r="C9" s="15">
        <f>ROUND(C6/ (C7+ C7), 2)</f>
        <v>13.56</v>
      </c>
      <c r="D9" s="15">
        <f t="shared" ref="D9:G9" si="0">ROUND(D6/ (D7+ D7), 2)</f>
        <v>14.67</v>
      </c>
      <c r="E9" s="15">
        <f t="shared" si="0"/>
        <v>14.02</v>
      </c>
      <c r="F9" s="15">
        <f t="shared" si="0"/>
        <v>10.09</v>
      </c>
      <c r="G9" s="15">
        <f t="shared" si="0"/>
        <v>34.61</v>
      </c>
    </row>
  </sheetData>
  <mergeCells count="1">
    <mergeCell ref="B5:G5"/>
  </mergeCells>
  <hyperlinks>
    <hyperlink ref="F1" location="Index_Data!A1" tooltip="Hi click here To return Index page" display="Index_Data!A1" xr:uid="{9983E8AD-B458-412F-A7BE-3C740F50B0E9}"/>
  </hyperlink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768417-CE12-442A-BA9A-28E01B864E11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35.85546875" bestFit="1" customWidth="1"/>
    <col min="3" max="6" width="13.140625" bestFit="1" customWidth="1"/>
    <col min="7" max="7" width="14.8554687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164</v>
      </c>
      <c r="C5" s="44"/>
      <c r="D5" s="44"/>
      <c r="E5" s="44"/>
      <c r="F5" s="44"/>
      <c r="G5" s="44"/>
    </row>
    <row r="6" spans="2:15" ht="18.75" x14ac:dyDescent="0.25">
      <c r="B6" s="12" t="str">
        <f>Income_Statement!B49</f>
        <v>Reported Net Profit(PAT)</v>
      </c>
      <c r="C6" s="13">
        <f>Income_Statement!C49</f>
        <v>15969.897686337576</v>
      </c>
      <c r="D6" s="13">
        <f>Income_Statement!D49</f>
        <v>19582.030848341434</v>
      </c>
      <c r="E6" s="13">
        <f>Income_Statement!E49</f>
        <v>20011.846501768356</v>
      </c>
      <c r="F6" s="13">
        <f>Income_Statement!F49</f>
        <v>17875.844107264642</v>
      </c>
      <c r="G6" s="13">
        <f>Income_Statement!G49</f>
        <v>25493.020819858768</v>
      </c>
    </row>
    <row r="7" spans="2:15" ht="18.75" x14ac:dyDescent="0.25">
      <c r="B7" s="12" t="str">
        <f>Balance_Sheet!B13</f>
        <v>Net Worth</v>
      </c>
      <c r="C7" s="13">
        <f>Balance_Sheet!C13</f>
        <v>42559.4</v>
      </c>
      <c r="D7" s="13">
        <f>Balance_Sheet!D13</f>
        <v>59228.030848341441</v>
      </c>
      <c r="E7" s="13">
        <f>Balance_Sheet!E13</f>
        <v>76326.477350109795</v>
      </c>
      <c r="F7" s="13">
        <f>Balance_Sheet!F13</f>
        <v>92389.821457374434</v>
      </c>
      <c r="G7" s="13">
        <f>Balance_Sheet!G13</f>
        <v>117882.8422772332</v>
      </c>
    </row>
    <row r="8" spans="2:15" ht="18.75" x14ac:dyDescent="0.25">
      <c r="B8" s="14" t="s">
        <v>165</v>
      </c>
      <c r="C8" s="15">
        <f>ROUND(C6/ (C7+ C7), 2)</f>
        <v>0.19</v>
      </c>
      <c r="D8" s="15">
        <f t="shared" ref="D8:G8" si="0">ROUND(D6/ (D7+ D7), 2)</f>
        <v>0.17</v>
      </c>
      <c r="E8" s="15">
        <f t="shared" si="0"/>
        <v>0.13</v>
      </c>
      <c r="F8" s="15">
        <f t="shared" si="0"/>
        <v>0.1</v>
      </c>
      <c r="G8" s="15">
        <f t="shared" si="0"/>
        <v>0.11</v>
      </c>
    </row>
  </sheetData>
  <mergeCells count="1">
    <mergeCell ref="B5:G5"/>
  </mergeCells>
  <hyperlinks>
    <hyperlink ref="F1" location="Index_Data!A1" tooltip="Hi click here To return Index page" display="Index_Data!A1" xr:uid="{90D26F77-96EB-4E96-90F1-5FBE2DF8892A}"/>
  </hyperlink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F7012A-CC7D-4A9A-8272-85F349ED2B50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25.85546875" bestFit="1" customWidth="1"/>
    <col min="3" max="6" width="13.140625" bestFit="1" customWidth="1"/>
    <col min="7" max="7" width="14.8554687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166</v>
      </c>
      <c r="C5" s="44"/>
      <c r="D5" s="44"/>
      <c r="E5" s="44"/>
      <c r="F5" s="44"/>
      <c r="G5" s="44"/>
    </row>
    <row r="6" spans="2:15" ht="18.75" x14ac:dyDescent="0.25">
      <c r="B6" s="12" t="str">
        <f>Balance_Sheet!B21</f>
        <v>Total Debt</v>
      </c>
      <c r="C6" s="13">
        <f>Balance_Sheet!C21</f>
        <v>722.8</v>
      </c>
      <c r="D6" s="13">
        <f>Balance_Sheet!D21</f>
        <v>771.5</v>
      </c>
      <c r="E6" s="13">
        <f>Balance_Sheet!E21</f>
        <v>769.19999999999993</v>
      </c>
      <c r="F6" s="13">
        <f>Balance_Sheet!F21</f>
        <v>937</v>
      </c>
      <c r="G6" s="13">
        <f>Balance_Sheet!G21</f>
        <v>381.9</v>
      </c>
    </row>
    <row r="7" spans="2:15" ht="18.75" x14ac:dyDescent="0.25">
      <c r="B7" s="12" t="str">
        <f>Balance_Sheet!B13</f>
        <v>Net Worth</v>
      </c>
      <c r="C7" s="13">
        <f>Balance_Sheet!C13</f>
        <v>42559.4</v>
      </c>
      <c r="D7" s="13">
        <f>Balance_Sheet!D13</f>
        <v>59228.030848341441</v>
      </c>
      <c r="E7" s="13">
        <f>Balance_Sheet!E13</f>
        <v>76326.477350109795</v>
      </c>
      <c r="F7" s="13">
        <f>Balance_Sheet!F13</f>
        <v>92389.821457374434</v>
      </c>
      <c r="G7" s="13">
        <f>Balance_Sheet!G13</f>
        <v>117882.8422772332</v>
      </c>
    </row>
    <row r="8" spans="2:15" ht="18.75" x14ac:dyDescent="0.25">
      <c r="B8" s="14" t="s">
        <v>167</v>
      </c>
      <c r="C8" s="14">
        <f>ROUND(C6/ C7, 2)</f>
        <v>0.02</v>
      </c>
      <c r="D8" s="14">
        <f t="shared" ref="D8:G8" si="0">ROUND(D6/ D7, 2)</f>
        <v>0.01</v>
      </c>
      <c r="E8" s="14">
        <f t="shared" si="0"/>
        <v>0.01</v>
      </c>
      <c r="F8" s="14">
        <f t="shared" si="0"/>
        <v>0.01</v>
      </c>
      <c r="G8" s="14">
        <f t="shared" si="0"/>
        <v>0</v>
      </c>
    </row>
  </sheetData>
  <mergeCells count="1">
    <mergeCell ref="B5:G5"/>
  </mergeCells>
  <hyperlinks>
    <hyperlink ref="F1" location="Index_Data!A1" tooltip="Hi click here To return Index page" display="Index_Data!A1" xr:uid="{52263F9E-E52E-4B78-921B-A7A2E7339864}"/>
  </hyperlink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8A196A-C995-447A-A512-3EF3A29FA25B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34.42578125" bestFit="1" customWidth="1"/>
    <col min="3" max="7" width="13.1406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168</v>
      </c>
      <c r="C5" s="44"/>
      <c r="D5" s="44"/>
      <c r="E5" s="44"/>
      <c r="F5" s="44"/>
      <c r="G5" s="44"/>
    </row>
    <row r="6" spans="2:15" ht="18.75" x14ac:dyDescent="0.25">
      <c r="B6" s="12" t="str">
        <f>Balance_Sheet!B72</f>
        <v>Total Current Assets</v>
      </c>
      <c r="C6" s="13">
        <f>Balance_Sheet!C72</f>
        <v>8604.4</v>
      </c>
      <c r="D6" s="13">
        <f>Balance_Sheet!D72</f>
        <v>24577.63084834144</v>
      </c>
      <c r="E6" s="13">
        <f>Balance_Sheet!E72</f>
        <v>42513.677350109792</v>
      </c>
      <c r="F6" s="13">
        <f>Balance_Sheet!F72</f>
        <v>61622.421457374439</v>
      </c>
      <c r="G6" s="13">
        <f>Balance_Sheet!G72</f>
        <v>90858.742277233192</v>
      </c>
    </row>
    <row r="7" spans="2:15" ht="18.75" x14ac:dyDescent="0.25">
      <c r="B7" s="12" t="str">
        <f>Balance_Sheet!B33</f>
        <v>Total Current Liabilities</v>
      </c>
      <c r="C7" s="13">
        <f>Balance_Sheet!C33</f>
        <v>16950.099999999999</v>
      </c>
      <c r="D7" s="13">
        <f>Balance_Sheet!D33</f>
        <v>16087.5</v>
      </c>
      <c r="E7" s="13">
        <f>Balance_Sheet!E33</f>
        <v>13426.300000000001</v>
      </c>
      <c r="F7" s="13">
        <f>Balance_Sheet!F33</f>
        <v>17845.099999999999</v>
      </c>
      <c r="G7" s="13">
        <f>Balance_Sheet!G33</f>
        <v>18940.099999999999</v>
      </c>
    </row>
    <row r="8" spans="2:15" ht="18.75" x14ac:dyDescent="0.25">
      <c r="B8" s="14" t="s">
        <v>169</v>
      </c>
      <c r="C8" s="14">
        <f>ROUND(C6/ C7, 2)</f>
        <v>0.51</v>
      </c>
      <c r="D8" s="14">
        <f t="shared" ref="D8:G8" si="0">ROUND(D6/ D7, 2)</f>
        <v>1.53</v>
      </c>
      <c r="E8" s="14">
        <f t="shared" si="0"/>
        <v>3.17</v>
      </c>
      <c r="F8" s="14">
        <f t="shared" si="0"/>
        <v>3.45</v>
      </c>
      <c r="G8" s="14">
        <f t="shared" si="0"/>
        <v>4.8</v>
      </c>
    </row>
  </sheetData>
  <mergeCells count="1">
    <mergeCell ref="B5:G5"/>
  </mergeCells>
  <hyperlinks>
    <hyperlink ref="F1" location="Index_Data!A1" tooltip="Hi click here To return Index page" display="Index_Data!A1" xr:uid="{BA74D97A-9C1B-41A6-BDAB-A36E133F23D0}"/>
  </hyperlink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F9C7E6-870A-486B-BEB9-5B1ABD076B89}">
  <dimension ref="A1:O41"/>
  <sheetViews>
    <sheetView topLeftCell="A23" workbookViewId="0">
      <selection activeCell="A41" sqref="A41"/>
    </sheetView>
  </sheetViews>
  <sheetFormatPr defaultRowHeight="15" x14ac:dyDescent="0.25"/>
  <sheetData>
    <row r="1" spans="1:15" x14ac:dyDescent="0.25">
      <c r="F1" s="45" t="s">
        <v>271</v>
      </c>
      <c r="O1" s="46"/>
    </row>
    <row r="2" spans="1:15" x14ac:dyDescent="0.25">
      <c r="B2" s="3" t="s">
        <v>55</v>
      </c>
      <c r="C2" s="1">
        <v>44638</v>
      </c>
      <c r="D2" s="1">
        <v>44639</v>
      </c>
      <c r="E2" s="1">
        <v>44640</v>
      </c>
      <c r="F2" s="1">
        <v>44641</v>
      </c>
      <c r="G2" s="1">
        <v>44642</v>
      </c>
      <c r="H2" t="s">
        <v>1</v>
      </c>
    </row>
    <row r="3" spans="1:15" x14ac:dyDescent="0.25">
      <c r="B3" t="s">
        <v>1</v>
      </c>
      <c r="C3" t="s">
        <v>2</v>
      </c>
      <c r="D3" t="s">
        <v>2</v>
      </c>
      <c r="E3" t="s">
        <v>2</v>
      </c>
      <c r="F3" t="s">
        <v>2</v>
      </c>
      <c r="G3" t="s">
        <v>2</v>
      </c>
      <c r="H3" t="s">
        <v>1</v>
      </c>
    </row>
    <row r="4" spans="1:15" x14ac:dyDescent="0.25">
      <c r="B4" t="s">
        <v>56</v>
      </c>
      <c r="H4" t="s">
        <v>1</v>
      </c>
    </row>
    <row r="5" spans="1:15" x14ac:dyDescent="0.25">
      <c r="A5" t="s">
        <v>97</v>
      </c>
      <c r="B5" t="s">
        <v>97</v>
      </c>
      <c r="C5" s="2">
        <v>80348.800000000003</v>
      </c>
      <c r="D5" s="2">
        <v>83038.5</v>
      </c>
      <c r="E5" s="2">
        <v>71704.800000000003</v>
      </c>
      <c r="F5" s="2">
        <v>66571.8</v>
      </c>
      <c r="G5" s="2">
        <v>83799.8</v>
      </c>
      <c r="H5" t="s">
        <v>1</v>
      </c>
    </row>
    <row r="6" spans="1:15" x14ac:dyDescent="0.25">
      <c r="A6" t="s">
        <v>98</v>
      </c>
      <c r="B6" t="s">
        <v>98</v>
      </c>
      <c r="C6">
        <v>2231.6999999999998</v>
      </c>
      <c r="D6">
        <v>0</v>
      </c>
      <c r="E6">
        <v>0</v>
      </c>
      <c r="F6">
        <v>0</v>
      </c>
      <c r="G6" s="2">
        <v>0</v>
      </c>
      <c r="H6" t="s">
        <v>1</v>
      </c>
    </row>
    <row r="7" spans="1:15" x14ac:dyDescent="0.25">
      <c r="B7" t="s">
        <v>57</v>
      </c>
      <c r="C7" s="2">
        <v>78117.100000000006</v>
      </c>
      <c r="D7" s="2">
        <v>83038.5</v>
      </c>
      <c r="E7" s="2">
        <v>71704.800000000003</v>
      </c>
      <c r="F7" s="2">
        <v>66571.8</v>
      </c>
      <c r="G7" s="2">
        <v>83799.8</v>
      </c>
      <c r="H7" t="s">
        <v>1</v>
      </c>
    </row>
    <row r="8" spans="1:15" x14ac:dyDescent="0.25">
      <c r="B8" t="s">
        <v>58</v>
      </c>
      <c r="C8" s="2">
        <v>79809.399999999994</v>
      </c>
      <c r="D8" s="2">
        <v>86068.5</v>
      </c>
      <c r="E8" s="2">
        <v>75660</v>
      </c>
      <c r="F8" s="2">
        <v>70372</v>
      </c>
      <c r="G8" s="2">
        <v>88329.8</v>
      </c>
      <c r="H8" t="s">
        <v>1</v>
      </c>
    </row>
    <row r="9" spans="1:15" x14ac:dyDescent="0.25">
      <c r="A9" t="s">
        <v>59</v>
      </c>
      <c r="B9" t="s">
        <v>59</v>
      </c>
      <c r="C9" s="2">
        <v>2045.8</v>
      </c>
      <c r="D9" s="2">
        <v>2561.6</v>
      </c>
      <c r="E9" s="2">
        <v>3334.4</v>
      </c>
      <c r="F9" s="2">
        <v>2936.3</v>
      </c>
      <c r="G9" s="2">
        <v>1744.7</v>
      </c>
      <c r="H9" t="s">
        <v>1</v>
      </c>
    </row>
    <row r="10" spans="1:15" x14ac:dyDescent="0.25">
      <c r="B10" t="s">
        <v>60</v>
      </c>
      <c r="C10" s="2">
        <v>81855.199999999997</v>
      </c>
      <c r="D10" s="2">
        <v>88630.1</v>
      </c>
      <c r="E10" s="2">
        <v>78994.399999999994</v>
      </c>
      <c r="F10" s="2">
        <v>73308.3</v>
      </c>
      <c r="G10" s="2">
        <v>90074.5</v>
      </c>
      <c r="H10" t="s">
        <v>1</v>
      </c>
    </row>
    <row r="11" spans="1:15" x14ac:dyDescent="0.25">
      <c r="B11" t="s">
        <v>61</v>
      </c>
      <c r="H11" t="s">
        <v>1</v>
      </c>
    </row>
    <row r="12" spans="1:15" x14ac:dyDescent="0.25">
      <c r="A12" t="s">
        <v>99</v>
      </c>
      <c r="B12" t="s">
        <v>62</v>
      </c>
      <c r="C12" s="2">
        <v>44943.199999999997</v>
      </c>
      <c r="D12" s="2">
        <v>45025.7</v>
      </c>
      <c r="E12" s="2">
        <v>34634.800000000003</v>
      </c>
      <c r="F12" s="2">
        <v>33296.400000000001</v>
      </c>
      <c r="G12" s="2">
        <v>39739.599999999999</v>
      </c>
      <c r="H12" t="s">
        <v>1</v>
      </c>
    </row>
    <row r="13" spans="1:15" x14ac:dyDescent="0.25">
      <c r="B13" t="s">
        <v>63</v>
      </c>
      <c r="C13" s="2">
        <v>10002.1</v>
      </c>
      <c r="D13" s="2">
        <v>15026.6</v>
      </c>
      <c r="E13" s="2">
        <v>18767.2</v>
      </c>
      <c r="F13" s="2">
        <v>17254.099999999999</v>
      </c>
      <c r="G13" s="2">
        <v>26397.5</v>
      </c>
      <c r="H13" t="s">
        <v>1</v>
      </c>
    </row>
    <row r="14" spans="1:15" x14ac:dyDescent="0.25">
      <c r="A14" t="s">
        <v>99</v>
      </c>
      <c r="B14" t="s">
        <v>64</v>
      </c>
      <c r="C14">
        <v>0</v>
      </c>
      <c r="D14">
        <v>0</v>
      </c>
      <c r="E14">
        <v>0</v>
      </c>
      <c r="F14">
        <v>0</v>
      </c>
      <c r="G14">
        <v>0</v>
      </c>
      <c r="H14" t="s">
        <v>1</v>
      </c>
    </row>
    <row r="15" spans="1:15" x14ac:dyDescent="0.25">
      <c r="B15" t="s">
        <v>65</v>
      </c>
      <c r="C15">
        <v>40.799999999999997</v>
      </c>
      <c r="D15">
        <v>211.6</v>
      </c>
      <c r="E15">
        <v>-238.7</v>
      </c>
      <c r="F15">
        <v>273.60000000000002</v>
      </c>
      <c r="G15">
        <v>-93.1</v>
      </c>
      <c r="H15" t="s">
        <v>1</v>
      </c>
    </row>
    <row r="16" spans="1:15" x14ac:dyDescent="0.25">
      <c r="A16" t="s">
        <v>99</v>
      </c>
      <c r="B16" t="s">
        <v>66</v>
      </c>
      <c r="C16" s="2">
        <v>2863.4</v>
      </c>
      <c r="D16" s="2">
        <v>3285</v>
      </c>
      <c r="E16" s="2">
        <v>3416.2</v>
      </c>
      <c r="F16" s="2">
        <v>3431.6</v>
      </c>
      <c r="G16" s="2">
        <v>4051.4</v>
      </c>
      <c r="H16" t="s">
        <v>1</v>
      </c>
    </row>
    <row r="17" spans="1:8" x14ac:dyDescent="0.25">
      <c r="A17" t="s">
        <v>100</v>
      </c>
      <c r="B17" t="s">
        <v>67</v>
      </c>
      <c r="C17">
        <v>345.8</v>
      </c>
      <c r="D17">
        <v>75.900000000000006</v>
      </c>
      <c r="E17">
        <v>134.19999999999999</v>
      </c>
      <c r="F17">
        <v>101.8</v>
      </c>
      <c r="G17">
        <v>126.6</v>
      </c>
      <c r="H17" t="s">
        <v>1</v>
      </c>
    </row>
    <row r="18" spans="1:8" x14ac:dyDescent="0.25">
      <c r="A18" t="s">
        <v>101</v>
      </c>
      <c r="B18" t="s">
        <v>68</v>
      </c>
      <c r="C18" s="2">
        <v>2759.8</v>
      </c>
      <c r="D18" s="2">
        <v>3020.8</v>
      </c>
      <c r="E18" s="2">
        <v>3528.4</v>
      </c>
      <c r="F18" s="2">
        <v>3034.1</v>
      </c>
      <c r="G18" s="2">
        <v>2789</v>
      </c>
      <c r="H18" t="s">
        <v>1</v>
      </c>
    </row>
    <row r="19" spans="1:8" x14ac:dyDescent="0.25">
      <c r="A19" t="s">
        <v>99</v>
      </c>
      <c r="B19" t="s">
        <v>69</v>
      </c>
      <c r="C19" s="2">
        <v>9995.6</v>
      </c>
      <c r="D19" s="2">
        <v>11638.5</v>
      </c>
      <c r="E19" s="2">
        <v>11889.6</v>
      </c>
      <c r="F19" s="2">
        <v>10837.5</v>
      </c>
      <c r="G19" s="2">
        <v>12528.2</v>
      </c>
      <c r="H19" t="s">
        <v>1</v>
      </c>
    </row>
    <row r="20" spans="1:8" x14ac:dyDescent="0.25">
      <c r="B20" t="s">
        <v>70</v>
      </c>
      <c r="C20" s="2">
        <v>70851.600000000006</v>
      </c>
      <c r="D20" s="2">
        <v>78162</v>
      </c>
      <c r="E20" s="2">
        <v>72010</v>
      </c>
      <c r="F20" s="2">
        <v>68156.3</v>
      </c>
      <c r="G20" s="2">
        <v>85539.199999999997</v>
      </c>
      <c r="H20" t="s">
        <v>1</v>
      </c>
    </row>
    <row r="21" spans="1:8" x14ac:dyDescent="0.25">
      <c r="B21" t="s">
        <v>71</v>
      </c>
      <c r="C21" s="2">
        <v>11003.6</v>
      </c>
      <c r="D21" s="2">
        <v>10468.1</v>
      </c>
      <c r="E21" s="2">
        <v>6984.4</v>
      </c>
      <c r="F21" s="2">
        <v>5152</v>
      </c>
      <c r="G21" s="2">
        <v>4535.3</v>
      </c>
      <c r="H21" t="s">
        <v>1</v>
      </c>
    </row>
    <row r="22" spans="1:8" x14ac:dyDescent="0.25">
      <c r="A22" t="s">
        <v>102</v>
      </c>
      <c r="B22" t="s">
        <v>72</v>
      </c>
      <c r="C22">
        <v>0</v>
      </c>
      <c r="D22">
        <v>0</v>
      </c>
      <c r="E22">
        <v>0</v>
      </c>
      <c r="F22">
        <v>0</v>
      </c>
      <c r="G22">
        <v>0</v>
      </c>
      <c r="H22" t="s">
        <v>1</v>
      </c>
    </row>
    <row r="23" spans="1:8" x14ac:dyDescent="0.25">
      <c r="B23" t="s">
        <v>73</v>
      </c>
      <c r="C23" s="2">
        <v>11003.6</v>
      </c>
      <c r="D23" s="2">
        <v>10468.1</v>
      </c>
      <c r="E23" s="2">
        <v>6984.4</v>
      </c>
      <c r="F23" s="2">
        <v>5152</v>
      </c>
      <c r="G23" s="2">
        <v>4535.3</v>
      </c>
      <c r="H23" t="s">
        <v>1</v>
      </c>
    </row>
    <row r="24" spans="1:8" x14ac:dyDescent="0.25">
      <c r="B24" t="s">
        <v>74</v>
      </c>
      <c r="H24" t="s">
        <v>1</v>
      </c>
    </row>
    <row r="25" spans="1:8" x14ac:dyDescent="0.25">
      <c r="B25" t="s">
        <v>75</v>
      </c>
      <c r="C25">
        <v>3350.5</v>
      </c>
      <c r="D25" s="2">
        <v>2933.8</v>
      </c>
      <c r="E25" s="2">
        <v>1376.5</v>
      </c>
      <c r="F25" s="2">
        <v>1156.2</v>
      </c>
      <c r="G25" s="2">
        <v>817.7</v>
      </c>
      <c r="H25" t="s">
        <v>1</v>
      </c>
    </row>
    <row r="26" spans="1:8" x14ac:dyDescent="0.25">
      <c r="B26" t="s">
        <v>76</v>
      </c>
      <c r="C26">
        <v>0</v>
      </c>
      <c r="D26">
        <v>0</v>
      </c>
      <c r="E26">
        <v>0</v>
      </c>
      <c r="F26">
        <v>0</v>
      </c>
      <c r="G26">
        <v>0</v>
      </c>
      <c r="H26" t="s">
        <v>1</v>
      </c>
    </row>
    <row r="27" spans="1:8" x14ac:dyDescent="0.25">
      <c r="B27" t="s">
        <v>77</v>
      </c>
      <c r="C27">
        <v>-64.3</v>
      </c>
      <c r="D27">
        <v>39.4</v>
      </c>
      <c r="E27">
        <v>48.7</v>
      </c>
      <c r="F27">
        <v>-224.3</v>
      </c>
      <c r="G27">
        <v>0</v>
      </c>
      <c r="H27" t="s">
        <v>1</v>
      </c>
    </row>
    <row r="28" spans="1:8" x14ac:dyDescent="0.25">
      <c r="B28" t="s">
        <v>78</v>
      </c>
      <c r="C28">
        <v>0</v>
      </c>
      <c r="D28">
        <v>0</v>
      </c>
      <c r="E28">
        <v>0</v>
      </c>
      <c r="F28">
        <v>0</v>
      </c>
      <c r="G28">
        <v>0</v>
      </c>
      <c r="H28" t="s">
        <v>1</v>
      </c>
    </row>
    <row r="29" spans="1:8" x14ac:dyDescent="0.25">
      <c r="A29" t="s">
        <v>103</v>
      </c>
      <c r="B29" t="s">
        <v>79</v>
      </c>
      <c r="C29">
        <v>3286.2</v>
      </c>
      <c r="D29">
        <v>2973.2</v>
      </c>
      <c r="E29" s="2">
        <v>1425.2</v>
      </c>
      <c r="F29" s="2">
        <v>931.9</v>
      </c>
      <c r="G29" s="2">
        <v>817.7</v>
      </c>
      <c r="H29" t="s">
        <v>1</v>
      </c>
    </row>
    <row r="30" spans="1:8" x14ac:dyDescent="0.25">
      <c r="B30" t="s">
        <v>80</v>
      </c>
      <c r="C30" s="2">
        <v>7717.4</v>
      </c>
      <c r="D30" s="2">
        <v>7494.9</v>
      </c>
      <c r="E30" s="2">
        <v>5559.2</v>
      </c>
      <c r="F30" s="2">
        <v>4220.1000000000004</v>
      </c>
      <c r="G30" s="2">
        <v>3717.6</v>
      </c>
      <c r="H30" t="s">
        <v>1</v>
      </c>
    </row>
    <row r="31" spans="1:8" x14ac:dyDescent="0.25">
      <c r="B31" t="s">
        <v>81</v>
      </c>
      <c r="C31" s="2">
        <v>7717.4</v>
      </c>
      <c r="D31" s="2">
        <v>7494.9</v>
      </c>
      <c r="E31" s="2">
        <v>5559.2</v>
      </c>
      <c r="F31" s="2">
        <v>4220.1000000000004</v>
      </c>
      <c r="G31" s="2">
        <v>3717.6</v>
      </c>
      <c r="H31" t="s">
        <v>1</v>
      </c>
    </row>
    <row r="32" spans="1:8" x14ac:dyDescent="0.25">
      <c r="B32" t="s">
        <v>82</v>
      </c>
      <c r="C32" s="2">
        <v>7717.4</v>
      </c>
      <c r="D32" s="2">
        <v>7494.9</v>
      </c>
      <c r="E32" s="2">
        <v>5559.2</v>
      </c>
      <c r="F32" s="2">
        <v>4220.1000000000004</v>
      </c>
      <c r="G32" s="2">
        <v>3717.6</v>
      </c>
      <c r="H32" t="s">
        <v>1</v>
      </c>
    </row>
    <row r="33" spans="1:8" x14ac:dyDescent="0.25">
      <c r="B33" t="s">
        <v>10</v>
      </c>
      <c r="C33">
        <v>-0.7</v>
      </c>
      <c r="D33">
        <v>-1.5</v>
      </c>
      <c r="E33">
        <v>-1.6</v>
      </c>
      <c r="F33">
        <v>0</v>
      </c>
      <c r="G33">
        <v>0</v>
      </c>
      <c r="H33" t="s">
        <v>1</v>
      </c>
    </row>
    <row r="34" spans="1:8" x14ac:dyDescent="0.25">
      <c r="B34" t="s">
        <v>83</v>
      </c>
      <c r="C34" s="2">
        <v>7880</v>
      </c>
      <c r="D34" s="2">
        <v>7649.1</v>
      </c>
      <c r="E34" s="2">
        <v>5676</v>
      </c>
      <c r="F34" s="2">
        <v>4389.1000000000004</v>
      </c>
      <c r="G34" s="2">
        <v>3879.5</v>
      </c>
      <c r="H34" t="s">
        <v>1</v>
      </c>
    </row>
    <row r="35" spans="1:8" x14ac:dyDescent="0.25">
      <c r="B35" t="s">
        <v>44</v>
      </c>
      <c r="H35" t="s">
        <v>1</v>
      </c>
    </row>
    <row r="36" spans="1:8" x14ac:dyDescent="0.25">
      <c r="B36" t="s">
        <v>84</v>
      </c>
      <c r="H36" t="s">
        <v>1</v>
      </c>
    </row>
    <row r="37" spans="1:8" x14ac:dyDescent="0.25">
      <c r="B37" t="s">
        <v>85</v>
      </c>
      <c r="C37">
        <v>261</v>
      </c>
      <c r="D37">
        <v>253</v>
      </c>
      <c r="E37">
        <v>188</v>
      </c>
      <c r="F37">
        <v>145</v>
      </c>
      <c r="G37">
        <v>128</v>
      </c>
      <c r="H37" t="s">
        <v>1</v>
      </c>
    </row>
    <row r="38" spans="1:8" x14ac:dyDescent="0.25">
      <c r="B38" t="s">
        <v>86</v>
      </c>
      <c r="C38">
        <v>261</v>
      </c>
      <c r="D38">
        <v>253</v>
      </c>
      <c r="E38">
        <v>188</v>
      </c>
      <c r="F38">
        <v>145</v>
      </c>
      <c r="G38">
        <v>128</v>
      </c>
      <c r="H38" t="s">
        <v>1</v>
      </c>
    </row>
    <row r="39" spans="1:8" x14ac:dyDescent="0.25">
      <c r="B39" t="s">
        <v>87</v>
      </c>
      <c r="H39" t="s">
        <v>1</v>
      </c>
    </row>
    <row r="40" spans="1:8" x14ac:dyDescent="0.25">
      <c r="A40" t="s">
        <v>104</v>
      </c>
      <c r="B40" t="s">
        <v>88</v>
      </c>
      <c r="C40">
        <v>2265.6</v>
      </c>
      <c r="D40" s="2">
        <v>2416.6</v>
      </c>
      <c r="E40" s="2">
        <v>2416.6</v>
      </c>
      <c r="F40" s="2">
        <v>1812.5</v>
      </c>
      <c r="G40" s="2">
        <v>0</v>
      </c>
      <c r="H40" t="s">
        <v>1</v>
      </c>
    </row>
    <row r="41" spans="1:8" x14ac:dyDescent="0.25">
      <c r="A41" t="s">
        <v>104</v>
      </c>
      <c r="B41" t="s">
        <v>89</v>
      </c>
      <c r="C41">
        <v>461.2</v>
      </c>
      <c r="D41">
        <v>496.8</v>
      </c>
      <c r="E41">
        <v>496.8</v>
      </c>
      <c r="F41">
        <v>0</v>
      </c>
      <c r="G41">
        <v>0</v>
      </c>
      <c r="H41" t="s">
        <v>1</v>
      </c>
    </row>
  </sheetData>
  <hyperlinks>
    <hyperlink ref="F1" location="Index_Data!A1" tooltip="Hi click here To return Index page" display="Index_Data!A1" xr:uid="{0FD9B985-4F44-4AAA-8312-C09100878568}"/>
  </hyperlink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EE5C0B-B6D8-4FC4-BB17-9E9754A59A0A}">
  <dimension ref="B1:O9"/>
  <sheetViews>
    <sheetView showGridLines="0" workbookViewId="0">
      <selection activeCell="B9" sqref="B9"/>
    </sheetView>
  </sheetViews>
  <sheetFormatPr defaultRowHeight="15" x14ac:dyDescent="0.25"/>
  <cols>
    <col min="2" max="2" width="34.42578125" bestFit="1" customWidth="1"/>
    <col min="3" max="7" width="13.1406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170</v>
      </c>
      <c r="C5" s="44"/>
      <c r="D5" s="44"/>
      <c r="E5" s="44"/>
      <c r="F5" s="44"/>
      <c r="G5" s="44"/>
    </row>
    <row r="6" spans="2:15" ht="18.75" x14ac:dyDescent="0.25">
      <c r="B6" s="12" t="str">
        <f>Balance_Sheet!B72</f>
        <v>Total Current Assets</v>
      </c>
      <c r="C6" s="13">
        <f>Balance_Sheet!C72</f>
        <v>8604.4</v>
      </c>
      <c r="D6" s="13">
        <f>Balance_Sheet!D72</f>
        <v>24577.63084834144</v>
      </c>
      <c r="E6" s="13">
        <f>Balance_Sheet!E72</f>
        <v>42513.677350109792</v>
      </c>
      <c r="F6" s="13">
        <f>Balance_Sheet!F72</f>
        <v>61622.421457374439</v>
      </c>
      <c r="G6" s="13">
        <f>Balance_Sheet!G72</f>
        <v>90858.742277233192</v>
      </c>
    </row>
    <row r="7" spans="2:15" ht="18.75" x14ac:dyDescent="0.25">
      <c r="B7" s="12" t="str">
        <f>Balance_Sheet!B66</f>
        <v>Inventories</v>
      </c>
      <c r="C7" s="13">
        <f>Balance_Sheet!C66</f>
        <v>3160.2</v>
      </c>
      <c r="D7" s="13">
        <f>Balance_Sheet!D66</f>
        <v>3322.6</v>
      </c>
      <c r="E7" s="13">
        <f>Balance_Sheet!E66</f>
        <v>3213.9</v>
      </c>
      <c r="F7" s="13">
        <f>Balance_Sheet!F66</f>
        <v>3049</v>
      </c>
      <c r="G7" s="13">
        <f>Balance_Sheet!G66</f>
        <v>3532.3</v>
      </c>
    </row>
    <row r="8" spans="2:15" ht="18.75" x14ac:dyDescent="0.25">
      <c r="B8" s="12" t="str">
        <f>Balance_Sheet!B33</f>
        <v>Total Current Liabilities</v>
      </c>
      <c r="C8" s="13">
        <f>Balance_Sheet!C33</f>
        <v>16950.099999999999</v>
      </c>
      <c r="D8" s="13">
        <f>Balance_Sheet!D33</f>
        <v>16087.5</v>
      </c>
      <c r="E8" s="13">
        <f>Balance_Sheet!E33</f>
        <v>13426.300000000001</v>
      </c>
      <c r="F8" s="13">
        <f>Balance_Sheet!F33</f>
        <v>17845.099999999999</v>
      </c>
      <c r="G8" s="13">
        <f>Balance_Sheet!G33</f>
        <v>18940.099999999999</v>
      </c>
    </row>
    <row r="9" spans="2:15" ht="18.75" x14ac:dyDescent="0.25">
      <c r="B9" s="14" t="s">
        <v>171</v>
      </c>
      <c r="C9" s="14">
        <f>ROUND((C6-C7)/ C8, 2)</f>
        <v>0.32</v>
      </c>
      <c r="D9" s="14">
        <f t="shared" ref="D9:G9" si="0">ROUND((D6-D7)/ D8, 2)</f>
        <v>1.32</v>
      </c>
      <c r="E9" s="14">
        <f t="shared" si="0"/>
        <v>2.93</v>
      </c>
      <c r="F9" s="14">
        <f t="shared" si="0"/>
        <v>3.28</v>
      </c>
      <c r="G9" s="14">
        <f t="shared" si="0"/>
        <v>4.6100000000000003</v>
      </c>
    </row>
  </sheetData>
  <mergeCells count="1">
    <mergeCell ref="B5:G5"/>
  </mergeCells>
  <hyperlinks>
    <hyperlink ref="F1" location="Index_Data!A1" tooltip="Hi click here To return Index page" display="Index_Data!A1" xr:uid="{27371454-3891-4766-BDDC-82F26F92A140}"/>
  </hyperlinks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394663-53CB-4A4F-9E8E-36FF8EFAFB00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33.5703125" bestFit="1" customWidth="1"/>
    <col min="3" max="7" width="13.1406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172</v>
      </c>
      <c r="C5" s="44"/>
      <c r="D5" s="44"/>
      <c r="E5" s="44"/>
      <c r="F5" s="44"/>
      <c r="G5" s="44"/>
    </row>
    <row r="6" spans="2:15" ht="18.75" x14ac:dyDescent="0.25">
      <c r="B6" s="12" t="str">
        <f>Income_Statement!B33</f>
        <v>PBIT</v>
      </c>
      <c r="C6" s="13">
        <f>Income_Statement!C33</f>
        <v>19601.897686337576</v>
      </c>
      <c r="D6" s="13">
        <f>Income_Statement!D33</f>
        <v>22631.130848341436</v>
      </c>
      <c r="E6" s="13">
        <f>Income_Statement!E33</f>
        <v>21571.246501768357</v>
      </c>
      <c r="F6" s="13">
        <f>Income_Statement!F33</f>
        <v>18909.544107264643</v>
      </c>
      <c r="G6" s="13">
        <f>Income_Statement!G33</f>
        <v>26437.320819858767</v>
      </c>
    </row>
    <row r="7" spans="2:15" ht="18.75" x14ac:dyDescent="0.25">
      <c r="B7" s="12" t="str">
        <f>Income_Statement!B35</f>
        <v>Finance Costs</v>
      </c>
      <c r="C7" s="13">
        <f>Income_Statement!C35</f>
        <v>345.8</v>
      </c>
      <c r="D7" s="13">
        <f>Income_Statement!D35</f>
        <v>75.900000000000006</v>
      </c>
      <c r="E7" s="13">
        <f>Income_Statement!E35</f>
        <v>134.19999999999999</v>
      </c>
      <c r="F7" s="13">
        <f>Income_Statement!F35</f>
        <v>101.8</v>
      </c>
      <c r="G7" s="13">
        <f>Income_Statement!G35</f>
        <v>126.6</v>
      </c>
    </row>
    <row r="8" spans="2:15" ht="18.75" x14ac:dyDescent="0.25">
      <c r="B8" s="14" t="s">
        <v>173</v>
      </c>
      <c r="C8" s="14">
        <f>ROUND(C6/C7, 2)</f>
        <v>56.69</v>
      </c>
      <c r="D8" s="14">
        <f t="shared" ref="D8:G8" si="0">ROUND(D6/D7, 2)</f>
        <v>298.17</v>
      </c>
      <c r="E8" s="14">
        <f t="shared" si="0"/>
        <v>160.74</v>
      </c>
      <c r="F8" s="14">
        <f t="shared" si="0"/>
        <v>185.75</v>
      </c>
      <c r="G8" s="14">
        <f t="shared" si="0"/>
        <v>208.83</v>
      </c>
    </row>
  </sheetData>
  <mergeCells count="1">
    <mergeCell ref="B5:G5"/>
  </mergeCells>
  <hyperlinks>
    <hyperlink ref="F1" location="Index_Data!A1" tooltip="Hi click here To return Index page" display="Index_Data!A1" xr:uid="{2885EB12-C98D-4B6B-AC12-8CDF2D36F97C}"/>
  </hyperlinks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8A9C8A-BF90-4E28-BB13-47EC6252FA8A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40.42578125" bestFit="1" customWidth="1"/>
    <col min="3" max="7" width="13.1406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174</v>
      </c>
      <c r="C5" s="44"/>
      <c r="D5" s="44"/>
      <c r="E5" s="44"/>
      <c r="F5" s="44"/>
      <c r="G5" s="44"/>
    </row>
    <row r="6" spans="2:15" ht="18.75" x14ac:dyDescent="0.25">
      <c r="B6" s="12" t="str">
        <f>Income_Statement!B17</f>
        <v>Cost Of Materials Consumed</v>
      </c>
      <c r="C6" s="13">
        <f>Income_Statement!C17</f>
        <v>44943.199999999997</v>
      </c>
      <c r="D6" s="13">
        <f>Income_Statement!D17</f>
        <v>45025.7</v>
      </c>
      <c r="E6" s="13">
        <f>Income_Statement!E17</f>
        <v>34634.800000000003</v>
      </c>
      <c r="F6" s="13">
        <f>Income_Statement!F17</f>
        <v>33296.400000000001</v>
      </c>
      <c r="G6" s="13">
        <f>Income_Statement!G17</f>
        <v>39739.599999999999</v>
      </c>
    </row>
    <row r="7" spans="2:15" ht="18.75" x14ac:dyDescent="0.25">
      <c r="B7" s="12" t="str">
        <f>Income_Statement!B9</f>
        <v>Net Sales</v>
      </c>
      <c r="C7" s="13">
        <f>Income_Statement!C9</f>
        <v>78117.100000000006</v>
      </c>
      <c r="D7" s="13">
        <f>Income_Statement!D9</f>
        <v>83038.5</v>
      </c>
      <c r="E7" s="13">
        <f>Income_Statement!E9</f>
        <v>71704.800000000003</v>
      </c>
      <c r="F7" s="13">
        <f>Income_Statement!F9</f>
        <v>66571.8</v>
      </c>
      <c r="G7" s="13">
        <f>Income_Statement!G9</f>
        <v>83799.8</v>
      </c>
    </row>
    <row r="8" spans="2:15" ht="18.75" x14ac:dyDescent="0.25">
      <c r="B8" s="14" t="s">
        <v>175</v>
      </c>
      <c r="C8" s="14">
        <f>ROUND(C6/C7, 2)</f>
        <v>0.57999999999999996</v>
      </c>
      <c r="D8" s="14">
        <f t="shared" ref="D8:G8" si="0">ROUND(D6/D7, 2)</f>
        <v>0.54</v>
      </c>
      <c r="E8" s="14">
        <f t="shared" si="0"/>
        <v>0.48</v>
      </c>
      <c r="F8" s="14">
        <f t="shared" si="0"/>
        <v>0.5</v>
      </c>
      <c r="G8" s="14">
        <f t="shared" si="0"/>
        <v>0.47</v>
      </c>
    </row>
  </sheetData>
  <mergeCells count="1">
    <mergeCell ref="B5:G5"/>
  </mergeCells>
  <hyperlinks>
    <hyperlink ref="F1" location="Index_Data!A1" tooltip="Hi click here To return Index page" display="Index_Data!A1" xr:uid="{A18AB194-6828-4A91-9282-BD91D401A4F4}"/>
  </hyperlinks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936FB7-2245-46F5-A555-4D1502CD7E19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40.42578125" bestFit="1" customWidth="1"/>
    <col min="3" max="7" width="13.1406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176</v>
      </c>
      <c r="C5" s="44"/>
      <c r="D5" s="44"/>
      <c r="E5" s="44"/>
      <c r="F5" s="44"/>
      <c r="G5" s="44"/>
    </row>
    <row r="6" spans="2:15" ht="18.75" x14ac:dyDescent="0.25">
      <c r="B6" s="12" t="str">
        <f>Balance_Sheet!B70</f>
        <v>Cash And Cash Equivalents</v>
      </c>
      <c r="C6" s="13">
        <f>Balance_Sheet!C70</f>
        <v>74</v>
      </c>
      <c r="D6" s="13">
        <f>Balance_Sheet!D70</f>
        <v>15344.530848341439</v>
      </c>
      <c r="E6" s="13">
        <f>Balance_Sheet!E70</f>
        <v>33562.577350109794</v>
      </c>
      <c r="F6" s="13">
        <f>Balance_Sheet!F70</f>
        <v>52817.121457374436</v>
      </c>
      <c r="G6" s="13">
        <f>Balance_Sheet!G70</f>
        <v>77963.842277233198</v>
      </c>
    </row>
    <row r="7" spans="2:15" ht="18.75" x14ac:dyDescent="0.25">
      <c r="B7" s="12" t="str">
        <f>Income_Statement!B17</f>
        <v>Cost Of Materials Consumed</v>
      </c>
      <c r="C7" s="13">
        <f>Income_Statement!C17</f>
        <v>44943.199999999997</v>
      </c>
      <c r="D7" s="13">
        <f>Income_Statement!D17</f>
        <v>45025.7</v>
      </c>
      <c r="E7" s="13">
        <f>Income_Statement!E17</f>
        <v>34634.800000000003</v>
      </c>
      <c r="F7" s="13">
        <f>Income_Statement!F17</f>
        <v>33296.400000000001</v>
      </c>
      <c r="G7" s="13">
        <f>Income_Statement!G17</f>
        <v>39739.599999999999</v>
      </c>
    </row>
    <row r="8" spans="2:15" ht="18.75" x14ac:dyDescent="0.25">
      <c r="B8" s="14" t="s">
        <v>177</v>
      </c>
      <c r="C8" s="14">
        <f>ROUND(C6/C7*365, 2)</f>
        <v>0.6</v>
      </c>
      <c r="D8" s="14">
        <f t="shared" ref="D8:G8" si="0">ROUND(D6/D7*365, 2)</f>
        <v>124.39</v>
      </c>
      <c r="E8" s="14">
        <f t="shared" si="0"/>
        <v>353.7</v>
      </c>
      <c r="F8" s="14">
        <f t="shared" si="0"/>
        <v>578.99</v>
      </c>
      <c r="G8" s="14">
        <f t="shared" si="0"/>
        <v>716.08</v>
      </c>
    </row>
  </sheetData>
  <mergeCells count="1">
    <mergeCell ref="B5:G5"/>
  </mergeCells>
  <hyperlinks>
    <hyperlink ref="F1" location="Index_Data!A1" tooltip="Hi click here To return Index page" display="Index_Data!A1" xr:uid="{7A55FF12-3D0E-4E12-BE07-2C055C229840}"/>
  </hyperlinks>
  <pageMargins left="0.7" right="0.7" top="0.75" bottom="0.75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35B322-EFDF-41DA-837F-A5EEFA04D3FD}">
  <dimension ref="B1:O8"/>
  <sheetViews>
    <sheetView showGridLines="0" workbookViewId="0">
      <selection activeCell="B8" sqref="B8:G8"/>
    </sheetView>
  </sheetViews>
  <sheetFormatPr defaultRowHeight="15" x14ac:dyDescent="0.25"/>
  <cols>
    <col min="2" max="2" width="39" bestFit="1" customWidth="1"/>
    <col min="3" max="3" width="10" bestFit="1" customWidth="1"/>
    <col min="4" max="7" width="13.1406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178</v>
      </c>
      <c r="C5" s="44"/>
      <c r="D5" s="44"/>
      <c r="E5" s="44"/>
      <c r="F5" s="44"/>
      <c r="G5" s="44"/>
    </row>
    <row r="6" spans="2:15" ht="18.75" x14ac:dyDescent="0.25">
      <c r="B6" s="12" t="str">
        <f>Balance_Sheet!B70</f>
        <v>Cash And Cash Equivalents</v>
      </c>
      <c r="C6" s="13">
        <f>Balance_Sheet!C70</f>
        <v>74</v>
      </c>
      <c r="D6" s="13">
        <f>Balance_Sheet!D70</f>
        <v>15344.530848341439</v>
      </c>
      <c r="E6" s="13">
        <f>Balance_Sheet!E70</f>
        <v>33562.577350109794</v>
      </c>
      <c r="F6" s="13">
        <f>Balance_Sheet!F70</f>
        <v>52817.121457374436</v>
      </c>
      <c r="G6" s="13">
        <f>Balance_Sheet!G70</f>
        <v>77963.842277233198</v>
      </c>
    </row>
    <row r="7" spans="2:15" ht="18.75" x14ac:dyDescent="0.25">
      <c r="B7" s="12" t="s">
        <v>179</v>
      </c>
      <c r="C7" s="13">
        <v>365</v>
      </c>
      <c r="D7" s="13">
        <v>365</v>
      </c>
      <c r="E7" s="13">
        <v>365</v>
      </c>
      <c r="F7" s="13">
        <v>365</v>
      </c>
      <c r="G7" s="13">
        <v>365</v>
      </c>
    </row>
    <row r="8" spans="2:15" ht="18.75" x14ac:dyDescent="0.25">
      <c r="B8" s="14" t="s">
        <v>180</v>
      </c>
      <c r="C8" s="14">
        <f>ROUND(C6/C7*365, 2)</f>
        <v>74</v>
      </c>
      <c r="D8" s="14">
        <f t="shared" ref="D8:G8" si="0">ROUND(D6/D7*365, 2)</f>
        <v>15344.53</v>
      </c>
      <c r="E8" s="14">
        <f t="shared" si="0"/>
        <v>33562.58</v>
      </c>
      <c r="F8" s="14">
        <f t="shared" si="0"/>
        <v>52817.120000000003</v>
      </c>
      <c r="G8" s="14">
        <f t="shared" si="0"/>
        <v>77963.839999999997</v>
      </c>
    </row>
  </sheetData>
  <mergeCells count="1">
    <mergeCell ref="B5:G5"/>
  </mergeCells>
  <hyperlinks>
    <hyperlink ref="F1" location="Index_Data!A1" tooltip="Hi click here To return Index page" display="Index_Data!A1" xr:uid="{7FF86692-939C-4898-A8BB-F78C34E80FC9}"/>
  </hyperlinks>
  <pageMargins left="0.7" right="0.7" top="0.75" bottom="0.75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8540EC-CFDC-4C0D-84FE-578B16363450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31" bestFit="1" customWidth="1"/>
    <col min="3" max="5" width="13.140625" bestFit="1" customWidth="1"/>
    <col min="6" max="7" width="14.8554687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181</v>
      </c>
      <c r="C5" s="44"/>
      <c r="D5" s="44"/>
      <c r="E5" s="44"/>
      <c r="F5" s="44"/>
      <c r="G5" s="44"/>
    </row>
    <row r="6" spans="2:15" ht="18.75" x14ac:dyDescent="0.25">
      <c r="B6" s="12" t="str">
        <f>Income_Statement!B5</f>
        <v>Gross Sales</v>
      </c>
      <c r="C6" s="13">
        <f>Income_Statement!C5</f>
        <v>80348.800000000003</v>
      </c>
      <c r="D6" s="13">
        <f>Income_Statement!D5</f>
        <v>83038.5</v>
      </c>
      <c r="E6" s="13">
        <f>Income_Statement!E5</f>
        <v>71704.800000000003</v>
      </c>
      <c r="F6" s="13">
        <f>Income_Statement!F5</f>
        <v>66571.8</v>
      </c>
      <c r="G6" s="13">
        <f>Income_Statement!G5</f>
        <v>83799.8</v>
      </c>
    </row>
    <row r="7" spans="2:15" ht="18.75" x14ac:dyDescent="0.25">
      <c r="B7" s="12" t="str">
        <f>Balance_Sheet!B74</f>
        <v>Total Assets</v>
      </c>
      <c r="C7" s="13">
        <f>Balance_Sheet!C74</f>
        <v>60248.400000000009</v>
      </c>
      <c r="D7" s="13">
        <f>Balance_Sheet!D74</f>
        <v>76104.630848341447</v>
      </c>
      <c r="E7" s="13">
        <f>Balance_Sheet!E74</f>
        <v>90541.177350109792</v>
      </c>
      <c r="F7" s="13">
        <f>Balance_Sheet!F74</f>
        <v>111171.92145737444</v>
      </c>
      <c r="G7" s="13">
        <f>Balance_Sheet!G74</f>
        <v>137204.8422772332</v>
      </c>
    </row>
    <row r="8" spans="2:15" ht="18.75" x14ac:dyDescent="0.25">
      <c r="B8" s="14" t="s">
        <v>182</v>
      </c>
      <c r="C8" s="14">
        <f>ROUND(C6/C7, 2)</f>
        <v>1.33</v>
      </c>
      <c r="D8" s="14">
        <f t="shared" ref="D8:G8" si="0">ROUND(D6/D7, 2)</f>
        <v>1.0900000000000001</v>
      </c>
      <c r="E8" s="14">
        <f t="shared" si="0"/>
        <v>0.79</v>
      </c>
      <c r="F8" s="14">
        <f t="shared" si="0"/>
        <v>0.6</v>
      </c>
      <c r="G8" s="14">
        <f t="shared" si="0"/>
        <v>0.61</v>
      </c>
    </row>
  </sheetData>
  <mergeCells count="1">
    <mergeCell ref="B5:G5"/>
  </mergeCells>
  <hyperlinks>
    <hyperlink ref="F1" location="Index_Data!A1" tooltip="Hi click here To return Index page" display="Index_Data!A1" xr:uid="{6C8AF8C3-4175-419F-BD0E-009D436F0076}"/>
  </hyperlinks>
  <pageMargins left="0.7" right="0.7" top="0.75" bottom="0.75" header="0.3" footer="0.3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43DCC7-B3B8-421C-884E-3B4B86972A0E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37" bestFit="1" customWidth="1"/>
    <col min="3" max="7" width="13.1406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183</v>
      </c>
      <c r="C5" s="44"/>
      <c r="D5" s="44"/>
      <c r="E5" s="44"/>
      <c r="F5" s="44"/>
      <c r="G5" s="44"/>
    </row>
    <row r="6" spans="2:15" ht="18.75" x14ac:dyDescent="0.25">
      <c r="B6" s="12" t="str">
        <f>Income_Statement!B5</f>
        <v>Gross Sales</v>
      </c>
      <c r="C6" s="13">
        <f>Income_Statement!C5</f>
        <v>80348.800000000003</v>
      </c>
      <c r="D6" s="13">
        <f>Income_Statement!D5</f>
        <v>83038.5</v>
      </c>
      <c r="E6" s="13">
        <f>Income_Statement!E5</f>
        <v>71704.800000000003</v>
      </c>
      <c r="F6" s="13">
        <f>Income_Statement!F5</f>
        <v>66571.8</v>
      </c>
      <c r="G6" s="13">
        <f>Income_Statement!G5</f>
        <v>83799.8</v>
      </c>
    </row>
    <row r="7" spans="2:15" ht="18.75" x14ac:dyDescent="0.25">
      <c r="B7" s="12" t="str">
        <f>Balance_Sheet!B66</f>
        <v>Inventories</v>
      </c>
      <c r="C7" s="13">
        <f>Balance_Sheet!C66</f>
        <v>3160.2</v>
      </c>
      <c r="D7" s="13">
        <f>Balance_Sheet!D66</f>
        <v>3322.6</v>
      </c>
      <c r="E7" s="13">
        <f>Balance_Sheet!E66</f>
        <v>3213.9</v>
      </c>
      <c r="F7" s="13">
        <f>Balance_Sheet!F66</f>
        <v>3049</v>
      </c>
      <c r="G7" s="13">
        <f>Balance_Sheet!G66</f>
        <v>3532.3</v>
      </c>
    </row>
    <row r="8" spans="2:15" ht="18.75" x14ac:dyDescent="0.25">
      <c r="B8" s="14" t="s">
        <v>184</v>
      </c>
      <c r="C8" s="14">
        <f>ROUND(C6/C7, 2)</f>
        <v>25.43</v>
      </c>
      <c r="D8" s="14">
        <f t="shared" ref="D8:G8" si="0">ROUND(D6/D7, 2)</f>
        <v>24.99</v>
      </c>
      <c r="E8" s="14">
        <f t="shared" si="0"/>
        <v>22.31</v>
      </c>
      <c r="F8" s="14">
        <f t="shared" si="0"/>
        <v>21.83</v>
      </c>
      <c r="G8" s="14">
        <f t="shared" si="0"/>
        <v>23.72</v>
      </c>
    </row>
  </sheetData>
  <mergeCells count="1">
    <mergeCell ref="B5:G5"/>
  </mergeCells>
  <hyperlinks>
    <hyperlink ref="F1" location="Index_Data!A1" tooltip="Hi click here To return Index page" display="Index_Data!A1" xr:uid="{B42F665D-AAEF-4ACA-A055-098DAD819028}"/>
  </hyperlinks>
  <pageMargins left="0.7" right="0.7" top="0.75" bottom="0.75" header="0.3" footer="0.3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F1BDF4-C0F9-418F-9550-6C952282B327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34.42578125" bestFit="1" customWidth="1"/>
    <col min="3" max="7" width="13.1406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185</v>
      </c>
      <c r="C5" s="44"/>
      <c r="D5" s="44"/>
      <c r="E5" s="44"/>
      <c r="F5" s="44"/>
      <c r="G5" s="44"/>
    </row>
    <row r="6" spans="2:15" ht="18.75" x14ac:dyDescent="0.25">
      <c r="B6" s="12" t="str">
        <f>Income_Statement!B5</f>
        <v>Gross Sales</v>
      </c>
      <c r="C6" s="13">
        <f>Income_Statement!C5</f>
        <v>80348.800000000003</v>
      </c>
      <c r="D6" s="13">
        <f>Income_Statement!D5</f>
        <v>83038.5</v>
      </c>
      <c r="E6" s="13">
        <f>Income_Statement!E5</f>
        <v>71704.800000000003</v>
      </c>
      <c r="F6" s="13">
        <f>Income_Statement!F5</f>
        <v>66571.8</v>
      </c>
      <c r="G6" s="13">
        <f>Income_Statement!G5</f>
        <v>83799.8</v>
      </c>
    </row>
    <row r="7" spans="2:15" ht="18.75" x14ac:dyDescent="0.25">
      <c r="B7" s="12" t="str">
        <f>Balance_Sheet!B68</f>
        <v>Trade Receivables</v>
      </c>
      <c r="C7" s="13">
        <f>Balance_Sheet!C68</f>
        <v>1465.4</v>
      </c>
      <c r="D7" s="13">
        <f>Balance_Sheet!D68</f>
        <v>2312.8000000000002</v>
      </c>
      <c r="E7" s="13">
        <f>Balance_Sheet!E68</f>
        <v>1977.7</v>
      </c>
      <c r="F7" s="13">
        <f>Balance_Sheet!F68</f>
        <v>1279.9000000000001</v>
      </c>
      <c r="G7" s="13">
        <f>Balance_Sheet!G68</f>
        <v>2034.5</v>
      </c>
    </row>
    <row r="8" spans="2:15" ht="18.75" x14ac:dyDescent="0.25">
      <c r="B8" s="14" t="s">
        <v>186</v>
      </c>
      <c r="C8" s="14">
        <f>ROUND(C6/C7, 2)</f>
        <v>54.83</v>
      </c>
      <c r="D8" s="14">
        <f t="shared" ref="D8:G8" si="0">ROUND(D6/D7, 2)</f>
        <v>35.9</v>
      </c>
      <c r="E8" s="14">
        <f t="shared" si="0"/>
        <v>36.26</v>
      </c>
      <c r="F8" s="14">
        <f t="shared" si="0"/>
        <v>52.01</v>
      </c>
      <c r="G8" s="14">
        <f t="shared" si="0"/>
        <v>41.19</v>
      </c>
    </row>
  </sheetData>
  <mergeCells count="1">
    <mergeCell ref="B5:G5"/>
  </mergeCells>
  <hyperlinks>
    <hyperlink ref="F1" location="Index_Data!A1" tooltip="Hi click here To return Index page" display="Index_Data!A1" xr:uid="{0F9EE020-F740-4E91-967B-C6B5D3AE90D0}"/>
  </hyperlinks>
  <pageMargins left="0.7" right="0.7" top="0.75" bottom="0.75" header="0.3" footer="0.3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8030A6-E69C-4708-8D62-01260F9974D1}">
  <dimension ref="B1:O8"/>
  <sheetViews>
    <sheetView showGridLines="0" workbookViewId="0">
      <selection activeCell="B8" sqref="B8:G8"/>
    </sheetView>
  </sheetViews>
  <sheetFormatPr defaultRowHeight="15" x14ac:dyDescent="0.25"/>
  <cols>
    <col min="2" max="2" width="40.7109375" bestFit="1" customWidth="1"/>
    <col min="3" max="7" width="13.1406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187</v>
      </c>
      <c r="C5" s="44"/>
      <c r="D5" s="44"/>
      <c r="E5" s="44"/>
      <c r="F5" s="44"/>
      <c r="G5" s="44"/>
    </row>
    <row r="6" spans="2:15" ht="18.75" x14ac:dyDescent="0.25">
      <c r="B6" s="12" t="str">
        <f>Income_Statement!B5</f>
        <v>Gross Sales</v>
      </c>
      <c r="C6" s="13">
        <f>Income_Statement!C5</f>
        <v>80348.800000000003</v>
      </c>
      <c r="D6" s="13">
        <f>Income_Statement!D5</f>
        <v>83038.5</v>
      </c>
      <c r="E6" s="13">
        <f>Income_Statement!E5</f>
        <v>71704.800000000003</v>
      </c>
      <c r="F6" s="13">
        <f>Income_Statement!F5</f>
        <v>66571.8</v>
      </c>
      <c r="G6" s="13">
        <f>Income_Statement!G5</f>
        <v>83799.8</v>
      </c>
    </row>
    <row r="7" spans="2:15" ht="18.75" x14ac:dyDescent="0.25">
      <c r="B7" s="12" t="str">
        <f>Balance_Sheet!B40</f>
        <v>Tangible Assets</v>
      </c>
      <c r="C7" s="13">
        <f>Balance_Sheet!C40</f>
        <v>13077.1</v>
      </c>
      <c r="D7" s="13">
        <f>Balance_Sheet!D40</f>
        <v>14986.2</v>
      </c>
      <c r="E7" s="13">
        <f>Balance_Sheet!E40</f>
        <v>15408.6</v>
      </c>
      <c r="F7" s="13">
        <f>Balance_Sheet!F40</f>
        <v>14764.5</v>
      </c>
      <c r="G7" s="13">
        <f>Balance_Sheet!G40</f>
        <v>16683.7</v>
      </c>
    </row>
    <row r="8" spans="2:15" ht="18.75" x14ac:dyDescent="0.25">
      <c r="B8" s="14" t="s">
        <v>188</v>
      </c>
      <c r="C8" s="14">
        <f>ROUND(C6/C7, 2)</f>
        <v>6.14</v>
      </c>
      <c r="D8" s="14">
        <f t="shared" ref="D8:G8" si="0">ROUND(D6/D7, 2)</f>
        <v>5.54</v>
      </c>
      <c r="E8" s="14">
        <f t="shared" si="0"/>
        <v>4.6500000000000004</v>
      </c>
      <c r="F8" s="14">
        <f t="shared" si="0"/>
        <v>4.51</v>
      </c>
      <c r="G8" s="14">
        <f t="shared" si="0"/>
        <v>5.0199999999999996</v>
      </c>
    </row>
  </sheetData>
  <mergeCells count="1">
    <mergeCell ref="B5:G5"/>
  </mergeCells>
  <hyperlinks>
    <hyperlink ref="F1" location="Index_Data!A1" tooltip="Hi click here To return Index page" display="Index_Data!A1" xr:uid="{139A32FC-1426-4954-AB40-C012E15A1575}"/>
  </hyperlinks>
  <pageMargins left="0.7" right="0.7" top="0.75" bottom="0.75" header="0.3" footer="0.3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3FBACC-0935-41AD-92EC-2A039679B465}">
  <dimension ref="B1:O8"/>
  <sheetViews>
    <sheetView showGridLines="0" workbookViewId="0">
      <selection activeCell="B8" sqref="B8:G8"/>
    </sheetView>
  </sheetViews>
  <sheetFormatPr defaultRowHeight="15" x14ac:dyDescent="0.25"/>
  <cols>
    <col min="2" max="2" width="40.42578125" bestFit="1" customWidth="1"/>
    <col min="3" max="7" width="13.1406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189</v>
      </c>
      <c r="C5" s="44"/>
      <c r="D5" s="44"/>
      <c r="E5" s="44"/>
      <c r="F5" s="44"/>
      <c r="G5" s="44"/>
    </row>
    <row r="6" spans="2:15" ht="18.75" x14ac:dyDescent="0.25">
      <c r="B6" s="12" t="str">
        <f>Income_Statement!B17</f>
        <v>Cost Of Materials Consumed</v>
      </c>
      <c r="C6" s="13">
        <f>Income_Statement!C17</f>
        <v>44943.199999999997</v>
      </c>
      <c r="D6" s="13">
        <f>Income_Statement!D17</f>
        <v>45025.7</v>
      </c>
      <c r="E6" s="13">
        <f>Income_Statement!E17</f>
        <v>34634.800000000003</v>
      </c>
      <c r="F6" s="13">
        <f>Income_Statement!F17</f>
        <v>33296.400000000001</v>
      </c>
      <c r="G6" s="13">
        <f>Income_Statement!G17</f>
        <v>39739.599999999999</v>
      </c>
    </row>
    <row r="7" spans="2:15" ht="18.75" x14ac:dyDescent="0.25">
      <c r="B7" s="12" t="str">
        <f>Balance_Sheet!B33</f>
        <v>Total Current Liabilities</v>
      </c>
      <c r="C7" s="13">
        <f>Balance_Sheet!C33</f>
        <v>16950.099999999999</v>
      </c>
      <c r="D7" s="13">
        <f>Balance_Sheet!D33</f>
        <v>16087.5</v>
      </c>
      <c r="E7" s="13">
        <f>Balance_Sheet!E33</f>
        <v>13426.300000000001</v>
      </c>
      <c r="F7" s="13">
        <f>Balance_Sheet!F33</f>
        <v>17845.099999999999</v>
      </c>
      <c r="G7" s="13">
        <f>Balance_Sheet!G33</f>
        <v>18940.099999999999</v>
      </c>
    </row>
    <row r="8" spans="2:15" ht="18.75" x14ac:dyDescent="0.25">
      <c r="B8" s="14" t="s">
        <v>190</v>
      </c>
      <c r="C8" s="14">
        <f>ROUND(C6/C7, 2)</f>
        <v>2.65</v>
      </c>
      <c r="D8" s="14">
        <f t="shared" ref="D8:G8" si="0">ROUND(D6/D7, 2)</f>
        <v>2.8</v>
      </c>
      <c r="E8" s="14">
        <f t="shared" si="0"/>
        <v>2.58</v>
      </c>
      <c r="F8" s="14">
        <f t="shared" si="0"/>
        <v>1.87</v>
      </c>
      <c r="G8" s="14">
        <f t="shared" si="0"/>
        <v>2.1</v>
      </c>
    </row>
  </sheetData>
  <mergeCells count="1">
    <mergeCell ref="B5:G5"/>
  </mergeCells>
  <hyperlinks>
    <hyperlink ref="F1" location="Index_Data!A1" tooltip="Hi click here To return Index page" display="Index_Data!A1" xr:uid="{4ED2AB25-52F1-4C7B-AEE5-9ACF205180A5}"/>
  </hyperlink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F01ECC-22A7-4EE5-8993-DB6255A922C1}">
  <dimension ref="A1:A48"/>
  <sheetViews>
    <sheetView showGridLines="0" tabSelected="1" topLeftCell="A34" workbookViewId="0">
      <selection activeCell="A48" sqref="A48"/>
    </sheetView>
  </sheetViews>
  <sheetFormatPr defaultRowHeight="15" x14ac:dyDescent="0.25"/>
  <cols>
    <col min="1" max="1" width="33.140625" bestFit="1" customWidth="1"/>
  </cols>
  <sheetData>
    <row r="1" spans="1:1" x14ac:dyDescent="0.25">
      <c r="A1" s="47" t="s">
        <v>270</v>
      </c>
    </row>
    <row r="2" spans="1:1" x14ac:dyDescent="0.25">
      <c r="A2" s="47" t="s">
        <v>272</v>
      </c>
    </row>
    <row r="3" spans="1:1" x14ac:dyDescent="0.25">
      <c r="A3" s="48"/>
    </row>
    <row r="4" spans="1:1" x14ac:dyDescent="0.25">
      <c r="A4" s="47" t="s">
        <v>120</v>
      </c>
    </row>
    <row r="5" spans="1:1" x14ac:dyDescent="0.25">
      <c r="A5" s="47" t="s">
        <v>128</v>
      </c>
    </row>
    <row r="6" spans="1:1" x14ac:dyDescent="0.25">
      <c r="A6" s="47" t="s">
        <v>143</v>
      </c>
    </row>
    <row r="7" spans="1:1" x14ac:dyDescent="0.25">
      <c r="A7" s="47" t="s">
        <v>273</v>
      </c>
    </row>
    <row r="8" spans="1:1" x14ac:dyDescent="0.25">
      <c r="A8" s="47" t="s">
        <v>146</v>
      </c>
    </row>
    <row r="9" spans="1:1" x14ac:dyDescent="0.25">
      <c r="A9" s="47" t="s">
        <v>148</v>
      </c>
    </row>
    <row r="10" spans="1:1" x14ac:dyDescent="0.25">
      <c r="A10" s="47" t="s">
        <v>150</v>
      </c>
    </row>
    <row r="11" spans="1:1" x14ac:dyDescent="0.25">
      <c r="A11" s="47" t="s">
        <v>152</v>
      </c>
    </row>
    <row r="12" spans="1:1" x14ac:dyDescent="0.25">
      <c r="A12" s="47" t="s">
        <v>155</v>
      </c>
    </row>
    <row r="13" spans="1:1" x14ac:dyDescent="0.25">
      <c r="A13" s="47" t="s">
        <v>157</v>
      </c>
    </row>
    <row r="14" spans="1:1" x14ac:dyDescent="0.25">
      <c r="A14" s="47" t="s">
        <v>159</v>
      </c>
    </row>
    <row r="15" spans="1:1" x14ac:dyDescent="0.25">
      <c r="A15" s="47" t="s">
        <v>161</v>
      </c>
    </row>
    <row r="16" spans="1:1" x14ac:dyDescent="0.25">
      <c r="A16" s="47" t="s">
        <v>163</v>
      </c>
    </row>
    <row r="17" spans="1:1" x14ac:dyDescent="0.25">
      <c r="A17" s="47" t="s">
        <v>165</v>
      </c>
    </row>
    <row r="18" spans="1:1" x14ac:dyDescent="0.25">
      <c r="A18" s="47" t="s">
        <v>167</v>
      </c>
    </row>
    <row r="19" spans="1:1" x14ac:dyDescent="0.25">
      <c r="A19" s="47" t="s">
        <v>169</v>
      </c>
    </row>
    <row r="20" spans="1:1" x14ac:dyDescent="0.25">
      <c r="A20" s="47" t="s">
        <v>171</v>
      </c>
    </row>
    <row r="21" spans="1:1" x14ac:dyDescent="0.25">
      <c r="A21" s="47" t="s">
        <v>173</v>
      </c>
    </row>
    <row r="22" spans="1:1" x14ac:dyDescent="0.25">
      <c r="A22" s="47" t="s">
        <v>175</v>
      </c>
    </row>
    <row r="23" spans="1:1" x14ac:dyDescent="0.25">
      <c r="A23" s="47" t="s">
        <v>177</v>
      </c>
    </row>
    <row r="24" spans="1:1" x14ac:dyDescent="0.25">
      <c r="A24" s="47" t="s">
        <v>180</v>
      </c>
    </row>
    <row r="25" spans="1:1" x14ac:dyDescent="0.25">
      <c r="A25" s="47" t="s">
        <v>182</v>
      </c>
    </row>
    <row r="26" spans="1:1" x14ac:dyDescent="0.25">
      <c r="A26" s="47" t="s">
        <v>184</v>
      </c>
    </row>
    <row r="27" spans="1:1" x14ac:dyDescent="0.25">
      <c r="A27" s="47" t="s">
        <v>186</v>
      </c>
    </row>
    <row r="28" spans="1:1" x14ac:dyDescent="0.25">
      <c r="A28" s="47" t="s">
        <v>188</v>
      </c>
    </row>
    <row r="29" spans="1:1" x14ac:dyDescent="0.25">
      <c r="A29" s="47" t="s">
        <v>190</v>
      </c>
    </row>
    <row r="30" spans="1:1" x14ac:dyDescent="0.25">
      <c r="A30" s="47" t="s">
        <v>192</v>
      </c>
    </row>
    <row r="31" spans="1:1" x14ac:dyDescent="0.25">
      <c r="A31" s="47" t="s">
        <v>194</v>
      </c>
    </row>
    <row r="32" spans="1:1" x14ac:dyDescent="0.25">
      <c r="A32" s="47" t="s">
        <v>196</v>
      </c>
    </row>
    <row r="33" spans="1:1" x14ac:dyDescent="0.25">
      <c r="A33" s="47" t="s">
        <v>198</v>
      </c>
    </row>
    <row r="34" spans="1:1" x14ac:dyDescent="0.25">
      <c r="A34" s="47" t="s">
        <v>201</v>
      </c>
    </row>
    <row r="35" spans="1:1" x14ac:dyDescent="0.25">
      <c r="A35" s="47" t="s">
        <v>274</v>
      </c>
    </row>
    <row r="36" spans="1:1" x14ac:dyDescent="0.25">
      <c r="A36" s="47" t="s">
        <v>275</v>
      </c>
    </row>
    <row r="37" spans="1:1" x14ac:dyDescent="0.25">
      <c r="A37" s="47" t="s">
        <v>276</v>
      </c>
    </row>
    <row r="38" spans="1:1" x14ac:dyDescent="0.25">
      <c r="A38" s="47" t="s">
        <v>278</v>
      </c>
    </row>
    <row r="39" spans="1:1" x14ac:dyDescent="0.25">
      <c r="A39" s="47" t="s">
        <v>279</v>
      </c>
    </row>
    <row r="40" spans="1:1" x14ac:dyDescent="0.25">
      <c r="A40" s="47" t="s">
        <v>280</v>
      </c>
    </row>
    <row r="41" spans="1:1" x14ac:dyDescent="0.25">
      <c r="A41" s="47" t="s">
        <v>281</v>
      </c>
    </row>
    <row r="42" spans="1:1" x14ac:dyDescent="0.25">
      <c r="A42" s="47" t="s">
        <v>282</v>
      </c>
    </row>
    <row r="43" spans="1:1" x14ac:dyDescent="0.25">
      <c r="A43" s="47" t="s">
        <v>283</v>
      </c>
    </row>
    <row r="44" spans="1:1" x14ac:dyDescent="0.25">
      <c r="A44" s="47" t="s">
        <v>284</v>
      </c>
    </row>
    <row r="45" spans="1:1" x14ac:dyDescent="0.25">
      <c r="A45" s="47" t="s">
        <v>277</v>
      </c>
    </row>
    <row r="46" spans="1:1" x14ac:dyDescent="0.25">
      <c r="A46" s="47" t="s">
        <v>285</v>
      </c>
    </row>
    <row r="47" spans="1:1" x14ac:dyDescent="0.25">
      <c r="A47" s="47" t="s">
        <v>286</v>
      </c>
    </row>
    <row r="48" spans="1:1" x14ac:dyDescent="0.25">
      <c r="A48" s="47" t="s">
        <v>287</v>
      </c>
    </row>
  </sheetData>
  <hyperlinks>
    <hyperlink ref="A1" location="BSInput!A1" tooltip="Hi click here to view the sheet" display="BSInput!A1" xr:uid="{46FAFBE5-BDC9-4503-936B-18CE36BEB9AF}"/>
    <hyperlink ref="A2" location="ISMInput!A1" tooltip="Hi click here to view the sheet" display="ISMInput!A1" xr:uid="{C421CF0A-6EDF-4B81-BEE7-0D77C8C9A702}"/>
    <hyperlink ref="A4" location="Income_Statement!A1" tooltip="Hi click here to view the sheet" display="Income_Statement!A1" xr:uid="{911370AF-4DFF-412D-BB5F-1F2DB83879E2}"/>
    <hyperlink ref="A5" location="Balance_Sheet!A1" tooltip="Hi click here to view the sheet" display="Balance_Sheet!A1" xr:uid="{2235844D-00A5-451A-97FF-824E8EB4C652}"/>
    <hyperlink ref="A6" location="CashFlow_Statement!A1" tooltip="Hi click here to view the sheet" display="CashFlow_Statement!A1" xr:uid="{B011318B-5088-4206-A16D-60885A082A65}"/>
    <hyperlink ref="A7" location="Ratios!A1" tooltip="Hi click here to view the sheet" display="Ratios!A1" xr:uid="{A22EE561-C08D-486D-BF4B-D5F7C7A0519A}"/>
    <hyperlink ref="A8" location="Earning__Per_Share!A1" tooltip="Hi click here to view the sheet" display="Earning__Per_Share!A1" xr:uid="{B8751AF9-B978-4472-BA9A-D77FE00767A8}"/>
    <hyperlink ref="A9" location="Equity_Dividend_Per_Share!A1" tooltip="Hi click here to view the sheet" display="Equity_Dividend_Per_Share!A1" xr:uid="{E3206673-7E8D-4EE2-8E5E-8A189B3A53B0}"/>
    <hyperlink ref="A10" location="Book_Value__Per_Share!A1" tooltip="Hi click here to view the sheet" display="Book_Value__Per_Share!A1" xr:uid="{59454FD6-D31E-44F0-B16E-139B44C5C966}"/>
    <hyperlink ref="A11" location="Dividend_Pay_Out_Ratio!A1" tooltip="Hi click here to view the sheet" display="Dividend_Pay_Out_Ratio!A1" xr:uid="{2CE92CE6-D599-4297-8785-A76624104CD7}"/>
    <hyperlink ref="A12" location="Dividend_Retention_Ratio!A1" tooltip="Hi click here to view the sheet" display="Dividend_Retention_Ratio!A1" xr:uid="{607A970D-7B39-403C-9986-BC59AB89C5D6}"/>
    <hyperlink ref="A13" location="Gross_Profit!A1" tooltip="Hi click here to view the sheet" display="Gross_Profit!A1" xr:uid="{32473E32-514B-4075-96F0-B4C0E107A88E}"/>
    <hyperlink ref="A14" location="Net_Profit!A1" tooltip="Hi click here to view the sheet" display="Net_Profit!A1" xr:uid="{165D8AAE-C617-4E4B-902C-15A211478642}"/>
    <hyperlink ref="A15" location="Return_On_Assets!A1" tooltip="Hi click here to view the sheet" display="Return_On_Assets!A1" xr:uid="{B827DF1F-B9F8-4C95-B71E-3940DDB00561}"/>
    <hyperlink ref="A16" location="Return_On_Capital_Employeed!A1" tooltip="Hi click here to view the sheet" display="Return_On_Capital_Employeed!A1" xr:uid="{D9522C5E-9898-4F9C-B6E7-0E2E1DA713B2}"/>
    <hyperlink ref="A17" location="Return_On_Equity!A1" tooltip="Hi click here to view the sheet" display="Return_On_Equity!A1" xr:uid="{5625CBEE-884B-445D-8632-84272512D868}"/>
    <hyperlink ref="A18" location="Debt_Equity_Ratio!A1" tooltip="Hi click here to view the sheet" display="Debt_Equity_Ratio!A1" xr:uid="{ACAF7D6C-1D13-4108-B48C-463B5FF39304}"/>
    <hyperlink ref="A19" location="Current_Ratio!A1" tooltip="Hi click here to view the sheet" display="Current_Ratio!A1" xr:uid="{B4B21B1C-FD6C-4506-B159-1F4878E46117}"/>
    <hyperlink ref="A20" location="Quick_Ratio!A1" tooltip="Hi click here to view the sheet" display="Quick_Ratio!A1" xr:uid="{A8D0105E-26FC-4393-944D-A6334F6FB7AB}"/>
    <hyperlink ref="A21" location="Interest_Coverage_Ratio!A1" tooltip="Hi click here to view the sheet" display="Interest_Coverage_Ratio!A1" xr:uid="{A56A8645-3D91-488F-BED0-C6D54CE9DF88}"/>
    <hyperlink ref="A22" location="Material_Consumed!A1" tooltip="Hi click here to view the sheet" display="Material_Consumed!A1" xr:uid="{90CD40FC-B598-4827-816D-15EBB3BC5761}"/>
    <hyperlink ref="A23" location="Defensive_Interval_Ratio!A1" tooltip="Hi click here to view the sheet" display="Defensive_Interval_Ratio!A1" xr:uid="{F2AEBB17-AC80-4582-AD6C-4129810EA05C}"/>
    <hyperlink ref="A24" location="Purchases_Per_Day!A1" tooltip="Hi click here to view the sheet" display="Purchases_Per_Day!A1" xr:uid="{FBB849E9-C997-4ECD-B103-27AD4A9A7D53}"/>
    <hyperlink ref="A25" location="Asset_TurnOver_Ratio!A1" tooltip="Hi click here to view the sheet" display="Asset_TurnOver_Ratio!A1" xr:uid="{E07D890C-12AE-49F7-9382-EDCF75EC33AD}"/>
    <hyperlink ref="A26" location="Inventory_TurnOver_Ratio!A1" tooltip="Hi click here to view the sheet" display="Inventory_TurnOver_Ratio!A1" xr:uid="{C74DDF84-98B2-4D09-87E0-22A534B88A59}"/>
    <hyperlink ref="A27" location="Debtors_TurnOver_Ratio!A1" tooltip="Hi click here to view the sheet" display="Debtors_TurnOver_Ratio!A1" xr:uid="{E08DF615-D469-4CC6-84B0-CABE4DD4C013}"/>
    <hyperlink ref="A28" location="Fixed_Assets_TurnOver_Ratio!A1" tooltip="Hi click here to view the sheet" display="Fixed_Assets_TurnOver_Ratio!A1" xr:uid="{6C3781B9-F8D2-469B-9AC8-B67D8BD55043}"/>
    <hyperlink ref="A29" location="Payable_TurnOver_Ratio!A1" tooltip="Hi click here to view the sheet" display="Payable_TurnOver_Ratio!A1" xr:uid="{DE0A2304-7721-4038-9A69-FFB269478B50}"/>
    <hyperlink ref="A30" location="Inventory_Days!A1" tooltip="Hi click here to view the sheet" display="Inventory_Days!A1" xr:uid="{27E7D7BC-A12C-4884-86EC-DE3ABEC5168E}"/>
    <hyperlink ref="A31" location="Payable_Days!A1" tooltip="Hi click here to view the sheet" display="Payable_Days!A1" xr:uid="{A8BB38FE-D166-4C41-A2E6-FB2541AA0CDB}"/>
    <hyperlink ref="A32" location="Receivable_Days!A1" tooltip="Hi click here to view the sheet" display="Receivable_Days!A1" xr:uid="{F2960E44-C34D-4FB8-A57D-8C4E6F8F4E75}"/>
    <hyperlink ref="A33" location="Operating_Cycle!A1" tooltip="Hi click here to view the sheet" display="Operating_Cycle!A1" xr:uid="{AC9ACE87-0656-4119-8754-E744D2C665C6}"/>
    <hyperlink ref="A34" location="Cash_Conversion_Cycle_Days!A1" tooltip="Hi click here to view the sheet" display="Cash_Conversion_Cycle_Days!A1" xr:uid="{654179BD-3CC3-41D1-84B1-6FC3074D81D4}"/>
    <hyperlink ref="A35" location="NetWorthVsTotalLiabilties!A1" tooltip="Hi click here to view the sheet" display="NetWorthVsTotalLiabilties!A1" xr:uid="{8D1F2BC6-4EE8-4DBB-9C41-D622F3A77AB6}"/>
    <hyperlink ref="A36" location="PBDITvsPBIT!A1" tooltip="Hi click here to view the sheet" display="PBDITvsPBIT!A1" xr:uid="{C5C07173-F132-42D7-8471-0F2873B4080C}"/>
    <hyperlink ref="A37" location="CAvsCL!A1" tooltip="Hi click here to view the sheet" display="CAvsCL!A1" xr:uid="{6304EEAE-6D1E-44DD-A997-CB40D4028BF1}"/>
    <hyperlink ref="A38" location="Long_And_Short_Term_Provisions!A1" tooltip="Hi click here to view the sheet" display="Long_And_Short_Term_Provisions!A1" xr:uid="{CF53F6A7-7DD1-41C0-855D-BE5BF3E42866}"/>
    <hyperlink ref="A39" location="MaterialConsumed_DirectExpenses!A1" tooltip="Hi click here to view the sheet" display="MaterialConsumed_DirectExpenses!A1" xr:uid="{A2302638-8557-44C7-B503-D8D092E64EAB}"/>
    <hyperlink ref="A40" location="Gross_Sales_In_Total_Income!A1" tooltip="Hi click here to view the sheet" display="Gross_Sales_In_Total_Income!A1" xr:uid="{A8B51F79-120B-4D49-A265-80EA750B5A17}"/>
    <hyperlink ref="A41" location="Total_Debt_In_Liabilities!A1" tooltip="Hi click here to view the sheet" display="Total_Debt_In_Liabilities!A1" xr:uid="{3BEF5D79-E34C-4AF2-B1BE-D12A28691B61}"/>
    <hyperlink ref="A42" location="Total_CL_In_Liabilities!A1" tooltip="Hi click here to view the sheet" display="Total_CL_In_Liabilities!A1" xr:uid="{3A68F259-3858-4140-ABB4-88725A27C98B}"/>
    <hyperlink ref="A43" location="Total_NCA_In_Assets!A1" tooltip="Hi click here to view the sheet" display="Total_NCA_In_Assets!A1" xr:uid="{9F76465C-DC57-4F62-B9F8-9B70D3AC5FB7}"/>
    <hyperlink ref="A44" location="Total_CA_In_Assets!A1" tooltip="Hi click here to view the sheet" display="Total_CA_In_Assets!A1" xr:uid="{2920F06F-5184-4C48-9B20-F9C6998C0ECC}"/>
    <hyperlink ref="A45" location="TotalExpenditureVsTotalIncome!A1" tooltip="Hi click here to view the sheet" display="TotalExpenditureVsTotalIncome!A1" xr:uid="{8CBDB328-CD06-4DE4-AD5F-71D9FCB74960}"/>
    <hyperlink ref="A46" location="Net_Profit_CF_To_Balance_Sheet!A1" tooltip="Hi click here to view the sheet" display="Net_Profit_CF_To_Balance_Sheet!A1" xr:uid="{AFFFBBD8-3BD7-45B3-9F15-81AB058CF79B}"/>
    <hyperlink ref="A47" location="BS_Backup!A1" tooltip="Hi click here to view the sheet" display="BS_Backup!A1" xr:uid="{15F693B6-3F4D-4321-B9B8-D02959CA8235}"/>
    <hyperlink ref="A48" location="ISM_Backup!A1" tooltip="Hi click here to view the sheet" display="ISM_Backup!A1" xr:uid="{444CECE6-9BB2-4163-9E26-60C8919CA1B7}"/>
  </hyperlink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2D5A50-BDCD-47A2-903A-D30C4C5B4E13}">
  <dimension ref="B1:O8"/>
  <sheetViews>
    <sheetView showGridLines="0" workbookViewId="0">
      <selection activeCell="B8" sqref="B8:G8"/>
    </sheetView>
  </sheetViews>
  <sheetFormatPr defaultRowHeight="15" x14ac:dyDescent="0.25"/>
  <cols>
    <col min="2" max="2" width="22.28515625" bestFit="1" customWidth="1"/>
    <col min="3" max="7" width="13.1406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191</v>
      </c>
      <c r="C5" s="44"/>
      <c r="D5" s="44"/>
      <c r="E5" s="44"/>
      <c r="F5" s="44"/>
      <c r="G5" s="44"/>
    </row>
    <row r="6" spans="2:15" ht="18.75" x14ac:dyDescent="0.25">
      <c r="B6" s="12" t="str">
        <f>Income_Statement!B5</f>
        <v>Gross Sales</v>
      </c>
      <c r="C6" s="13">
        <f>Income_Statement!C5</f>
        <v>80348.800000000003</v>
      </c>
      <c r="D6" s="13">
        <f>Income_Statement!D5</f>
        <v>83038.5</v>
      </c>
      <c r="E6" s="13">
        <f>Income_Statement!E5</f>
        <v>71704.800000000003</v>
      </c>
      <c r="F6" s="13">
        <f>Income_Statement!F5</f>
        <v>66571.8</v>
      </c>
      <c r="G6" s="13">
        <f>Income_Statement!G5</f>
        <v>83799.8</v>
      </c>
    </row>
    <row r="7" spans="2:15" ht="18.75" x14ac:dyDescent="0.25">
      <c r="B7" s="12" t="str">
        <f>Balance_Sheet!B66</f>
        <v>Inventories</v>
      </c>
      <c r="C7" s="13">
        <f>Balance_Sheet!C66</f>
        <v>3160.2</v>
      </c>
      <c r="D7" s="13">
        <f>Balance_Sheet!D66</f>
        <v>3322.6</v>
      </c>
      <c r="E7" s="13">
        <f>Balance_Sheet!E66</f>
        <v>3213.9</v>
      </c>
      <c r="F7" s="13">
        <f>Balance_Sheet!F66</f>
        <v>3049</v>
      </c>
      <c r="G7" s="13">
        <f>Balance_Sheet!G66</f>
        <v>3532.3</v>
      </c>
    </row>
    <row r="8" spans="2:15" ht="18.75" x14ac:dyDescent="0.25">
      <c r="B8" s="14" t="s">
        <v>192</v>
      </c>
      <c r="C8" s="14">
        <f>ROUND(365/C6*C7, 2)</f>
        <v>14.36</v>
      </c>
      <c r="D8" s="14">
        <f t="shared" ref="D8:G8" si="0">ROUND(365/D6*D7, 2)</f>
        <v>14.6</v>
      </c>
      <c r="E8" s="14">
        <f t="shared" si="0"/>
        <v>16.36</v>
      </c>
      <c r="F8" s="14">
        <f t="shared" si="0"/>
        <v>16.72</v>
      </c>
      <c r="G8" s="14">
        <f t="shared" si="0"/>
        <v>15.39</v>
      </c>
    </row>
  </sheetData>
  <mergeCells count="1">
    <mergeCell ref="B5:G5"/>
  </mergeCells>
  <hyperlinks>
    <hyperlink ref="F1" location="Index_Data!A1" tooltip="Hi click here To return Index page" display="Index_Data!A1" xr:uid="{8BD12D88-33AF-40FE-B09B-85CFFE59B335}"/>
  </hyperlinks>
  <pageMargins left="0.7" right="0.7" top="0.75" bottom="0.75" header="0.3" footer="0.3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890016-D7C3-4CC1-B68C-7CE39CE48055}">
  <dimension ref="B1:O8"/>
  <sheetViews>
    <sheetView showGridLines="0" workbookViewId="0">
      <selection activeCell="B8" sqref="B8:G8"/>
    </sheetView>
  </sheetViews>
  <sheetFormatPr defaultRowHeight="15" x14ac:dyDescent="0.25"/>
  <cols>
    <col min="2" max="2" width="40.42578125" bestFit="1" customWidth="1"/>
    <col min="3" max="7" width="13.1406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193</v>
      </c>
      <c r="C5" s="44"/>
      <c r="D5" s="44"/>
      <c r="E5" s="44"/>
      <c r="F5" s="44"/>
      <c r="G5" s="44"/>
    </row>
    <row r="6" spans="2:15" ht="18.75" x14ac:dyDescent="0.25">
      <c r="B6" s="12" t="str">
        <f>Income_Statement!B17</f>
        <v>Cost Of Materials Consumed</v>
      </c>
      <c r="C6" s="13">
        <f>Income_Statement!C17</f>
        <v>44943.199999999997</v>
      </c>
      <c r="D6" s="13">
        <f>Income_Statement!D17</f>
        <v>45025.7</v>
      </c>
      <c r="E6" s="13">
        <f>Income_Statement!E17</f>
        <v>34634.800000000003</v>
      </c>
      <c r="F6" s="13">
        <f>Income_Statement!F17</f>
        <v>33296.400000000001</v>
      </c>
      <c r="G6" s="13">
        <f>Income_Statement!G17</f>
        <v>39739.599999999999</v>
      </c>
    </row>
    <row r="7" spans="2:15" ht="18.75" x14ac:dyDescent="0.25">
      <c r="B7" s="12" t="str">
        <f>Balance_Sheet!B33</f>
        <v>Total Current Liabilities</v>
      </c>
      <c r="C7" s="13">
        <f>Balance_Sheet!C33</f>
        <v>16950.099999999999</v>
      </c>
      <c r="D7" s="13">
        <f>Balance_Sheet!D33</f>
        <v>16087.5</v>
      </c>
      <c r="E7" s="13">
        <f>Balance_Sheet!E33</f>
        <v>13426.300000000001</v>
      </c>
      <c r="F7" s="13">
        <f>Balance_Sheet!F33</f>
        <v>17845.099999999999</v>
      </c>
      <c r="G7" s="13">
        <f>Balance_Sheet!G33</f>
        <v>18940.099999999999</v>
      </c>
    </row>
    <row r="8" spans="2:15" ht="18.75" x14ac:dyDescent="0.25">
      <c r="B8" s="14" t="s">
        <v>194</v>
      </c>
      <c r="C8" s="14">
        <f>ROUND(365/C6*C7, 2)</f>
        <v>137.66</v>
      </c>
      <c r="D8" s="14">
        <f t="shared" ref="D8:G8" si="0">ROUND(365/D6*D7, 2)</f>
        <v>130.41</v>
      </c>
      <c r="E8" s="14">
        <f t="shared" si="0"/>
        <v>141.49</v>
      </c>
      <c r="F8" s="14">
        <f t="shared" si="0"/>
        <v>195.62</v>
      </c>
      <c r="G8" s="14">
        <f t="shared" si="0"/>
        <v>173.96</v>
      </c>
    </row>
  </sheetData>
  <mergeCells count="1">
    <mergeCell ref="B5:G5"/>
  </mergeCells>
  <hyperlinks>
    <hyperlink ref="F1" location="Index_Data!A1" tooltip="Hi click here To return Index page" display="Index_Data!A1" xr:uid="{F39B2470-5AFB-403E-97A5-F9CCCC4AA1F1}"/>
  </hyperlinks>
  <pageMargins left="0.7" right="0.7" top="0.75" bottom="0.75" header="0.3" footer="0.3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E30F32-9176-432D-B557-CF749949BDEA}">
  <dimension ref="B1:O8"/>
  <sheetViews>
    <sheetView showGridLines="0" workbookViewId="0">
      <selection activeCell="B8" sqref="B8:G8"/>
    </sheetView>
  </sheetViews>
  <sheetFormatPr defaultRowHeight="15" x14ac:dyDescent="0.25"/>
  <cols>
    <col min="2" max="2" width="25.5703125" bestFit="1" customWidth="1"/>
    <col min="3" max="7" width="13.1406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195</v>
      </c>
      <c r="C5" s="44"/>
      <c r="D5" s="44"/>
      <c r="E5" s="44"/>
      <c r="F5" s="44"/>
      <c r="G5" s="44"/>
    </row>
    <row r="6" spans="2:15" ht="18.75" x14ac:dyDescent="0.25">
      <c r="B6" s="12" t="str">
        <f>Income_Statement!B5</f>
        <v>Gross Sales</v>
      </c>
      <c r="C6" s="13">
        <f>Income_Statement!C5</f>
        <v>80348.800000000003</v>
      </c>
      <c r="D6" s="13">
        <f>Income_Statement!D5</f>
        <v>83038.5</v>
      </c>
      <c r="E6" s="13">
        <f>Income_Statement!E5</f>
        <v>71704.800000000003</v>
      </c>
      <c r="F6" s="13">
        <f>Income_Statement!F5</f>
        <v>66571.8</v>
      </c>
      <c r="G6" s="13">
        <f>Income_Statement!G5</f>
        <v>83799.8</v>
      </c>
    </row>
    <row r="7" spans="2:15" ht="18.75" x14ac:dyDescent="0.25">
      <c r="B7" s="12" t="str">
        <f>Balance_Sheet!B68</f>
        <v>Trade Receivables</v>
      </c>
      <c r="C7" s="13">
        <f>Balance_Sheet!C68</f>
        <v>1465.4</v>
      </c>
      <c r="D7" s="13">
        <f>Balance_Sheet!D68</f>
        <v>2312.8000000000002</v>
      </c>
      <c r="E7" s="13">
        <f>Balance_Sheet!E68</f>
        <v>1977.7</v>
      </c>
      <c r="F7" s="13">
        <f>Balance_Sheet!F68</f>
        <v>1279.9000000000001</v>
      </c>
      <c r="G7" s="13">
        <f>Balance_Sheet!G68</f>
        <v>2034.5</v>
      </c>
    </row>
    <row r="8" spans="2:15" ht="18.75" x14ac:dyDescent="0.25">
      <c r="B8" s="14" t="s">
        <v>196</v>
      </c>
      <c r="C8" s="14">
        <f>ROUND(365/C6*C7, 2)</f>
        <v>6.66</v>
      </c>
      <c r="D8" s="14">
        <f t="shared" ref="D8:G8" si="0">ROUND(365/D6*D7, 2)</f>
        <v>10.17</v>
      </c>
      <c r="E8" s="14">
        <f t="shared" si="0"/>
        <v>10.07</v>
      </c>
      <c r="F8" s="14">
        <f t="shared" si="0"/>
        <v>7.02</v>
      </c>
      <c r="G8" s="14">
        <f t="shared" si="0"/>
        <v>8.86</v>
      </c>
    </row>
  </sheetData>
  <mergeCells count="1">
    <mergeCell ref="B5:G5"/>
  </mergeCells>
  <hyperlinks>
    <hyperlink ref="F1" location="Index_Data!A1" tooltip="Hi click here To return Index page" display="Index_Data!A1" xr:uid="{B8D04079-EDF2-41D7-B174-EBF16B0BCC11}"/>
  </hyperlinks>
  <pageMargins left="0.7" right="0.7" top="0.75" bottom="0.75" header="0.3" footer="0.3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C79721-8BAE-4A2E-AE4C-223FE8419121}">
  <dimension ref="B1:O12"/>
  <sheetViews>
    <sheetView showGridLines="0" workbookViewId="0">
      <selection activeCell="B12" sqref="B12:G12"/>
    </sheetView>
  </sheetViews>
  <sheetFormatPr defaultRowHeight="15" x14ac:dyDescent="0.25"/>
  <cols>
    <col min="2" max="2" width="40.42578125" bestFit="1" customWidth="1"/>
    <col min="3" max="7" width="13.1406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197</v>
      </c>
      <c r="C5" s="44"/>
      <c r="D5" s="44"/>
      <c r="E5" s="44"/>
      <c r="F5" s="44"/>
      <c r="G5" s="44"/>
    </row>
    <row r="6" spans="2:15" ht="18.75" x14ac:dyDescent="0.25">
      <c r="B6" s="12" t="str">
        <f>Income_Statement!B5</f>
        <v>Gross Sales</v>
      </c>
      <c r="C6" s="13">
        <f>Income_Statement!C5</f>
        <v>80348.800000000003</v>
      </c>
      <c r="D6" s="13">
        <f>Income_Statement!D5</f>
        <v>83038.5</v>
      </c>
      <c r="E6" s="13">
        <f>Income_Statement!E5</f>
        <v>71704.800000000003</v>
      </c>
      <c r="F6" s="13">
        <f>Income_Statement!F5</f>
        <v>66571.8</v>
      </c>
      <c r="G6" s="13">
        <f>Income_Statement!G5</f>
        <v>83799.8</v>
      </c>
    </row>
    <row r="7" spans="2:15" ht="18.75" x14ac:dyDescent="0.25">
      <c r="B7" s="12" t="str">
        <f>Balance_Sheet!B66</f>
        <v>Inventories</v>
      </c>
      <c r="C7" s="13">
        <f>Balance_Sheet!C66</f>
        <v>3160.2</v>
      </c>
      <c r="D7" s="13">
        <f>Balance_Sheet!D66</f>
        <v>3322.6</v>
      </c>
      <c r="E7" s="13">
        <f>Balance_Sheet!E66</f>
        <v>3213.9</v>
      </c>
      <c r="F7" s="13">
        <f>Balance_Sheet!F66</f>
        <v>3049</v>
      </c>
      <c r="G7" s="13">
        <f>Balance_Sheet!G66</f>
        <v>3532.3</v>
      </c>
    </row>
    <row r="8" spans="2:15" ht="18.75" x14ac:dyDescent="0.25">
      <c r="B8" s="12" t="s">
        <v>192</v>
      </c>
      <c r="C8" s="13">
        <f>ROUND(365/C6*C7, 2)</f>
        <v>14.36</v>
      </c>
      <c r="D8" s="13">
        <f t="shared" ref="D8:G8" si="0">ROUND(365/D6*D7, 2)</f>
        <v>14.6</v>
      </c>
      <c r="E8" s="13">
        <f t="shared" si="0"/>
        <v>16.36</v>
      </c>
      <c r="F8" s="13">
        <f t="shared" si="0"/>
        <v>16.72</v>
      </c>
      <c r="G8" s="13">
        <f t="shared" si="0"/>
        <v>15.39</v>
      </c>
    </row>
    <row r="9" spans="2:15" ht="18.75" x14ac:dyDescent="0.25">
      <c r="B9" s="12" t="str">
        <f>Income_Statement!B17</f>
        <v>Cost Of Materials Consumed</v>
      </c>
      <c r="C9" s="13">
        <f>Income_Statement!C17</f>
        <v>44943.199999999997</v>
      </c>
      <c r="D9" s="13">
        <f>Income_Statement!D17</f>
        <v>45025.7</v>
      </c>
      <c r="E9" s="13">
        <f>Income_Statement!E17</f>
        <v>34634.800000000003</v>
      </c>
      <c r="F9" s="13">
        <f>Income_Statement!F17</f>
        <v>33296.400000000001</v>
      </c>
      <c r="G9" s="13">
        <f>Income_Statement!G17</f>
        <v>39739.599999999999</v>
      </c>
    </row>
    <row r="10" spans="2:15" ht="18.75" x14ac:dyDescent="0.25">
      <c r="B10" s="12" t="str">
        <f>Balance_Sheet!B33</f>
        <v>Total Current Liabilities</v>
      </c>
      <c r="C10" s="13">
        <f>Balance_Sheet!C33</f>
        <v>16950.099999999999</v>
      </c>
      <c r="D10" s="13">
        <f>Balance_Sheet!D33</f>
        <v>16087.5</v>
      </c>
      <c r="E10" s="13">
        <f>Balance_Sheet!E33</f>
        <v>13426.300000000001</v>
      </c>
      <c r="F10" s="13">
        <f>Balance_Sheet!F33</f>
        <v>17845.099999999999</v>
      </c>
      <c r="G10" s="13">
        <f>Balance_Sheet!G33</f>
        <v>18940.099999999999</v>
      </c>
    </row>
    <row r="11" spans="2:15" ht="18.75" x14ac:dyDescent="0.25">
      <c r="B11" s="12" t="s">
        <v>194</v>
      </c>
      <c r="C11" s="13">
        <f>ROUND(365/C9*C10, 2)</f>
        <v>137.66</v>
      </c>
      <c r="D11" s="13">
        <f t="shared" ref="D11:G11" si="1">ROUND(365/D9*D10, 2)</f>
        <v>130.41</v>
      </c>
      <c r="E11" s="13">
        <f t="shared" si="1"/>
        <v>141.49</v>
      </c>
      <c r="F11" s="13">
        <f t="shared" si="1"/>
        <v>195.62</v>
      </c>
      <c r="G11" s="13">
        <f t="shared" si="1"/>
        <v>173.96</v>
      </c>
    </row>
    <row r="12" spans="2:15" ht="18.75" x14ac:dyDescent="0.25">
      <c r="B12" s="14" t="s">
        <v>198</v>
      </c>
      <c r="C12" s="16">
        <f>ROUND(C11+C8, 2)</f>
        <v>152.02000000000001</v>
      </c>
      <c r="D12" s="16">
        <f t="shared" ref="D12:G12" si="2">ROUND(D11+D8, 2)</f>
        <v>145.01</v>
      </c>
      <c r="E12" s="16">
        <f t="shared" si="2"/>
        <v>157.85</v>
      </c>
      <c r="F12" s="16">
        <f t="shared" si="2"/>
        <v>212.34</v>
      </c>
      <c r="G12" s="16">
        <f t="shared" si="2"/>
        <v>189.35</v>
      </c>
    </row>
  </sheetData>
  <mergeCells count="1">
    <mergeCell ref="B5:G5"/>
  </mergeCells>
  <hyperlinks>
    <hyperlink ref="F1" location="Index_Data!A1" tooltip="Hi click here To return Index page" display="Index_Data!A1" xr:uid="{6AC115B2-EBDA-4077-BF89-F5B0AA9AB48C}"/>
  </hyperlinks>
  <pageMargins left="0.7" right="0.7" top="0.75" bottom="0.75" header="0.3" footer="0.3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605117-1AC2-436F-BA24-C6757CDBB85C}">
  <dimension ref="B1:O16"/>
  <sheetViews>
    <sheetView showGridLines="0" workbookViewId="0">
      <selection activeCell="B16" sqref="B16:G16"/>
    </sheetView>
  </sheetViews>
  <sheetFormatPr defaultRowHeight="15" x14ac:dyDescent="0.25"/>
  <cols>
    <col min="2" max="2" width="40.42578125" bestFit="1" customWidth="1"/>
    <col min="3" max="7" width="13.1406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199</v>
      </c>
      <c r="C5" s="44"/>
      <c r="D5" s="44"/>
      <c r="E5" s="44"/>
      <c r="F5" s="44"/>
      <c r="G5" s="44"/>
    </row>
    <row r="6" spans="2:15" ht="18.75" x14ac:dyDescent="0.25">
      <c r="B6" s="12" t="str">
        <f>Income_Statement!B5</f>
        <v>Gross Sales</v>
      </c>
      <c r="C6" s="13">
        <f>Income_Statement!C5</f>
        <v>80348.800000000003</v>
      </c>
      <c r="D6" s="13">
        <f>Income_Statement!D5</f>
        <v>83038.5</v>
      </c>
      <c r="E6" s="13">
        <f>Income_Statement!E5</f>
        <v>71704.800000000003</v>
      </c>
      <c r="F6" s="13">
        <f>Income_Statement!F5</f>
        <v>66571.8</v>
      </c>
      <c r="G6" s="13">
        <f>Income_Statement!G5</f>
        <v>83799.8</v>
      </c>
    </row>
    <row r="7" spans="2:15" ht="18.75" x14ac:dyDescent="0.25">
      <c r="B7" s="12" t="str">
        <f>Balance_Sheet!B66</f>
        <v>Inventories</v>
      </c>
      <c r="C7" s="13">
        <f>Balance_Sheet!C66</f>
        <v>3160.2</v>
      </c>
      <c r="D7" s="13">
        <f>Balance_Sheet!D66</f>
        <v>3322.6</v>
      </c>
      <c r="E7" s="13">
        <f>Balance_Sheet!E66</f>
        <v>3213.9</v>
      </c>
      <c r="F7" s="13">
        <f>Balance_Sheet!F66</f>
        <v>3049</v>
      </c>
      <c r="G7" s="13">
        <f>Balance_Sheet!G66</f>
        <v>3532.3</v>
      </c>
    </row>
    <row r="8" spans="2:15" ht="18.75" x14ac:dyDescent="0.25">
      <c r="B8" s="12" t="s">
        <v>192</v>
      </c>
      <c r="C8" s="13">
        <f>ROUND(365/C6*C7, 2)</f>
        <v>14.36</v>
      </c>
      <c r="D8" s="13">
        <f t="shared" ref="D8:G8" si="0">ROUND(365/D6*D7, 2)</f>
        <v>14.6</v>
      </c>
      <c r="E8" s="13">
        <f t="shared" si="0"/>
        <v>16.36</v>
      </c>
      <c r="F8" s="13">
        <f t="shared" si="0"/>
        <v>16.72</v>
      </c>
      <c r="G8" s="13">
        <f t="shared" si="0"/>
        <v>15.39</v>
      </c>
    </row>
    <row r="9" spans="2:15" ht="18.75" x14ac:dyDescent="0.25">
      <c r="B9" s="12" t="str">
        <f>Income_Statement!B17</f>
        <v>Cost Of Materials Consumed</v>
      </c>
      <c r="C9" s="13">
        <f>Income_Statement!C17</f>
        <v>44943.199999999997</v>
      </c>
      <c r="D9" s="13">
        <f>Income_Statement!D17</f>
        <v>45025.7</v>
      </c>
      <c r="E9" s="13">
        <f>Income_Statement!E17</f>
        <v>34634.800000000003</v>
      </c>
      <c r="F9" s="13">
        <f>Income_Statement!F17</f>
        <v>33296.400000000001</v>
      </c>
      <c r="G9" s="13">
        <f>Income_Statement!G17</f>
        <v>39739.599999999999</v>
      </c>
    </row>
    <row r="10" spans="2:15" ht="18.75" x14ac:dyDescent="0.25">
      <c r="B10" s="12" t="str">
        <f>Balance_Sheet!B33</f>
        <v>Total Current Liabilities</v>
      </c>
      <c r="C10" s="13">
        <f>Balance_Sheet!C33</f>
        <v>16950.099999999999</v>
      </c>
      <c r="D10" s="13">
        <f>Balance_Sheet!D33</f>
        <v>16087.5</v>
      </c>
      <c r="E10" s="13">
        <f>Balance_Sheet!E33</f>
        <v>13426.300000000001</v>
      </c>
      <c r="F10" s="13">
        <f>Balance_Sheet!F33</f>
        <v>17845.099999999999</v>
      </c>
      <c r="G10" s="13">
        <f>Balance_Sheet!G33</f>
        <v>18940.099999999999</v>
      </c>
    </row>
    <row r="11" spans="2:15" ht="18.75" x14ac:dyDescent="0.25">
      <c r="B11" s="12" t="s">
        <v>194</v>
      </c>
      <c r="C11" s="13">
        <f>ROUND(365/C9*C10, 2)</f>
        <v>137.66</v>
      </c>
      <c r="D11" s="13">
        <f t="shared" ref="D11:G11" si="1">ROUND(365/D9*D10, 2)</f>
        <v>130.41</v>
      </c>
      <c r="E11" s="13">
        <f t="shared" si="1"/>
        <v>141.49</v>
      </c>
      <c r="F11" s="13">
        <f t="shared" si="1"/>
        <v>195.62</v>
      </c>
      <c r="G11" s="13">
        <f t="shared" si="1"/>
        <v>173.96</v>
      </c>
    </row>
    <row r="12" spans="2:15" ht="18.75" x14ac:dyDescent="0.25">
      <c r="B12" s="12" t="s">
        <v>200</v>
      </c>
      <c r="C12" s="13">
        <f>ROUND(C11+C8, 2)</f>
        <v>152.02000000000001</v>
      </c>
      <c r="D12" s="13">
        <f t="shared" ref="D12:G12" si="2">ROUND(D11+D8, 2)</f>
        <v>145.01</v>
      </c>
      <c r="E12" s="13">
        <f t="shared" si="2"/>
        <v>157.85</v>
      </c>
      <c r="F12" s="13">
        <f t="shared" si="2"/>
        <v>212.34</v>
      </c>
      <c r="G12" s="13">
        <f t="shared" si="2"/>
        <v>189.35</v>
      </c>
    </row>
    <row r="13" spans="2:15" ht="18.75" x14ac:dyDescent="0.25">
      <c r="B13" s="12" t="str">
        <f>Income_Statement!B17</f>
        <v>Cost Of Materials Consumed</v>
      </c>
      <c r="C13" s="13">
        <f>Income_Statement!C17</f>
        <v>44943.199999999997</v>
      </c>
      <c r="D13" s="13">
        <f>Income_Statement!D17</f>
        <v>45025.7</v>
      </c>
      <c r="E13" s="13">
        <f>Income_Statement!E17</f>
        <v>34634.800000000003</v>
      </c>
      <c r="F13" s="13">
        <f>Income_Statement!F17</f>
        <v>33296.400000000001</v>
      </c>
      <c r="G13" s="13">
        <f>Income_Statement!G17</f>
        <v>39739.599999999999</v>
      </c>
    </row>
    <row r="14" spans="2:15" ht="18.75" x14ac:dyDescent="0.25">
      <c r="B14" s="12" t="str">
        <f>Balance_Sheet!B33</f>
        <v>Total Current Liabilities</v>
      </c>
      <c r="C14" s="13">
        <f>Balance_Sheet!C33</f>
        <v>16950.099999999999</v>
      </c>
      <c r="D14" s="13">
        <f>Balance_Sheet!D33</f>
        <v>16087.5</v>
      </c>
      <c r="E14" s="13">
        <f>Balance_Sheet!E33</f>
        <v>13426.300000000001</v>
      </c>
      <c r="F14" s="13">
        <f>Balance_Sheet!F33</f>
        <v>17845.099999999999</v>
      </c>
      <c r="G14" s="13">
        <f>Balance_Sheet!G33</f>
        <v>18940.099999999999</v>
      </c>
    </row>
    <row r="15" spans="2:15" ht="18.75" x14ac:dyDescent="0.25">
      <c r="B15" s="12" t="s">
        <v>194</v>
      </c>
      <c r="C15" s="13">
        <f>ROUND(365/C13*C14, 2)</f>
        <v>137.66</v>
      </c>
      <c r="D15" s="13">
        <f t="shared" ref="D15:G15" si="3">ROUND(365/D13*D14, 2)</f>
        <v>130.41</v>
      </c>
      <c r="E15" s="13">
        <f t="shared" si="3"/>
        <v>141.49</v>
      </c>
      <c r="F15" s="13">
        <f t="shared" si="3"/>
        <v>195.62</v>
      </c>
      <c r="G15" s="13">
        <f t="shared" si="3"/>
        <v>173.96</v>
      </c>
    </row>
    <row r="16" spans="2:15" ht="18.75" x14ac:dyDescent="0.25">
      <c r="B16" s="14" t="s">
        <v>201</v>
      </c>
      <c r="C16" s="16">
        <f>ROUND(C15-C12, 2)</f>
        <v>-14.36</v>
      </c>
      <c r="D16" s="16">
        <f t="shared" ref="D16:G16" si="4">ROUND(D15-D12, 2)</f>
        <v>-14.6</v>
      </c>
      <c r="E16" s="16">
        <f t="shared" si="4"/>
        <v>-16.36</v>
      </c>
      <c r="F16" s="16">
        <f t="shared" si="4"/>
        <v>-16.72</v>
      </c>
      <c r="G16" s="16">
        <f t="shared" si="4"/>
        <v>-15.39</v>
      </c>
    </row>
  </sheetData>
  <mergeCells count="1">
    <mergeCell ref="B5:G5"/>
  </mergeCells>
  <hyperlinks>
    <hyperlink ref="F1" location="Index_Data!A1" tooltip="Hi click here To return Index page" display="Index_Data!A1" xr:uid="{D6E961AA-23FE-43F2-9ACA-034BC94D4E02}"/>
  </hyperlinks>
  <pageMargins left="0.7" right="0.7" top="0.75" bottom="0.75" header="0.3" footer="0.3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F61D64-8A65-43E9-9EE8-0CA0C4A4BA3C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22.5703125" bestFit="1" customWidth="1"/>
    <col min="3" max="5" width="13.140625" bestFit="1" customWidth="1"/>
    <col min="6" max="7" width="14.85546875" bestFit="1" customWidth="1"/>
  </cols>
  <sheetData>
    <row r="1" spans="2:15" x14ac:dyDescent="0.25">
      <c r="F1" s="45" t="s">
        <v>271</v>
      </c>
      <c r="O1" s="46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Balance_Sheet!B13</f>
        <v>Net Worth</v>
      </c>
      <c r="C5" s="13">
        <f>Balance_Sheet!C13</f>
        <v>42559.4</v>
      </c>
      <c r="D5" s="13">
        <f>Balance_Sheet!D13</f>
        <v>59228.030848341441</v>
      </c>
      <c r="E5" s="13">
        <f>Balance_Sheet!E13</f>
        <v>76326.477350109795</v>
      </c>
      <c r="F5" s="13">
        <f>Balance_Sheet!F13</f>
        <v>92389.821457374434</v>
      </c>
      <c r="G5" s="13">
        <f>Balance_Sheet!G13</f>
        <v>117882.8422772332</v>
      </c>
    </row>
    <row r="6" spans="2:15" ht="18.75" x14ac:dyDescent="0.25">
      <c r="B6" s="12" t="str">
        <f>Balance_Sheet!B37</f>
        <v>Total Liabilities</v>
      </c>
      <c r="C6" s="13">
        <f>Balance_Sheet!C37</f>
        <v>60248.4</v>
      </c>
      <c r="D6" s="13">
        <f>Balance_Sheet!D37</f>
        <v>76104.630848341447</v>
      </c>
      <c r="E6" s="13">
        <f>Balance_Sheet!E37</f>
        <v>90541.177350109792</v>
      </c>
      <c r="F6" s="13">
        <f>Balance_Sheet!F37</f>
        <v>111171.92145737444</v>
      </c>
      <c r="G6" s="13">
        <f>Balance_Sheet!G37</f>
        <v>137204.8422772332</v>
      </c>
    </row>
  </sheetData>
  <hyperlinks>
    <hyperlink ref="F1" location="Index_Data!A1" tooltip="Hi click here To return Index page" display="Index_Data!A1" xr:uid="{AF6D51B6-D88E-4848-A4B9-5E1E3B043D29}"/>
  </hyperlinks>
  <pageMargins left="0.7" right="0.7" top="0.75" bottom="0.75" header="0.3" footer="0.3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DACDCE-6ED9-433B-93D0-A12A1E6B627C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10.42578125" bestFit="1" customWidth="1"/>
    <col min="3" max="7" width="13.140625" bestFit="1" customWidth="1"/>
  </cols>
  <sheetData>
    <row r="1" spans="2:15" x14ac:dyDescent="0.25">
      <c r="F1" s="45" t="s">
        <v>271</v>
      </c>
      <c r="O1" s="46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Income_Statement!B29</f>
        <v>PBDIT</v>
      </c>
      <c r="C5" s="13">
        <f>Income_Statement!C29</f>
        <v>22361.697686337575</v>
      </c>
      <c r="D5" s="13">
        <f>Income_Statement!D29</f>
        <v>25651.930848341435</v>
      </c>
      <c r="E5" s="13">
        <f>Income_Statement!E29</f>
        <v>25099.646501768359</v>
      </c>
      <c r="F5" s="13">
        <f>Income_Statement!F29</f>
        <v>21943.644107264641</v>
      </c>
      <c r="G5" s="13">
        <f>Income_Statement!G29</f>
        <v>29226.320819858767</v>
      </c>
    </row>
    <row r="6" spans="2:15" ht="18.75" x14ac:dyDescent="0.25">
      <c r="B6" s="12" t="str">
        <f>Income_Statement!B33</f>
        <v>PBIT</v>
      </c>
      <c r="C6" s="13">
        <f>Income_Statement!C33</f>
        <v>19601.897686337576</v>
      </c>
      <c r="D6" s="13">
        <f>Income_Statement!D33</f>
        <v>22631.130848341436</v>
      </c>
      <c r="E6" s="13">
        <f>Income_Statement!E33</f>
        <v>21571.246501768357</v>
      </c>
      <c r="F6" s="13">
        <f>Income_Statement!F33</f>
        <v>18909.544107264643</v>
      </c>
      <c r="G6" s="13">
        <f>Income_Statement!G33</f>
        <v>26437.320819858767</v>
      </c>
    </row>
  </sheetData>
  <hyperlinks>
    <hyperlink ref="F1" location="Index_Data!A1" tooltip="Hi click here To return Index page" display="Index_Data!A1" xr:uid="{D9F17A72-3655-4B40-A0D3-2B236AB4B611}"/>
  </hyperlinks>
  <pageMargins left="0.7" right="0.7" top="0.75" bottom="0.75" header="0.3" footer="0.3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205035-48DD-4578-88D1-81B2879E6595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34.42578125" bestFit="1" customWidth="1"/>
    <col min="3" max="7" width="13.140625" bestFit="1" customWidth="1"/>
  </cols>
  <sheetData>
    <row r="1" spans="2:15" x14ac:dyDescent="0.25">
      <c r="F1" s="45" t="s">
        <v>271</v>
      </c>
      <c r="O1" s="46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Balance_Sheet!B72</f>
        <v>Total Current Assets</v>
      </c>
      <c r="C5" s="13">
        <f>Balance_Sheet!C72</f>
        <v>8604.4</v>
      </c>
      <c r="D5" s="13">
        <f>Balance_Sheet!D72</f>
        <v>24577.63084834144</v>
      </c>
      <c r="E5" s="13">
        <f>Balance_Sheet!E72</f>
        <v>42513.677350109792</v>
      </c>
      <c r="F5" s="13">
        <f>Balance_Sheet!F72</f>
        <v>61622.421457374439</v>
      </c>
      <c r="G5" s="13">
        <f>Balance_Sheet!G72</f>
        <v>90858.742277233192</v>
      </c>
    </row>
    <row r="6" spans="2:15" ht="18.75" x14ac:dyDescent="0.25">
      <c r="B6" s="12" t="str">
        <f>Balance_Sheet!B33</f>
        <v>Total Current Liabilities</v>
      </c>
      <c r="C6" s="13">
        <f>Balance_Sheet!C33</f>
        <v>16950.099999999999</v>
      </c>
      <c r="D6" s="13">
        <f>Balance_Sheet!D33</f>
        <v>16087.5</v>
      </c>
      <c r="E6" s="13">
        <f>Balance_Sheet!E33</f>
        <v>13426.300000000001</v>
      </c>
      <c r="F6" s="13">
        <f>Balance_Sheet!F33</f>
        <v>17845.099999999999</v>
      </c>
      <c r="G6" s="13">
        <f>Balance_Sheet!G33</f>
        <v>18940.099999999999</v>
      </c>
    </row>
  </sheetData>
  <hyperlinks>
    <hyperlink ref="F1" location="Index_Data!A1" tooltip="Hi click here To return Index page" display="Index_Data!A1" xr:uid="{A7B05328-3BE0-4963-B1D6-EAD16F82D43A}"/>
  </hyperlinks>
  <pageMargins left="0.7" right="0.7" top="0.75" bottom="0.75" header="0.3" footer="0.3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2267BF-5636-43E8-8C0D-3506559C9996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31.85546875" bestFit="1" customWidth="1"/>
    <col min="3" max="7" width="10" bestFit="1" customWidth="1"/>
  </cols>
  <sheetData>
    <row r="1" spans="2:15" x14ac:dyDescent="0.25">
      <c r="F1" s="45" t="s">
        <v>271</v>
      </c>
      <c r="O1" s="46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Balance_Sheet!B23</f>
        <v>Long Term Provisions</v>
      </c>
      <c r="C5" s="13">
        <f>Balance_Sheet!C23</f>
        <v>26.5</v>
      </c>
      <c r="D5" s="13">
        <f>Balance_Sheet!D23</f>
        <v>39.5</v>
      </c>
      <c r="E5" s="13">
        <f>Balance_Sheet!E23</f>
        <v>51.6</v>
      </c>
      <c r="F5" s="13">
        <f>Balance_Sheet!F23</f>
        <v>44.7</v>
      </c>
      <c r="G5" s="13">
        <f>Balance_Sheet!G23</f>
        <v>84.4</v>
      </c>
    </row>
    <row r="6" spans="2:15" ht="18.75" x14ac:dyDescent="0.25">
      <c r="B6" s="12" t="str">
        <f>Balance_Sheet!B25</f>
        <v>Short Term Provisions</v>
      </c>
      <c r="C6" s="13">
        <f>Balance_Sheet!C25</f>
        <v>560.9</v>
      </c>
      <c r="D6" s="13">
        <f>Balance_Sheet!D25</f>
        <v>625.4</v>
      </c>
      <c r="E6" s="13">
        <f>Balance_Sheet!E25</f>
        <v>680.7</v>
      </c>
      <c r="F6" s="13">
        <f>Balance_Sheet!F25</f>
        <v>742.8</v>
      </c>
      <c r="G6" s="13">
        <f>Balance_Sheet!G25</f>
        <v>861.3</v>
      </c>
    </row>
  </sheetData>
  <hyperlinks>
    <hyperlink ref="F1" location="Index_Data!A1" tooltip="Hi click here To return Index page" display="Index_Data!A1" xr:uid="{2EDB8A04-6AA1-499A-9147-EC09E8A76DEB}"/>
  </hyperlinks>
  <pageMargins left="0.7" right="0.7" top="0.75" bottom="0.75" header="0.3" footer="0.3"/>
  <drawing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72D09D-80AA-4578-BD78-7DEBF0BAF722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44.28515625" bestFit="1" customWidth="1"/>
    <col min="3" max="7" width="13.140625" bestFit="1" customWidth="1"/>
  </cols>
  <sheetData>
    <row r="1" spans="2:15" x14ac:dyDescent="0.25">
      <c r="F1" s="45" t="s">
        <v>271</v>
      </c>
      <c r="O1" s="46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Income_Statement!B17</f>
        <v>Cost Of Materials Consumed</v>
      </c>
      <c r="C5" s="13">
        <f>Income_Statement!C17</f>
        <v>44943.199999999997</v>
      </c>
      <c r="D5" s="13">
        <f>Income_Statement!D17</f>
        <v>45025.7</v>
      </c>
      <c r="E5" s="13">
        <f>Income_Statement!E17</f>
        <v>34634.800000000003</v>
      </c>
      <c r="F5" s="13">
        <f>Income_Statement!F17</f>
        <v>33296.400000000001</v>
      </c>
      <c r="G5" s="13">
        <f>Income_Statement!G17</f>
        <v>39739.599999999999</v>
      </c>
    </row>
    <row r="6" spans="2:15" ht="18.75" x14ac:dyDescent="0.25">
      <c r="B6" s="12" t="str">
        <f>Income_Statement!B19</f>
        <v>Operating And Direct Expenses</v>
      </c>
      <c r="C6" s="13">
        <f>Income_Statement!C19</f>
        <v>0</v>
      </c>
      <c r="D6" s="13">
        <f>Income_Statement!D19</f>
        <v>0</v>
      </c>
      <c r="E6" s="13">
        <f>Income_Statement!E19</f>
        <v>0</v>
      </c>
      <c r="F6" s="13">
        <f>Income_Statement!F19</f>
        <v>0</v>
      </c>
      <c r="G6" s="13">
        <f>Income_Statement!G19</f>
        <v>0</v>
      </c>
    </row>
  </sheetData>
  <hyperlinks>
    <hyperlink ref="F1" location="Index_Data!A1" tooltip="Hi click here To return Index page" display="Index_Data!A1" xr:uid="{01210463-F4E0-4E27-843D-D9D834D4DFC4}"/>
  </hyperlink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8F6A03-5FB1-4952-A2ED-713D619C1E84}">
  <dimension ref="B1:O65"/>
  <sheetViews>
    <sheetView showGridLines="0" topLeftCell="A49" workbookViewId="0">
      <selection activeCell="H61" sqref="H61:L61"/>
    </sheetView>
  </sheetViews>
  <sheetFormatPr defaultRowHeight="15" x14ac:dyDescent="0.25"/>
  <cols>
    <col min="2" max="2" width="61.85546875" bestFit="1" customWidth="1"/>
    <col min="3" max="4" width="18.85546875" bestFit="1" customWidth="1"/>
    <col min="5" max="5" width="17.140625" bestFit="1" customWidth="1"/>
    <col min="6" max="12" width="18.8554687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31" t="s">
        <v>120</v>
      </c>
      <c r="C3" s="32"/>
      <c r="D3" s="32"/>
      <c r="E3" s="32"/>
      <c r="F3" s="32"/>
      <c r="G3" s="32"/>
      <c r="H3" s="33" t="s">
        <v>264</v>
      </c>
      <c r="I3" s="34"/>
      <c r="J3" s="34"/>
      <c r="K3" s="34"/>
      <c r="L3" s="34"/>
    </row>
    <row r="4" spans="2:15" ht="18.75" x14ac:dyDescent="0.25">
      <c r="B4" s="10" t="s">
        <v>119</v>
      </c>
      <c r="C4" s="10">
        <v>2018</v>
      </c>
      <c r="D4" s="10">
        <v>2019</v>
      </c>
      <c r="E4" s="10">
        <v>2020</v>
      </c>
      <c r="F4" s="10">
        <v>2021</v>
      </c>
      <c r="G4" s="10">
        <v>2022</v>
      </c>
      <c r="H4" s="22">
        <v>2023</v>
      </c>
      <c r="I4" s="22">
        <v>2024</v>
      </c>
      <c r="J4" s="22">
        <v>2025</v>
      </c>
      <c r="K4" s="22">
        <v>2026</v>
      </c>
      <c r="L4" s="22">
        <v>2027</v>
      </c>
    </row>
    <row r="5" spans="2:15" ht="18.75" x14ac:dyDescent="0.25">
      <c r="B5" s="8" t="s">
        <v>97</v>
      </c>
      <c r="C5" s="5">
        <v>80348.800000000003</v>
      </c>
      <c r="D5" s="5">
        <v>83038.5</v>
      </c>
      <c r="E5" s="5">
        <v>71704.800000000003</v>
      </c>
      <c r="F5" s="5">
        <v>66571.8</v>
      </c>
      <c r="G5" s="5">
        <v>83799.8</v>
      </c>
      <c r="H5" s="28">
        <f>GROWTH(C5:G5,C4:G4,H4)</f>
        <v>73693.549275239478</v>
      </c>
      <c r="I5" s="28">
        <f t="shared" ref="I5:L5" si="0">GROWTH(D5:H5,D4:H4,I4)</f>
        <v>73613.337607237743</v>
      </c>
      <c r="J5" s="28">
        <f t="shared" si="0"/>
        <v>77157.868023717354</v>
      </c>
      <c r="K5" s="28">
        <f t="shared" si="0"/>
        <v>78564.781374466678</v>
      </c>
      <c r="L5" s="28">
        <f t="shared" si="0"/>
        <v>75374.352800843582</v>
      </c>
    </row>
    <row r="6" spans="2:15" x14ac:dyDescent="0.25">
      <c r="B6" s="17" t="s">
        <v>238</v>
      </c>
      <c r="C6" s="18">
        <f>C5/Income_Statement!C5</f>
        <v>1</v>
      </c>
      <c r="D6" s="18">
        <f>D5/Income_Statement!D5</f>
        <v>1</v>
      </c>
      <c r="E6" s="18">
        <f>E5/Income_Statement!E5</f>
        <v>1</v>
      </c>
      <c r="F6" s="18">
        <f>F5/Income_Statement!F5</f>
        <v>1</v>
      </c>
      <c r="G6" s="18">
        <f>G5/Income_Statement!G5</f>
        <v>1</v>
      </c>
      <c r="H6" s="25">
        <f>H5/Income_Statement!H5</f>
        <v>1</v>
      </c>
      <c r="I6" s="25">
        <f>I5/Income_Statement!I5</f>
        <v>1</v>
      </c>
      <c r="J6" s="25">
        <f>J5/Income_Statement!J5</f>
        <v>1</v>
      </c>
      <c r="K6" s="25">
        <f>K5/Income_Statement!K5</f>
        <v>1</v>
      </c>
      <c r="L6" s="25">
        <f>L5/Income_Statement!L5</f>
        <v>1</v>
      </c>
    </row>
    <row r="7" spans="2:15" ht="18.75" x14ac:dyDescent="0.25">
      <c r="B7" s="8" t="s">
        <v>98</v>
      </c>
      <c r="C7" s="4">
        <v>2231.6999999999998</v>
      </c>
      <c r="D7" s="4">
        <v>0</v>
      </c>
      <c r="E7" s="4">
        <v>0</v>
      </c>
      <c r="F7" s="4">
        <v>0</v>
      </c>
      <c r="G7" s="5">
        <v>0</v>
      </c>
      <c r="H7" s="28">
        <f>H5*H8</f>
        <v>0</v>
      </c>
      <c r="I7" s="28">
        <f t="shared" ref="I7:L7" si="1">I5*I8</f>
        <v>0</v>
      </c>
      <c r="J7" s="28">
        <f t="shared" si="1"/>
        <v>0</v>
      </c>
      <c r="K7" s="28">
        <f t="shared" si="1"/>
        <v>0</v>
      </c>
      <c r="L7" s="28">
        <f t="shared" si="1"/>
        <v>0</v>
      </c>
    </row>
    <row r="8" spans="2:15" x14ac:dyDescent="0.25">
      <c r="B8" s="17" t="s">
        <v>239</v>
      </c>
      <c r="C8" s="18">
        <f>C7/Income_Statement!C5</f>
        <v>2.7775150344497984E-2</v>
      </c>
      <c r="D8" s="18">
        <f>D7/Income_Statement!D5</f>
        <v>0</v>
      </c>
      <c r="E8" s="18">
        <f>E7/Income_Statement!E5</f>
        <v>0</v>
      </c>
      <c r="F8" s="18">
        <f>F7/Income_Statement!F5</f>
        <v>0</v>
      </c>
      <c r="G8" s="18">
        <f>G7/Income_Statement!G5</f>
        <v>0</v>
      </c>
      <c r="H8" s="25">
        <f>G8</f>
        <v>0</v>
      </c>
      <c r="I8" s="25">
        <f t="shared" ref="I8:L8" si="2">H8</f>
        <v>0</v>
      </c>
      <c r="J8" s="25">
        <f t="shared" si="2"/>
        <v>0</v>
      </c>
      <c r="K8" s="25">
        <f t="shared" si="2"/>
        <v>0</v>
      </c>
      <c r="L8" s="25">
        <f t="shared" si="2"/>
        <v>0</v>
      </c>
    </row>
    <row r="9" spans="2:15" ht="18.75" x14ac:dyDescent="0.25">
      <c r="B9" s="9" t="s">
        <v>105</v>
      </c>
      <c r="C9" s="7">
        <f>C5 - C7</f>
        <v>78117.100000000006</v>
      </c>
      <c r="D9" s="7">
        <f t="shared" ref="D9:L9" si="3">D5 - D7</f>
        <v>83038.5</v>
      </c>
      <c r="E9" s="7">
        <f t="shared" si="3"/>
        <v>71704.800000000003</v>
      </c>
      <c r="F9" s="7">
        <f t="shared" si="3"/>
        <v>66571.8</v>
      </c>
      <c r="G9" s="7">
        <f t="shared" si="3"/>
        <v>83799.8</v>
      </c>
      <c r="H9" s="29">
        <f t="shared" si="3"/>
        <v>73693.549275239478</v>
      </c>
      <c r="I9" s="29">
        <f t="shared" si="3"/>
        <v>73613.337607237743</v>
      </c>
      <c r="J9" s="29">
        <f t="shared" si="3"/>
        <v>77157.868023717354</v>
      </c>
      <c r="K9" s="29">
        <f t="shared" si="3"/>
        <v>78564.781374466678</v>
      </c>
      <c r="L9" s="29">
        <f t="shared" si="3"/>
        <v>75374.352800843582</v>
      </c>
    </row>
    <row r="10" spans="2:15" x14ac:dyDescent="0.25">
      <c r="B10" s="19" t="s">
        <v>240</v>
      </c>
      <c r="C10" s="21">
        <f>C9/Income_Statement!C5</f>
        <v>0.97222484965550204</v>
      </c>
      <c r="D10" s="21">
        <f>D9/Income_Statement!D5</f>
        <v>1</v>
      </c>
      <c r="E10" s="21">
        <f>E9/Income_Statement!E5</f>
        <v>1</v>
      </c>
      <c r="F10" s="21">
        <f>F9/Income_Statement!F5</f>
        <v>1</v>
      </c>
      <c r="G10" s="21">
        <f>G9/Income_Statement!G5</f>
        <v>1</v>
      </c>
      <c r="H10" s="30">
        <f>H9/Income_Statement!H5</f>
        <v>1</v>
      </c>
      <c r="I10" s="30">
        <f>I9/Income_Statement!I5</f>
        <v>1</v>
      </c>
      <c r="J10" s="30">
        <f>J9/Income_Statement!J5</f>
        <v>1</v>
      </c>
      <c r="K10" s="30">
        <f>K9/Income_Statement!K5</f>
        <v>1</v>
      </c>
      <c r="L10" s="30">
        <f>L9/Income_Statement!L5</f>
        <v>1</v>
      </c>
    </row>
    <row r="11" spans="2:15" ht="18.75" x14ac:dyDescent="0.25">
      <c r="B11" s="8" t="s">
        <v>59</v>
      </c>
      <c r="C11" s="5">
        <v>2045.8</v>
      </c>
      <c r="D11" s="5">
        <v>2561.6</v>
      </c>
      <c r="E11" s="5">
        <v>3334.4</v>
      </c>
      <c r="F11" s="5">
        <v>2936.3</v>
      </c>
      <c r="G11" s="5">
        <v>1744.7</v>
      </c>
      <c r="H11" s="28">
        <f>H5*H12</f>
        <v>2273.323769377499</v>
      </c>
      <c r="I11" s="28">
        <f t="shared" ref="I11:L11" si="4">I5*I12</f>
        <v>2270.8493724561522</v>
      </c>
      <c r="J11" s="28">
        <f t="shared" si="4"/>
        <v>2380.1922569597764</v>
      </c>
      <c r="K11" s="28">
        <f t="shared" si="4"/>
        <v>2423.5932003689113</v>
      </c>
      <c r="L11" s="28">
        <f t="shared" si="4"/>
        <v>2325.1737704154207</v>
      </c>
    </row>
    <row r="12" spans="2:15" x14ac:dyDescent="0.25">
      <c r="B12" s="17" t="s">
        <v>241</v>
      </c>
      <c r="C12" s="18">
        <f>C11/Income_Statement!C5</f>
        <v>2.5461487912700625E-2</v>
      </c>
      <c r="D12" s="18">
        <f>D11/Income_Statement!D5</f>
        <v>3.0848341431986368E-2</v>
      </c>
      <c r="E12" s="18">
        <f>E11/Income_Statement!E5</f>
        <v>4.6501768361392824E-2</v>
      </c>
      <c r="F12" s="18">
        <f>F11/Income_Statement!F5</f>
        <v>4.4107264637579274E-2</v>
      </c>
      <c r="G12" s="18">
        <f>G11/Income_Statement!G5</f>
        <v>2.0819858758612787E-2</v>
      </c>
      <c r="H12" s="25">
        <f>MEDIAN(C12:G12)</f>
        <v>3.0848341431986368E-2</v>
      </c>
      <c r="I12" s="25">
        <f t="shared" ref="I12:L12" si="5">H12</f>
        <v>3.0848341431986368E-2</v>
      </c>
      <c r="J12" s="25">
        <f t="shared" si="5"/>
        <v>3.0848341431986368E-2</v>
      </c>
      <c r="K12" s="25">
        <f t="shared" si="5"/>
        <v>3.0848341431986368E-2</v>
      </c>
      <c r="L12" s="25">
        <f t="shared" si="5"/>
        <v>3.0848341431986368E-2</v>
      </c>
    </row>
    <row r="13" spans="2:15" ht="18.75" x14ac:dyDescent="0.25">
      <c r="B13" s="8" t="s">
        <v>106</v>
      </c>
      <c r="C13" s="4"/>
      <c r="D13" s="4"/>
      <c r="E13" s="4"/>
      <c r="F13" s="4"/>
      <c r="G13" s="4"/>
      <c r="H13" s="24">
        <f>H5*H14</f>
        <v>0</v>
      </c>
      <c r="I13" s="24">
        <f t="shared" ref="I13:L13" si="6">I5*I14</f>
        <v>0</v>
      </c>
      <c r="J13" s="24">
        <f t="shared" si="6"/>
        <v>0</v>
      </c>
      <c r="K13" s="24">
        <f t="shared" si="6"/>
        <v>0</v>
      </c>
      <c r="L13" s="24">
        <f t="shared" si="6"/>
        <v>0</v>
      </c>
    </row>
    <row r="14" spans="2:15" x14ac:dyDescent="0.25">
      <c r="B14" s="17" t="s">
        <v>242</v>
      </c>
      <c r="C14" s="18">
        <f>C13/Income_Statement!C5</f>
        <v>0</v>
      </c>
      <c r="D14" s="18">
        <f>D13/Income_Statement!D5</f>
        <v>0</v>
      </c>
      <c r="E14" s="18">
        <f>E13/Income_Statement!E5</f>
        <v>0</v>
      </c>
      <c r="F14" s="18">
        <f>F13/Income_Statement!F5</f>
        <v>0</v>
      </c>
      <c r="G14" s="18">
        <f>G13/Income_Statement!G5</f>
        <v>0</v>
      </c>
      <c r="H14" s="25">
        <f>MEDIAN(C14:G14)</f>
        <v>0</v>
      </c>
      <c r="I14" s="25">
        <f t="shared" ref="I14:L14" si="7">H14</f>
        <v>0</v>
      </c>
      <c r="J14" s="25">
        <f t="shared" si="7"/>
        <v>0</v>
      </c>
      <c r="K14" s="25">
        <f t="shared" si="7"/>
        <v>0</v>
      </c>
      <c r="L14" s="25">
        <f t="shared" si="7"/>
        <v>0</v>
      </c>
    </row>
    <row r="15" spans="2:15" ht="18.75" x14ac:dyDescent="0.25">
      <c r="B15" s="9" t="s">
        <v>107</v>
      </c>
      <c r="C15" s="7">
        <f>SUM(C9:C13)</f>
        <v>80163.897686337572</v>
      </c>
      <c r="D15" s="7">
        <f t="shared" ref="D15:L15" si="8">SUM(D9:D13)</f>
        <v>85601.130848341432</v>
      </c>
      <c r="E15" s="7">
        <f t="shared" si="8"/>
        <v>75040.246501768357</v>
      </c>
      <c r="F15" s="7">
        <f t="shared" si="8"/>
        <v>69509.144107264641</v>
      </c>
      <c r="G15" s="7">
        <f t="shared" si="8"/>
        <v>85545.520819858764</v>
      </c>
      <c r="H15" s="29">
        <f t="shared" si="8"/>
        <v>75967.903892958406</v>
      </c>
      <c r="I15" s="29">
        <f t="shared" si="8"/>
        <v>75885.217828035326</v>
      </c>
      <c r="J15" s="29">
        <f t="shared" si="8"/>
        <v>79539.091129018561</v>
      </c>
      <c r="K15" s="29">
        <f t="shared" si="8"/>
        <v>80989.405423177013</v>
      </c>
      <c r="L15" s="29">
        <f t="shared" si="8"/>
        <v>77700.557419600431</v>
      </c>
    </row>
    <row r="16" spans="2:15" x14ac:dyDescent="0.25">
      <c r="B16" s="19" t="s">
        <v>243</v>
      </c>
      <c r="C16" s="21">
        <f>C15/Income_Statement!C5</f>
        <v>0.99769875450955792</v>
      </c>
      <c r="D16" s="21">
        <f>D15/Income_Statement!D5</f>
        <v>1.0308607555331735</v>
      </c>
      <c r="E16" s="21">
        <f>E15/Income_Statement!E5</f>
        <v>1.0465163629459724</v>
      </c>
      <c r="F16" s="21">
        <f>F15/Income_Statement!F5</f>
        <v>1.0441229485647772</v>
      </c>
      <c r="G16" s="21">
        <f>G15/Income_Statement!G5</f>
        <v>1.0208320404089122</v>
      </c>
      <c r="H16" s="30">
        <f>H15/Income_Statement!H5</f>
        <v>1.0308623297437391</v>
      </c>
      <c r="I16" s="30">
        <f>I15/Income_Statement!I5</f>
        <v>1.0308623449858929</v>
      </c>
      <c r="J16" s="30">
        <f>J15/Income_Statement!J5</f>
        <v>1.0308617016811461</v>
      </c>
      <c r="K16" s="30">
        <f>K15/Income_Statement!K5</f>
        <v>1.0308614624300136</v>
      </c>
      <c r="L16" s="30">
        <f>L15/Income_Statement!L5</f>
        <v>1.0308620178126533</v>
      </c>
    </row>
    <row r="17" spans="2:12" ht="18.75" x14ac:dyDescent="0.25">
      <c r="B17" s="8" t="s">
        <v>62</v>
      </c>
      <c r="C17" s="5">
        <v>44943.199999999997</v>
      </c>
      <c r="D17" s="5">
        <v>45025.7</v>
      </c>
      <c r="E17" s="5">
        <v>34634.800000000003</v>
      </c>
      <c r="F17" s="5">
        <v>33296.400000000001</v>
      </c>
      <c r="G17" s="5">
        <v>39739.599999999999</v>
      </c>
      <c r="H17" s="28">
        <f>H5*H18</f>
        <v>34947.006684721287</v>
      </c>
      <c r="I17" s="28">
        <f t="shared" ref="I17:L17" si="9">I5*I18</f>
        <v>34908.968651197079</v>
      </c>
      <c r="J17" s="28">
        <f t="shared" si="9"/>
        <v>36589.85835426001</v>
      </c>
      <c r="K17" s="28">
        <f t="shared" si="9"/>
        <v>37257.045791383222</v>
      </c>
      <c r="L17" s="28">
        <f t="shared" si="9"/>
        <v>35744.078512889093</v>
      </c>
    </row>
    <row r="18" spans="2:12" x14ac:dyDescent="0.25">
      <c r="B18" s="17" t="s">
        <v>244</v>
      </c>
      <c r="C18" s="18">
        <f>C17/Income_Statement!C5</f>
        <v>0.55935122864311593</v>
      </c>
      <c r="D18" s="18">
        <f>D17/Income_Statement!D5</f>
        <v>0.54222679841278443</v>
      </c>
      <c r="E18" s="18">
        <f>E17/Income_Statement!E5</f>
        <v>0.48301926788722654</v>
      </c>
      <c r="F18" s="18">
        <f>F17/Income_Statement!F5</f>
        <v>0.50015772444188078</v>
      </c>
      <c r="G18" s="18">
        <f>G17/Income_Statement!G5</f>
        <v>0.47422070219737994</v>
      </c>
      <c r="H18" s="25">
        <f>G18</f>
        <v>0.47422070219737994</v>
      </c>
      <c r="I18" s="25">
        <f t="shared" ref="I18:L18" si="10">H18</f>
        <v>0.47422070219737994</v>
      </c>
      <c r="J18" s="25">
        <f t="shared" si="10"/>
        <v>0.47422070219737994</v>
      </c>
      <c r="K18" s="25">
        <f t="shared" si="10"/>
        <v>0.47422070219737994</v>
      </c>
      <c r="L18" s="25">
        <f t="shared" si="10"/>
        <v>0.47422070219737994</v>
      </c>
    </row>
    <row r="19" spans="2:12" ht="18.75" x14ac:dyDescent="0.25">
      <c r="B19" s="8" t="s">
        <v>64</v>
      </c>
      <c r="C19" s="4">
        <v>0</v>
      </c>
      <c r="D19" s="4">
        <v>0</v>
      </c>
      <c r="E19" s="4">
        <v>0</v>
      </c>
      <c r="F19" s="4">
        <v>0</v>
      </c>
      <c r="G19" s="4">
        <v>0</v>
      </c>
      <c r="H19" s="24">
        <f>H5*H20</f>
        <v>0</v>
      </c>
      <c r="I19" s="24">
        <f t="shared" ref="I19:L19" si="11">I5*I20</f>
        <v>0</v>
      </c>
      <c r="J19" s="24">
        <f t="shared" si="11"/>
        <v>0</v>
      </c>
      <c r="K19" s="24">
        <f t="shared" si="11"/>
        <v>0</v>
      </c>
      <c r="L19" s="24">
        <f t="shared" si="11"/>
        <v>0</v>
      </c>
    </row>
    <row r="20" spans="2:12" x14ac:dyDescent="0.25">
      <c r="B20" s="17" t="s">
        <v>245</v>
      </c>
      <c r="C20" s="18">
        <f>C19/Income_Statement!C5</f>
        <v>0</v>
      </c>
      <c r="D20" s="18">
        <f>D19/Income_Statement!D5</f>
        <v>0</v>
      </c>
      <c r="E20" s="18">
        <f>E19/Income_Statement!E5</f>
        <v>0</v>
      </c>
      <c r="F20" s="18">
        <f>F19/Income_Statement!F5</f>
        <v>0</v>
      </c>
      <c r="G20" s="18">
        <f>G19/Income_Statement!G5</f>
        <v>0</v>
      </c>
      <c r="H20" s="25">
        <f>G20</f>
        <v>0</v>
      </c>
      <c r="I20" s="25">
        <f t="shared" ref="I20:L20" si="12">H20</f>
        <v>0</v>
      </c>
      <c r="J20" s="25">
        <f t="shared" si="12"/>
        <v>0</v>
      </c>
      <c r="K20" s="25">
        <f t="shared" si="12"/>
        <v>0</v>
      </c>
      <c r="L20" s="25">
        <f t="shared" si="12"/>
        <v>0</v>
      </c>
    </row>
    <row r="21" spans="2:12" ht="18.75" x14ac:dyDescent="0.25">
      <c r="B21" s="8" t="s">
        <v>66</v>
      </c>
      <c r="C21" s="5">
        <v>2863.4</v>
      </c>
      <c r="D21" s="5">
        <v>3285</v>
      </c>
      <c r="E21" s="5">
        <v>3416.2</v>
      </c>
      <c r="F21" s="5">
        <v>3431.6</v>
      </c>
      <c r="G21" s="5">
        <v>4051.4</v>
      </c>
      <c r="H21" s="28">
        <f>H5*H22</f>
        <v>3562.8014092361223</v>
      </c>
      <c r="I21" s="28">
        <f t="shared" ref="I21:L21" si="13">I5*I22</f>
        <v>3558.9234817023785</v>
      </c>
      <c r="J21" s="28">
        <f t="shared" si="13"/>
        <v>3730.2879781489751</v>
      </c>
      <c r="K21" s="28">
        <f t="shared" si="13"/>
        <v>3798.3068606430361</v>
      </c>
      <c r="L21" s="28">
        <f t="shared" si="13"/>
        <v>3644.061834722012</v>
      </c>
    </row>
    <row r="22" spans="2:12" x14ac:dyDescent="0.25">
      <c r="B22" s="17" t="s">
        <v>246</v>
      </c>
      <c r="C22" s="18">
        <f>C21/Income_Statement!C5</f>
        <v>3.5637122147437174E-2</v>
      </c>
      <c r="D22" s="18">
        <f>D21/Income_Statement!D5</f>
        <v>3.9559963149623366E-2</v>
      </c>
      <c r="E22" s="18">
        <f>E21/Income_Statement!E5</f>
        <v>4.7642556704711535E-2</v>
      </c>
      <c r="F22" s="18">
        <f>F21/Income_Statement!F5</f>
        <v>5.1547351881727696E-2</v>
      </c>
      <c r="G22" s="18">
        <f>G21/Income_Statement!G5</f>
        <v>4.8346177437177652E-2</v>
      </c>
      <c r="H22" s="25">
        <f>G22</f>
        <v>4.8346177437177652E-2</v>
      </c>
      <c r="I22" s="25">
        <f t="shared" ref="I22:L22" si="14">H22</f>
        <v>4.8346177437177652E-2</v>
      </c>
      <c r="J22" s="25">
        <f t="shared" si="14"/>
        <v>4.8346177437177652E-2</v>
      </c>
      <c r="K22" s="25">
        <f t="shared" si="14"/>
        <v>4.8346177437177652E-2</v>
      </c>
      <c r="L22" s="25">
        <f t="shared" si="14"/>
        <v>4.8346177437177652E-2</v>
      </c>
    </row>
    <row r="23" spans="2:12" ht="18.75" x14ac:dyDescent="0.25">
      <c r="B23" s="8" t="s">
        <v>69</v>
      </c>
      <c r="C23" s="5">
        <v>9995.6</v>
      </c>
      <c r="D23" s="5">
        <v>11638.5</v>
      </c>
      <c r="E23" s="5">
        <v>11889.6</v>
      </c>
      <c r="F23" s="5">
        <v>10837.5</v>
      </c>
      <c r="G23" s="5">
        <v>12528.2</v>
      </c>
      <c r="H23" s="28">
        <f>H5*H24</f>
        <v>10945.988167294176</v>
      </c>
      <c r="I23" s="28">
        <f t="shared" ref="I23:L23" si="15">I5*I24</f>
        <v>10934.074017718522</v>
      </c>
      <c r="J23" s="28">
        <f t="shared" si="15"/>
        <v>11460.556842592261</v>
      </c>
      <c r="K23" s="28">
        <f t="shared" si="15"/>
        <v>11669.531129231547</v>
      </c>
      <c r="L23" s="28">
        <f t="shared" si="15"/>
        <v>11195.644421929077</v>
      </c>
    </row>
    <row r="24" spans="2:12" x14ac:dyDescent="0.25">
      <c r="B24" s="17" t="s">
        <v>247</v>
      </c>
      <c r="C24" s="18">
        <f>C23/Income_Statement!C5</f>
        <v>0.12440260464375323</v>
      </c>
      <c r="D24" s="18">
        <f>D23/Income_Statement!D5</f>
        <v>0.14015787857439621</v>
      </c>
      <c r="E24" s="18">
        <f>E23/Income_Statement!E5</f>
        <v>0.16581316731934265</v>
      </c>
      <c r="F24" s="18">
        <f>F23/Income_Statement!F5</f>
        <v>0.16279415608410769</v>
      </c>
      <c r="G24" s="18">
        <f>G23/Income_Statement!G5</f>
        <v>0.14950155012303132</v>
      </c>
      <c r="H24" s="25">
        <f>AVERAGE(C24:G24)</f>
        <v>0.14853387134892621</v>
      </c>
      <c r="I24" s="25">
        <f t="shared" ref="I24:L24" si="16">H24</f>
        <v>0.14853387134892621</v>
      </c>
      <c r="J24" s="25">
        <f t="shared" si="16"/>
        <v>0.14853387134892621</v>
      </c>
      <c r="K24" s="25">
        <f t="shared" si="16"/>
        <v>0.14853387134892621</v>
      </c>
      <c r="L24" s="25">
        <f t="shared" si="16"/>
        <v>0.14853387134892621</v>
      </c>
    </row>
    <row r="25" spans="2:12" ht="18.75" x14ac:dyDescent="0.25">
      <c r="B25" s="9" t="s">
        <v>108</v>
      </c>
      <c r="C25" s="7">
        <f>C17+C19+C21+C23</f>
        <v>57802.2</v>
      </c>
      <c r="D25" s="7">
        <f t="shared" ref="D25:L25" si="17">D17+D19+D21+D23</f>
        <v>59949.2</v>
      </c>
      <c r="E25" s="7">
        <f t="shared" si="17"/>
        <v>49940.6</v>
      </c>
      <c r="F25" s="7">
        <f t="shared" si="17"/>
        <v>47565.5</v>
      </c>
      <c r="G25" s="7">
        <f t="shared" si="17"/>
        <v>56319.199999999997</v>
      </c>
      <c r="H25" s="29">
        <f t="shared" si="17"/>
        <v>49455.796261251584</v>
      </c>
      <c r="I25" s="29">
        <f t="shared" si="17"/>
        <v>49401.966150617976</v>
      </c>
      <c r="J25" s="29">
        <f t="shared" si="17"/>
        <v>51780.703175001247</v>
      </c>
      <c r="K25" s="29">
        <f t="shared" si="17"/>
        <v>52724.883781257806</v>
      </c>
      <c r="L25" s="29">
        <f t="shared" si="17"/>
        <v>50583.784769540187</v>
      </c>
    </row>
    <row r="26" spans="2:12" x14ac:dyDescent="0.25">
      <c r="B26" s="19" t="s">
        <v>248</v>
      </c>
      <c r="C26" s="21">
        <f>C25/Income_Statement!C5</f>
        <v>0.71939095543430631</v>
      </c>
      <c r="D26" s="21">
        <f>D25/Income_Statement!D5</f>
        <v>0.72194464013680393</v>
      </c>
      <c r="E26" s="21">
        <f>E25/Income_Statement!E5</f>
        <v>0.69647499191128059</v>
      </c>
      <c r="F26" s="21">
        <f>F25/Income_Statement!F5</f>
        <v>0.71449923240771618</v>
      </c>
      <c r="G26" s="21">
        <f>G25/Income_Statement!G5</f>
        <v>0.67206842975758885</v>
      </c>
      <c r="H26" s="30">
        <f>H25/Income_Statement!H5</f>
        <v>0.67110075098348387</v>
      </c>
      <c r="I26" s="30">
        <f>I25/Income_Statement!I5</f>
        <v>0.67110075098348376</v>
      </c>
      <c r="J26" s="30">
        <f>J25/Income_Statement!J5</f>
        <v>0.67110075098348376</v>
      </c>
      <c r="K26" s="30">
        <f>K25/Income_Statement!K5</f>
        <v>0.67110075098348376</v>
      </c>
      <c r="L26" s="30">
        <f>L25/Income_Statement!L5</f>
        <v>0.67110075098348387</v>
      </c>
    </row>
    <row r="27" spans="2:12" ht="18.75" x14ac:dyDescent="0.25">
      <c r="B27" s="9" t="s">
        <v>109</v>
      </c>
      <c r="C27" s="7">
        <f xml:space="preserve"> C15-C25-C11</f>
        <v>20315.897686337576</v>
      </c>
      <c r="D27" s="7">
        <f t="shared" ref="D27:L27" si="18" xml:space="preserve"> D15-D25-D11</f>
        <v>23090.330848341437</v>
      </c>
      <c r="E27" s="7">
        <f t="shared" si="18"/>
        <v>21765.246501768357</v>
      </c>
      <c r="F27" s="7">
        <f t="shared" si="18"/>
        <v>19007.344107264642</v>
      </c>
      <c r="G27" s="7">
        <f t="shared" si="18"/>
        <v>27481.620819858766</v>
      </c>
      <c r="H27" s="29">
        <f t="shared" si="18"/>
        <v>24238.783862329321</v>
      </c>
      <c r="I27" s="29">
        <f t="shared" si="18"/>
        <v>24212.402304961197</v>
      </c>
      <c r="J27" s="29">
        <f t="shared" si="18"/>
        <v>25378.195697057537</v>
      </c>
      <c r="K27" s="29">
        <f t="shared" si="18"/>
        <v>25840.928441550295</v>
      </c>
      <c r="L27" s="29">
        <f t="shared" si="18"/>
        <v>24791.598879644822</v>
      </c>
    </row>
    <row r="28" spans="2:12" x14ac:dyDescent="0.25">
      <c r="B28" s="19" t="s">
        <v>249</v>
      </c>
      <c r="C28" s="21">
        <f>C27/Income_Statement!C5</f>
        <v>0.25284631116255096</v>
      </c>
      <c r="D28" s="21">
        <f>D27/Income_Statement!D5</f>
        <v>0.2780677739643832</v>
      </c>
      <c r="E28" s="21">
        <f>E27/Income_Statement!E5</f>
        <v>0.30353960267329883</v>
      </c>
      <c r="F28" s="21">
        <f>F27/Income_Statement!F5</f>
        <v>0.28551645151948185</v>
      </c>
      <c r="G28" s="21">
        <f>G27/Income_Statement!G5</f>
        <v>0.32794375189271052</v>
      </c>
      <c r="H28" s="30">
        <f>H27/Income_Statement!H5</f>
        <v>0.32891323732826888</v>
      </c>
      <c r="I28" s="30">
        <f>I27/Income_Statement!I5</f>
        <v>0.32891325257042286</v>
      </c>
      <c r="J28" s="30">
        <f>J27/Income_Statement!J5</f>
        <v>0.32891260926567595</v>
      </c>
      <c r="K28" s="30">
        <f>K27/Income_Statement!K5</f>
        <v>0.32891237001454343</v>
      </c>
      <c r="L28" s="30">
        <f>L27/Income_Statement!L5</f>
        <v>0.32891292539718309</v>
      </c>
    </row>
    <row r="29" spans="2:12" ht="18.75" x14ac:dyDescent="0.25">
      <c r="B29" s="9" t="s">
        <v>110</v>
      </c>
      <c r="C29" s="7">
        <f xml:space="preserve"> C27+C11</f>
        <v>22361.697686337575</v>
      </c>
      <c r="D29" s="7">
        <f t="shared" ref="D29:L29" si="19" xml:space="preserve"> D27+D11</f>
        <v>25651.930848341435</v>
      </c>
      <c r="E29" s="7">
        <f t="shared" si="19"/>
        <v>25099.646501768359</v>
      </c>
      <c r="F29" s="7">
        <f t="shared" si="19"/>
        <v>21943.644107264641</v>
      </c>
      <c r="G29" s="7">
        <f t="shared" si="19"/>
        <v>29226.320819858767</v>
      </c>
      <c r="H29" s="29">
        <f t="shared" si="19"/>
        <v>26512.107631706822</v>
      </c>
      <c r="I29" s="29">
        <f t="shared" si="19"/>
        <v>26483.251677417349</v>
      </c>
      <c r="J29" s="29">
        <f t="shared" si="19"/>
        <v>27758.387954017315</v>
      </c>
      <c r="K29" s="29">
        <f t="shared" si="19"/>
        <v>28264.521641919207</v>
      </c>
      <c r="L29" s="29">
        <f t="shared" si="19"/>
        <v>27116.772650060244</v>
      </c>
    </row>
    <row r="30" spans="2:12" x14ac:dyDescent="0.25">
      <c r="B30" s="19" t="s">
        <v>250</v>
      </c>
      <c r="C30" s="21">
        <f>C29/Income_Statement!C5</f>
        <v>0.27830779907525161</v>
      </c>
      <c r="D30" s="21">
        <f>D29/Income_Statement!D5</f>
        <v>0.30891611539636959</v>
      </c>
      <c r="E30" s="21">
        <f>E29/Income_Statement!E5</f>
        <v>0.35004137103469163</v>
      </c>
      <c r="F30" s="21">
        <f>F29/Income_Statement!F5</f>
        <v>0.3296237161570611</v>
      </c>
      <c r="G30" s="21">
        <f>G29/Income_Statement!G5</f>
        <v>0.34876361065132333</v>
      </c>
      <c r="H30" s="30">
        <f>H29/Income_Statement!H5</f>
        <v>0.35976157876025527</v>
      </c>
      <c r="I30" s="30">
        <f>I29/Income_Statement!I5</f>
        <v>0.35976159400240926</v>
      </c>
      <c r="J30" s="30">
        <f>J29/Income_Statement!J5</f>
        <v>0.35976095069766234</v>
      </c>
      <c r="K30" s="30">
        <f>K29/Income_Statement!K5</f>
        <v>0.35976071144652982</v>
      </c>
      <c r="L30" s="30">
        <f>L29/Income_Statement!L5</f>
        <v>0.35976126682916948</v>
      </c>
    </row>
    <row r="31" spans="2:12" ht="18.75" x14ac:dyDescent="0.25">
      <c r="B31" s="8" t="s">
        <v>68</v>
      </c>
      <c r="C31" s="5">
        <v>2759.8</v>
      </c>
      <c r="D31" s="5">
        <v>3020.8</v>
      </c>
      <c r="E31" s="5">
        <v>3528.4</v>
      </c>
      <c r="F31" s="5">
        <v>3034.1</v>
      </c>
      <c r="G31" s="5">
        <v>2789</v>
      </c>
      <c r="H31" s="28">
        <f>Balance_Sheet!H40*H62</f>
        <v>4186.749750482576</v>
      </c>
      <c r="I31" s="28">
        <f>Balance_Sheet!I40*I62</f>
        <v>5089.5940920451076</v>
      </c>
      <c r="J31" s="28">
        <f>Balance_Sheet!J40*J62</f>
        <v>6267.5922278438138</v>
      </c>
      <c r="K31" s="28">
        <f>Balance_Sheet!K40*K62</f>
        <v>7662.9432633682145</v>
      </c>
      <c r="L31" s="28">
        <f>Balance_Sheet!L40*L62</f>
        <v>9357.8141899827278</v>
      </c>
    </row>
    <row r="32" spans="2:12" x14ac:dyDescent="0.25">
      <c r="B32" s="17" t="s">
        <v>251</v>
      </c>
      <c r="C32" s="18">
        <f>C31/Income_Statement!C5</f>
        <v>3.4347743836871239E-2</v>
      </c>
      <c r="D32" s="18">
        <f>D31/Income_Statement!D5</f>
        <v>3.6378306448213785E-2</v>
      </c>
      <c r="E32" s="18">
        <f>E31/Income_Statement!E5</f>
        <v>4.9207305508138927E-2</v>
      </c>
      <c r="F32" s="18">
        <f>F31/Income_Statement!F5</f>
        <v>4.5576355153383263E-2</v>
      </c>
      <c r="G32" s="18">
        <f>G31/Income_Statement!G5</f>
        <v>3.3281702342965021E-2</v>
      </c>
      <c r="H32" s="25">
        <f>H31/Income_Statement!H5</f>
        <v>5.681297469939197E-2</v>
      </c>
      <c r="I32" s="25">
        <f>I31/Income_Statement!I5</f>
        <v>6.9139564343631846E-2</v>
      </c>
      <c r="J32" s="25">
        <f>J31/Income_Statement!J5</f>
        <v>8.1230759589122334E-2</v>
      </c>
      <c r="K32" s="25">
        <f>K31/Income_Statement!K5</f>
        <v>9.7536620471760746E-2</v>
      </c>
      <c r="L32" s="25">
        <f>L31/Income_Statement!L5</f>
        <v>0.1241511713501306</v>
      </c>
    </row>
    <row r="33" spans="2:12" ht="18.75" x14ac:dyDescent="0.25">
      <c r="B33" s="9" t="s">
        <v>111</v>
      </c>
      <c r="C33" s="7">
        <f xml:space="preserve"> C29-C31</f>
        <v>19601.897686337576</v>
      </c>
      <c r="D33" s="7">
        <f t="shared" ref="D33:L33" si="20" xml:space="preserve"> D29-D31</f>
        <v>22631.130848341436</v>
      </c>
      <c r="E33" s="7">
        <f t="shared" si="20"/>
        <v>21571.246501768357</v>
      </c>
      <c r="F33" s="7">
        <f t="shared" si="20"/>
        <v>18909.544107264643</v>
      </c>
      <c r="G33" s="7">
        <f t="shared" si="20"/>
        <v>26437.320819858767</v>
      </c>
      <c r="H33" s="29">
        <f t="shared" si="20"/>
        <v>22325.357881224245</v>
      </c>
      <c r="I33" s="29">
        <f t="shared" si="20"/>
        <v>21393.657585372242</v>
      </c>
      <c r="J33" s="29">
        <f t="shared" si="20"/>
        <v>21490.795726173499</v>
      </c>
      <c r="K33" s="29">
        <f t="shared" si="20"/>
        <v>20601.578378550992</v>
      </c>
      <c r="L33" s="29">
        <f t="shared" si="20"/>
        <v>17758.958460077516</v>
      </c>
    </row>
    <row r="34" spans="2:12" x14ac:dyDescent="0.25">
      <c r="B34" s="19" t="s">
        <v>252</v>
      </c>
      <c r="C34" s="21">
        <f>C33/Income_Statement!C5</f>
        <v>0.24396005523838035</v>
      </c>
      <c r="D34" s="21">
        <f>D33/Income_Statement!D5</f>
        <v>0.27253780894815582</v>
      </c>
      <c r="E34" s="21">
        <f>E33/Income_Statement!E5</f>
        <v>0.30083406552655273</v>
      </c>
      <c r="F34" s="21">
        <f>F33/Income_Statement!F5</f>
        <v>0.28404736100367783</v>
      </c>
      <c r="G34" s="21">
        <f>G33/Income_Statement!G5</f>
        <v>0.31548190830835832</v>
      </c>
      <c r="H34" s="30">
        <f>H33/Income_Statement!H5</f>
        <v>0.30294860406086332</v>
      </c>
      <c r="I34" s="30">
        <f>I33/Income_Statement!I5</f>
        <v>0.29062202965877743</v>
      </c>
      <c r="J34" s="30">
        <f>J33/Income_Statement!J5</f>
        <v>0.27853019110853994</v>
      </c>
      <c r="K34" s="30">
        <f>K33/Income_Statement!K5</f>
        <v>0.26222409097476906</v>
      </c>
      <c r="L34" s="30">
        <f>L33/Income_Statement!L5</f>
        <v>0.23561009547903886</v>
      </c>
    </row>
    <row r="35" spans="2:12" ht="18.75" x14ac:dyDescent="0.25">
      <c r="B35" s="8" t="s">
        <v>67</v>
      </c>
      <c r="C35" s="4">
        <v>345.8</v>
      </c>
      <c r="D35" s="4">
        <v>75.900000000000006</v>
      </c>
      <c r="E35" s="4">
        <v>134.19999999999999</v>
      </c>
      <c r="F35" s="4">
        <v>101.8</v>
      </c>
      <c r="G35" s="4">
        <v>126.6</v>
      </c>
      <c r="H35" s="24">
        <f>Balance_Sheet!H21*H63</f>
        <v>154.59852317360566</v>
      </c>
      <c r="I35" s="24">
        <f>Balance_Sheet!I21*I63</f>
        <v>187.93751767478395</v>
      </c>
      <c r="J35" s="24">
        <f>Balance_Sheet!J21*J63</f>
        <v>231.43699921445403</v>
      </c>
      <c r="K35" s="24">
        <f>Balance_Sheet!K21*K63</f>
        <v>282.96210526315792</v>
      </c>
      <c r="L35" s="24">
        <f>Balance_Sheet!L21*L63</f>
        <v>345.54606441476824</v>
      </c>
    </row>
    <row r="36" spans="2:12" x14ac:dyDescent="0.25">
      <c r="B36" s="17" t="s">
        <v>253</v>
      </c>
      <c r="C36" s="18">
        <f>C35/Income_Statement!C5</f>
        <v>4.3037357122943966E-3</v>
      </c>
      <c r="D36" s="18">
        <f>D35/Income_Statement!D5</f>
        <v>9.140338517675537E-4</v>
      </c>
      <c r="E36" s="18">
        <f>E35/Income_Statement!E5</f>
        <v>1.8715622942955003E-3</v>
      </c>
      <c r="F36" s="18">
        <f>F35/Income_Statement!F5</f>
        <v>1.5291760174728638E-3</v>
      </c>
      <c r="G36" s="18">
        <f>G35/Income_Statement!G5</f>
        <v>1.5107434623948981E-3</v>
      </c>
      <c r="H36" s="25">
        <f>H35/Income_Statement!H5</f>
        <v>2.0978569317674279E-3</v>
      </c>
      <c r="I36" s="25">
        <f>I35/Income_Statement!I5</f>
        <v>2.5530362266349099E-3</v>
      </c>
      <c r="J36" s="25">
        <f>J35/Income_Statement!J5</f>
        <v>2.9995255849126524E-3</v>
      </c>
      <c r="K36" s="25">
        <f>K35/Income_Statement!K5</f>
        <v>3.6016405864411883E-3</v>
      </c>
      <c r="L36" s="25">
        <f>L35/Income_Statement!L5</f>
        <v>4.5843984269792748E-3</v>
      </c>
    </row>
    <row r="37" spans="2:12" ht="18.75" x14ac:dyDescent="0.25">
      <c r="B37" s="9" t="s">
        <v>112</v>
      </c>
      <c r="C37" s="7">
        <f xml:space="preserve"> C33-C35</f>
        <v>19256.097686337576</v>
      </c>
      <c r="D37" s="7">
        <f t="shared" ref="D37:L37" si="21" xml:space="preserve"> D33-D35</f>
        <v>22555.230848341434</v>
      </c>
      <c r="E37" s="7">
        <f t="shared" si="21"/>
        <v>21437.046501768356</v>
      </c>
      <c r="F37" s="7">
        <f t="shared" si="21"/>
        <v>18807.744107264643</v>
      </c>
      <c r="G37" s="7">
        <f t="shared" si="21"/>
        <v>26310.720819858769</v>
      </c>
      <c r="H37" s="29">
        <f t="shared" si="21"/>
        <v>22170.75935805064</v>
      </c>
      <c r="I37" s="29">
        <f t="shared" si="21"/>
        <v>21205.720067697457</v>
      </c>
      <c r="J37" s="29">
        <f t="shared" si="21"/>
        <v>21259.358726959046</v>
      </c>
      <c r="K37" s="29">
        <f t="shared" si="21"/>
        <v>20318.616273287833</v>
      </c>
      <c r="L37" s="29">
        <f t="shared" si="21"/>
        <v>17413.412395662748</v>
      </c>
    </row>
    <row r="38" spans="2:12" x14ac:dyDescent="0.25">
      <c r="B38" s="19" t="s">
        <v>254</v>
      </c>
      <c r="C38" s="21">
        <f>C37/Income_Statement!C5</f>
        <v>0.23965631952608596</v>
      </c>
      <c r="D38" s="21">
        <f>D37/Income_Statement!D5</f>
        <v>0.27162377509638824</v>
      </c>
      <c r="E38" s="21">
        <f>E37/Income_Statement!E5</f>
        <v>0.2989625032322572</v>
      </c>
      <c r="F38" s="21">
        <f>F37/Income_Statement!F5</f>
        <v>0.28251818498620501</v>
      </c>
      <c r="G38" s="21">
        <f>G37/Income_Statement!G5</f>
        <v>0.31397116484596344</v>
      </c>
      <c r="H38" s="30">
        <f>H37/Income_Statement!H5</f>
        <v>0.30085074712909587</v>
      </c>
      <c r="I38" s="30">
        <f>I37/Income_Statement!I5</f>
        <v>0.28806899343214248</v>
      </c>
      <c r="J38" s="30">
        <f>J37/Income_Statement!J5</f>
        <v>0.27553066552362732</v>
      </c>
      <c r="K38" s="30">
        <f>K37/Income_Statement!K5</f>
        <v>0.25862245038832787</v>
      </c>
      <c r="L38" s="30">
        <f>L37/Income_Statement!L5</f>
        <v>0.23102569705205958</v>
      </c>
    </row>
    <row r="39" spans="2:12" ht="18.75" x14ac:dyDescent="0.25">
      <c r="B39" s="8" t="s">
        <v>113</v>
      </c>
      <c r="C39" s="4"/>
      <c r="D39" s="4"/>
      <c r="E39" s="4"/>
      <c r="F39" s="4"/>
      <c r="G39" s="4"/>
      <c r="H39" s="24">
        <f>H5*H40</f>
        <v>0</v>
      </c>
      <c r="I39" s="24">
        <f t="shared" ref="I39:L39" si="22">I5*I40</f>
        <v>0</v>
      </c>
      <c r="J39" s="24">
        <f t="shared" si="22"/>
        <v>0</v>
      </c>
      <c r="K39" s="24">
        <f t="shared" si="22"/>
        <v>0</v>
      </c>
      <c r="L39" s="24">
        <f t="shared" si="22"/>
        <v>0</v>
      </c>
    </row>
    <row r="40" spans="2:12" x14ac:dyDescent="0.25">
      <c r="B40" s="17" t="s">
        <v>255</v>
      </c>
      <c r="C40" s="18">
        <f>C39/Income_Statement!C5</f>
        <v>0</v>
      </c>
      <c r="D40" s="18">
        <f>D39/Income_Statement!D5</f>
        <v>0</v>
      </c>
      <c r="E40" s="18">
        <f>E39/Income_Statement!E5</f>
        <v>0</v>
      </c>
      <c r="F40" s="18">
        <f>F39/Income_Statement!F5</f>
        <v>0</v>
      </c>
      <c r="G40" s="18">
        <f>G39/Income_Statement!G5</f>
        <v>0</v>
      </c>
      <c r="H40" s="25">
        <f>G40</f>
        <v>0</v>
      </c>
      <c r="I40" s="25">
        <f t="shared" ref="I40:L40" si="23">H40</f>
        <v>0</v>
      </c>
      <c r="J40" s="25">
        <f t="shared" si="23"/>
        <v>0</v>
      </c>
      <c r="K40" s="25">
        <f t="shared" si="23"/>
        <v>0</v>
      </c>
      <c r="L40" s="25">
        <f t="shared" si="23"/>
        <v>0</v>
      </c>
    </row>
    <row r="41" spans="2:12" ht="18.75" x14ac:dyDescent="0.25">
      <c r="B41" s="9" t="s">
        <v>114</v>
      </c>
      <c r="C41" s="7">
        <f xml:space="preserve"> C37+C39</f>
        <v>19256.097686337576</v>
      </c>
      <c r="D41" s="7">
        <f t="shared" ref="D41:L41" si="24" xml:space="preserve"> D37+D39</f>
        <v>22555.230848341434</v>
      </c>
      <c r="E41" s="7">
        <f t="shared" si="24"/>
        <v>21437.046501768356</v>
      </c>
      <c r="F41" s="7">
        <f t="shared" si="24"/>
        <v>18807.744107264643</v>
      </c>
      <c r="G41" s="7">
        <f t="shared" si="24"/>
        <v>26310.720819858769</v>
      </c>
      <c r="H41" s="29">
        <f t="shared" si="24"/>
        <v>22170.75935805064</v>
      </c>
      <c r="I41" s="29">
        <f t="shared" si="24"/>
        <v>21205.720067697457</v>
      </c>
      <c r="J41" s="29">
        <f t="shared" si="24"/>
        <v>21259.358726959046</v>
      </c>
      <c r="K41" s="29">
        <f t="shared" si="24"/>
        <v>20318.616273287833</v>
      </c>
      <c r="L41" s="29">
        <f t="shared" si="24"/>
        <v>17413.412395662748</v>
      </c>
    </row>
    <row r="42" spans="2:12" x14ac:dyDescent="0.25">
      <c r="B42" s="19" t="s">
        <v>256</v>
      </c>
      <c r="C42" s="21">
        <f>C41/Income_Statement!C5</f>
        <v>0.23965631952608596</v>
      </c>
      <c r="D42" s="21">
        <f>D41/Income_Statement!D5</f>
        <v>0.27162377509638824</v>
      </c>
      <c r="E42" s="21">
        <f>E41/Income_Statement!E5</f>
        <v>0.2989625032322572</v>
      </c>
      <c r="F42" s="21">
        <f>F41/Income_Statement!F5</f>
        <v>0.28251818498620501</v>
      </c>
      <c r="G42" s="21">
        <f>G41/Income_Statement!G5</f>
        <v>0.31397116484596344</v>
      </c>
      <c r="H42" s="30">
        <f>H41/Income_Statement!H5</f>
        <v>0.30085074712909587</v>
      </c>
      <c r="I42" s="30">
        <f>I41/Income_Statement!I5</f>
        <v>0.28806899343214248</v>
      </c>
      <c r="J42" s="30">
        <f>J41/Income_Statement!J5</f>
        <v>0.27553066552362732</v>
      </c>
      <c r="K42" s="30">
        <f>K41/Income_Statement!K5</f>
        <v>0.25862245038832787</v>
      </c>
      <c r="L42" s="30">
        <f>L41/Income_Statement!L5</f>
        <v>0.23102569705205958</v>
      </c>
    </row>
    <row r="43" spans="2:12" ht="18.75" x14ac:dyDescent="0.25">
      <c r="B43" s="8" t="s">
        <v>72</v>
      </c>
      <c r="C43" s="4">
        <v>0</v>
      </c>
      <c r="D43" s="4">
        <v>0</v>
      </c>
      <c r="E43" s="4">
        <v>0</v>
      </c>
      <c r="F43" s="4">
        <v>0</v>
      </c>
      <c r="G43" s="4">
        <v>0</v>
      </c>
      <c r="H43" s="24">
        <f>H5*H44</f>
        <v>0</v>
      </c>
      <c r="I43" s="24">
        <f t="shared" ref="I43:L43" si="25">I5*I44</f>
        <v>0</v>
      </c>
      <c r="J43" s="24">
        <f t="shared" si="25"/>
        <v>0</v>
      </c>
      <c r="K43" s="24">
        <f t="shared" si="25"/>
        <v>0</v>
      </c>
      <c r="L43" s="24">
        <f t="shared" si="25"/>
        <v>0</v>
      </c>
    </row>
    <row r="44" spans="2:12" x14ac:dyDescent="0.25">
      <c r="B44" s="17" t="s">
        <v>257</v>
      </c>
      <c r="C44" s="18">
        <f>C43/Income_Statement!C5</f>
        <v>0</v>
      </c>
      <c r="D44" s="18">
        <f>D43/Income_Statement!D5</f>
        <v>0</v>
      </c>
      <c r="E44" s="18">
        <f>E43/Income_Statement!E5</f>
        <v>0</v>
      </c>
      <c r="F44" s="18">
        <f>F43/Income_Statement!F5</f>
        <v>0</v>
      </c>
      <c r="G44" s="18">
        <f>G43/Income_Statement!G5</f>
        <v>0</v>
      </c>
      <c r="H44" s="25">
        <f>G44</f>
        <v>0</v>
      </c>
      <c r="I44" s="25">
        <f t="shared" ref="I44:L44" si="26">H44</f>
        <v>0</v>
      </c>
      <c r="J44" s="25">
        <f t="shared" si="26"/>
        <v>0</v>
      </c>
      <c r="K44" s="25">
        <f t="shared" si="26"/>
        <v>0</v>
      </c>
      <c r="L44" s="25">
        <f t="shared" si="26"/>
        <v>0</v>
      </c>
    </row>
    <row r="45" spans="2:12" ht="18.75" x14ac:dyDescent="0.25">
      <c r="B45" s="9" t="s">
        <v>115</v>
      </c>
      <c r="C45" s="7">
        <f xml:space="preserve"> C41+C43</f>
        <v>19256.097686337576</v>
      </c>
      <c r="D45" s="7">
        <f t="shared" ref="D45:L45" si="27" xml:space="preserve"> D41+D43</f>
        <v>22555.230848341434</v>
      </c>
      <c r="E45" s="7">
        <f t="shared" si="27"/>
        <v>21437.046501768356</v>
      </c>
      <c r="F45" s="7">
        <f t="shared" si="27"/>
        <v>18807.744107264643</v>
      </c>
      <c r="G45" s="7">
        <f t="shared" si="27"/>
        <v>26310.720819858769</v>
      </c>
      <c r="H45" s="29">
        <f t="shared" si="27"/>
        <v>22170.75935805064</v>
      </c>
      <c r="I45" s="29">
        <f t="shared" si="27"/>
        <v>21205.720067697457</v>
      </c>
      <c r="J45" s="29">
        <f t="shared" si="27"/>
        <v>21259.358726959046</v>
      </c>
      <c r="K45" s="29">
        <f t="shared" si="27"/>
        <v>20318.616273287833</v>
      </c>
      <c r="L45" s="29">
        <f t="shared" si="27"/>
        <v>17413.412395662748</v>
      </c>
    </row>
    <row r="46" spans="2:12" x14ac:dyDescent="0.25">
      <c r="B46" s="19" t="s">
        <v>258</v>
      </c>
      <c r="C46" s="21">
        <f>C45/Income_Statement!C5</f>
        <v>0.23965631952608596</v>
      </c>
      <c r="D46" s="21">
        <f>D45/Income_Statement!D5</f>
        <v>0.27162377509638824</v>
      </c>
      <c r="E46" s="21">
        <f>E45/Income_Statement!E5</f>
        <v>0.2989625032322572</v>
      </c>
      <c r="F46" s="21">
        <f>F45/Income_Statement!F5</f>
        <v>0.28251818498620501</v>
      </c>
      <c r="G46" s="21">
        <f>G45/Income_Statement!G5</f>
        <v>0.31397116484596344</v>
      </c>
      <c r="H46" s="30">
        <f>H45/Income_Statement!H5</f>
        <v>0.30085074712909587</v>
      </c>
      <c r="I46" s="30">
        <f>I45/Income_Statement!I5</f>
        <v>0.28806899343214248</v>
      </c>
      <c r="J46" s="30">
        <f>J45/Income_Statement!J5</f>
        <v>0.27553066552362732</v>
      </c>
      <c r="K46" s="30">
        <f>K45/Income_Statement!K5</f>
        <v>0.25862245038832787</v>
      </c>
      <c r="L46" s="30">
        <f>L45/Income_Statement!L5</f>
        <v>0.23102569705205958</v>
      </c>
    </row>
    <row r="47" spans="2:12" ht="18.75" x14ac:dyDescent="0.25">
      <c r="B47" s="8" t="s">
        <v>79</v>
      </c>
      <c r="C47" s="4">
        <v>3286.2</v>
      </c>
      <c r="D47" s="4">
        <v>2973.2</v>
      </c>
      <c r="E47" s="5">
        <v>1425.2</v>
      </c>
      <c r="F47" s="5">
        <v>931.9</v>
      </c>
      <c r="G47" s="5">
        <v>817.7</v>
      </c>
      <c r="H47" s="28">
        <f>H45*H64</f>
        <v>689.03585162876288</v>
      </c>
      <c r="I47" s="28">
        <f t="shared" ref="I47:L47" si="28">I45*I64</f>
        <v>659.04379503994483</v>
      </c>
      <c r="J47" s="28">
        <f t="shared" si="28"/>
        <v>660.71080872529762</v>
      </c>
      <c r="K47" s="28">
        <f t="shared" si="28"/>
        <v>631.47386346508483</v>
      </c>
      <c r="L47" s="28">
        <f t="shared" si="28"/>
        <v>541.1842348760805</v>
      </c>
    </row>
    <row r="48" spans="2:12" x14ac:dyDescent="0.25">
      <c r="B48" s="17" t="s">
        <v>259</v>
      </c>
      <c r="C48" s="18">
        <f>C47/Income_Statement!C5</f>
        <v>4.0899179577044087E-2</v>
      </c>
      <c r="D48" s="18">
        <f>D47/Income_Statement!D5</f>
        <v>3.5805078367263377E-2</v>
      </c>
      <c r="E48" s="18">
        <f>E47/Income_Statement!E5</f>
        <v>1.9875935781147148E-2</v>
      </c>
      <c r="F48" s="18">
        <f>F47/Income_Statement!F5</f>
        <v>1.3998419751306107E-2</v>
      </c>
      <c r="G48" s="18">
        <f>G47/Income_Statement!G5</f>
        <v>9.757779851503225E-3</v>
      </c>
      <c r="H48" s="25">
        <f>H47/Income_Statement!H5</f>
        <v>9.3500158209949887E-3</v>
      </c>
      <c r="I48" s="25">
        <f>I47/Income_Statement!I5</f>
        <v>8.9527769893583374E-3</v>
      </c>
      <c r="J48" s="25">
        <f>J47/Income_Statement!J5</f>
        <v>8.5631034870248552E-3</v>
      </c>
      <c r="K48" s="25">
        <f>K47/Income_Statement!K5</f>
        <v>8.0376200686572766E-3</v>
      </c>
      <c r="L48" s="25">
        <f>L47/Income_Statement!L5</f>
        <v>7.1799519964836581E-3</v>
      </c>
    </row>
    <row r="49" spans="2:12" ht="18.75" x14ac:dyDescent="0.25">
      <c r="B49" s="9" t="s">
        <v>116</v>
      </c>
      <c r="C49" s="7">
        <f xml:space="preserve"> C45-C47</f>
        <v>15969.897686337576</v>
      </c>
      <c r="D49" s="7">
        <f t="shared" ref="D49:L49" si="29" xml:space="preserve"> D45-D47</f>
        <v>19582.030848341434</v>
      </c>
      <c r="E49" s="7">
        <f t="shared" si="29"/>
        <v>20011.846501768356</v>
      </c>
      <c r="F49" s="7">
        <f t="shared" si="29"/>
        <v>17875.844107264642</v>
      </c>
      <c r="G49" s="7">
        <f t="shared" si="29"/>
        <v>25493.020819858768</v>
      </c>
      <c r="H49" s="29">
        <f t="shared" si="29"/>
        <v>21481.723506421877</v>
      </c>
      <c r="I49" s="29">
        <f t="shared" si="29"/>
        <v>20546.676272657511</v>
      </c>
      <c r="J49" s="29">
        <f t="shared" si="29"/>
        <v>20598.64791823375</v>
      </c>
      <c r="K49" s="29">
        <f t="shared" si="29"/>
        <v>19687.142409822747</v>
      </c>
      <c r="L49" s="29">
        <f t="shared" si="29"/>
        <v>16872.228160786668</v>
      </c>
    </row>
    <row r="50" spans="2:12" x14ac:dyDescent="0.25">
      <c r="B50" s="19" t="s">
        <v>260</v>
      </c>
      <c r="C50" s="21">
        <f>C49/Income_Statement!C5</f>
        <v>0.19875713994904187</v>
      </c>
      <c r="D50" s="21">
        <f>D49/Income_Statement!D5</f>
        <v>0.23581869672912484</v>
      </c>
      <c r="E50" s="21">
        <f>E49/Income_Statement!E5</f>
        <v>0.27908656745111005</v>
      </c>
      <c r="F50" s="21">
        <f>F49/Income_Statement!F5</f>
        <v>0.2685197652348989</v>
      </c>
      <c r="G50" s="21">
        <f>G49/Income_Statement!G5</f>
        <v>0.30421338499446021</v>
      </c>
      <c r="H50" s="30">
        <f>H49/Income_Statement!H5</f>
        <v>0.29150073130810089</v>
      </c>
      <c r="I50" s="30">
        <f>I49/Income_Statement!I5</f>
        <v>0.27911621644278412</v>
      </c>
      <c r="J50" s="30">
        <f>J49/Income_Statement!J5</f>
        <v>0.26696756203660249</v>
      </c>
      <c r="K50" s="30">
        <f>K49/Income_Statement!K5</f>
        <v>0.25058483031967055</v>
      </c>
      <c r="L50" s="30">
        <f>L49/Income_Statement!L5</f>
        <v>0.22384574505557592</v>
      </c>
    </row>
    <row r="51" spans="2:12" ht="18.75" x14ac:dyDescent="0.25">
      <c r="B51" s="8" t="s">
        <v>88</v>
      </c>
      <c r="C51" s="4">
        <v>2265.6</v>
      </c>
      <c r="D51" s="5">
        <v>2416.6</v>
      </c>
      <c r="E51" s="5">
        <v>2416.6</v>
      </c>
      <c r="F51" s="5">
        <v>1812.5</v>
      </c>
      <c r="G51" s="5">
        <v>0</v>
      </c>
      <c r="H51" s="28">
        <f>H5*H52</f>
        <v>0</v>
      </c>
      <c r="I51" s="28">
        <f t="shared" ref="I51:L51" si="30">I5*I52</f>
        <v>0</v>
      </c>
      <c r="J51" s="28">
        <f t="shared" si="30"/>
        <v>0</v>
      </c>
      <c r="K51" s="28">
        <f t="shared" si="30"/>
        <v>0</v>
      </c>
      <c r="L51" s="28">
        <f t="shared" si="30"/>
        <v>0</v>
      </c>
    </row>
    <row r="52" spans="2:12" x14ac:dyDescent="0.25">
      <c r="B52" s="17" t="s">
        <v>261</v>
      </c>
      <c r="C52" s="18">
        <f>C51/Income_Statement!C5</f>
        <v>2.8197060814847262E-2</v>
      </c>
      <c r="D52" s="18">
        <f>D51/Income_Statement!D5</f>
        <v>2.9102163454301316E-2</v>
      </c>
      <c r="E52" s="18">
        <f>E51/Income_Statement!E5</f>
        <v>3.3702067365085735E-2</v>
      </c>
      <c r="F52" s="18">
        <f>F51/Income_Statement!F5</f>
        <v>2.7226242943708897E-2</v>
      </c>
      <c r="G52" s="18">
        <f>G51/Income_Statement!G5</f>
        <v>0</v>
      </c>
      <c r="H52" s="25">
        <f>G52</f>
        <v>0</v>
      </c>
      <c r="I52" s="25">
        <f t="shared" ref="I52:L52" si="31">H52</f>
        <v>0</v>
      </c>
      <c r="J52" s="25">
        <f t="shared" si="31"/>
        <v>0</v>
      </c>
      <c r="K52" s="25">
        <f t="shared" si="31"/>
        <v>0</v>
      </c>
      <c r="L52" s="25">
        <f t="shared" si="31"/>
        <v>0</v>
      </c>
    </row>
    <row r="53" spans="2:12" ht="18.75" x14ac:dyDescent="0.25">
      <c r="B53" s="8" t="s">
        <v>89</v>
      </c>
      <c r="C53" s="4">
        <v>461.2</v>
      </c>
      <c r="D53" s="4">
        <v>496.8</v>
      </c>
      <c r="E53" s="4">
        <v>496.8</v>
      </c>
      <c r="F53" s="4">
        <v>0</v>
      </c>
      <c r="G53" s="4">
        <v>0</v>
      </c>
      <c r="H53" s="24">
        <f>H5*H54</f>
        <v>0</v>
      </c>
      <c r="I53" s="24">
        <f t="shared" ref="I53:L53" si="32">I5*I54</f>
        <v>0</v>
      </c>
      <c r="J53" s="24">
        <f t="shared" si="32"/>
        <v>0</v>
      </c>
      <c r="K53" s="24">
        <f t="shared" si="32"/>
        <v>0</v>
      </c>
      <c r="L53" s="24">
        <f t="shared" si="32"/>
        <v>0</v>
      </c>
    </row>
    <row r="54" spans="2:12" x14ac:dyDescent="0.25">
      <c r="B54" s="17" t="s">
        <v>262</v>
      </c>
      <c r="C54" s="18">
        <f>C53/Income_Statement!C5</f>
        <v>5.7399737146043251E-3</v>
      </c>
      <c r="D54" s="18">
        <f>D53/Income_Statement!D5</f>
        <v>5.9827670297512604E-3</v>
      </c>
      <c r="E54" s="18">
        <f>E53/Income_Statement!E5</f>
        <v>6.9284064665127015E-3</v>
      </c>
      <c r="F54" s="18">
        <f>F53/Income_Statement!F5</f>
        <v>0</v>
      </c>
      <c r="G54" s="18">
        <f>G53/Income_Statement!G5</f>
        <v>0</v>
      </c>
      <c r="H54" s="25">
        <f>G54</f>
        <v>0</v>
      </c>
      <c r="I54" s="25">
        <f t="shared" ref="I54:L54" si="33">H54</f>
        <v>0</v>
      </c>
      <c r="J54" s="25">
        <f t="shared" si="33"/>
        <v>0</v>
      </c>
      <c r="K54" s="25">
        <f t="shared" si="33"/>
        <v>0</v>
      </c>
      <c r="L54" s="25">
        <f t="shared" si="33"/>
        <v>0</v>
      </c>
    </row>
    <row r="55" spans="2:12" ht="18.75" x14ac:dyDescent="0.25">
      <c r="B55" s="9" t="s">
        <v>117</v>
      </c>
      <c r="C55" s="7">
        <f xml:space="preserve"> C49-C51-C53</f>
        <v>13243.097686337574</v>
      </c>
      <c r="D55" s="7">
        <f t="shared" ref="D55:L55" si="34" xml:space="preserve"> D49-D51-D53</f>
        <v>16668.630848341436</v>
      </c>
      <c r="E55" s="7">
        <f t="shared" si="34"/>
        <v>17098.446501768358</v>
      </c>
      <c r="F55" s="7">
        <f t="shared" si="34"/>
        <v>16063.344107264642</v>
      </c>
      <c r="G55" s="7">
        <f t="shared" si="34"/>
        <v>25493.020819858768</v>
      </c>
      <c r="H55" s="29">
        <f t="shared" si="34"/>
        <v>21481.723506421877</v>
      </c>
      <c r="I55" s="29">
        <f t="shared" si="34"/>
        <v>20546.676272657511</v>
      </c>
      <c r="J55" s="29">
        <f t="shared" si="34"/>
        <v>20598.64791823375</v>
      </c>
      <c r="K55" s="29">
        <f t="shared" si="34"/>
        <v>19687.142409822747</v>
      </c>
      <c r="L55" s="29">
        <f t="shared" si="34"/>
        <v>16872.228160786668</v>
      </c>
    </row>
    <row r="56" spans="2:12" x14ac:dyDescent="0.25">
      <c r="B56" s="19" t="s">
        <v>263</v>
      </c>
      <c r="C56" s="21">
        <f>C55/Income_Statement!C5</f>
        <v>0.16482010541959027</v>
      </c>
      <c r="D56" s="21">
        <f>D55/Income_Statement!D5</f>
        <v>0.2007337662450723</v>
      </c>
      <c r="E56" s="21">
        <f>E55/Income_Statement!E5</f>
        <v>0.23845609361951162</v>
      </c>
      <c r="F56" s="21">
        <f>F55/Income_Statement!F5</f>
        <v>0.24129352229118997</v>
      </c>
      <c r="G56" s="21">
        <f>G55/Income_Statement!G5</f>
        <v>0.30421338499446021</v>
      </c>
      <c r="H56" s="30">
        <f>H55/Income_Statement!H5</f>
        <v>0.29150073130810089</v>
      </c>
      <c r="I56" s="30">
        <f>I55/Income_Statement!I5</f>
        <v>0.27911621644278412</v>
      </c>
      <c r="J56" s="30">
        <f>J55/Income_Statement!J5</f>
        <v>0.26696756203660249</v>
      </c>
      <c r="K56" s="30">
        <f>K55/Income_Statement!K5</f>
        <v>0.25058483031967055</v>
      </c>
      <c r="L56" s="30">
        <f>L55/Income_Statement!L5</f>
        <v>0.22384574505557592</v>
      </c>
    </row>
    <row r="57" spans="2:12" ht="18.75" x14ac:dyDescent="0.25">
      <c r="B57" s="8"/>
      <c r="C57" s="4"/>
      <c r="D57" s="4"/>
      <c r="E57" s="4"/>
      <c r="F57" s="4"/>
      <c r="G57" s="4"/>
      <c r="H57" s="4"/>
      <c r="I57" s="4"/>
      <c r="J57" s="4"/>
      <c r="K57" s="4"/>
      <c r="L57" s="4"/>
    </row>
    <row r="58" spans="2:12" ht="18.75" x14ac:dyDescent="0.25">
      <c r="B58" s="8"/>
      <c r="C58" s="4"/>
      <c r="D58" s="4"/>
      <c r="E58" s="4"/>
      <c r="F58" s="4"/>
      <c r="G58" s="4"/>
      <c r="H58" s="4"/>
      <c r="I58" s="4"/>
      <c r="J58" s="4"/>
      <c r="K58" s="4"/>
      <c r="L58" s="4"/>
    </row>
    <row r="59" spans="2:12" ht="18.75" x14ac:dyDescent="0.25">
      <c r="B59" s="8"/>
      <c r="C59" s="4"/>
      <c r="D59" s="4"/>
      <c r="E59" s="4"/>
      <c r="F59" s="4"/>
      <c r="G59" s="4"/>
      <c r="H59" s="4"/>
      <c r="I59" s="4"/>
      <c r="J59" s="4"/>
      <c r="K59" s="4"/>
      <c r="L59" s="4"/>
    </row>
    <row r="60" spans="2:12" ht="18.75" x14ac:dyDescent="0.25">
      <c r="B60" s="8" t="s">
        <v>85</v>
      </c>
      <c r="C60" s="4">
        <v>261</v>
      </c>
      <c r="D60" s="4">
        <v>253</v>
      </c>
      <c r="E60" s="4">
        <v>188</v>
      </c>
      <c r="F60" s="4">
        <v>145</v>
      </c>
      <c r="G60" s="4">
        <v>128</v>
      </c>
      <c r="H60" s="4"/>
      <c r="I60" s="4"/>
      <c r="J60" s="4"/>
      <c r="K60" s="4"/>
      <c r="L60" s="4"/>
    </row>
    <row r="61" spans="2:12" ht="18.75" x14ac:dyDescent="0.25">
      <c r="B61" s="8" t="s">
        <v>118</v>
      </c>
      <c r="C61" s="4">
        <f>C49/C60</f>
        <v>61.187347457232093</v>
      </c>
      <c r="D61" s="4">
        <f t="shared" ref="D61:G61" si="35">D49/D60</f>
        <v>77.399331416369307</v>
      </c>
      <c r="E61" s="4">
        <f t="shared" si="35"/>
        <v>106.44599203068275</v>
      </c>
      <c r="F61" s="4">
        <f t="shared" si="35"/>
        <v>123.28168349837684</v>
      </c>
      <c r="G61" s="4">
        <f t="shared" si="35"/>
        <v>199.16422515514662</v>
      </c>
      <c r="H61" s="4"/>
      <c r="I61" s="4"/>
      <c r="J61" s="4"/>
      <c r="K61" s="4"/>
      <c r="L61" s="4"/>
    </row>
    <row r="62" spans="2:12" x14ac:dyDescent="0.25">
      <c r="B62" t="s">
        <v>266</v>
      </c>
      <c r="C62" s="23">
        <f>C31/Balance_Sheet!C40</f>
        <v>0.21104067415558497</v>
      </c>
      <c r="D62" s="23">
        <f>D31/Balance_Sheet!D40</f>
        <v>0.20157211301063646</v>
      </c>
      <c r="E62" s="23">
        <f>E31/Balance_Sheet!E40</f>
        <v>0.22898900613942863</v>
      </c>
      <c r="F62" s="23">
        <f>F31/Balance_Sheet!F40</f>
        <v>0.20549967828236648</v>
      </c>
      <c r="G62" s="23">
        <f>G31/Balance_Sheet!G40</f>
        <v>0.16716915312550573</v>
      </c>
      <c r="H62" s="23">
        <f>MEDIAN(C62:G62)</f>
        <v>0.20549967828236648</v>
      </c>
      <c r="I62" s="23">
        <f t="shared" ref="I62:L62" si="36">H62</f>
        <v>0.20549967828236648</v>
      </c>
      <c r="J62" s="23">
        <f t="shared" si="36"/>
        <v>0.20549967828236648</v>
      </c>
      <c r="K62" s="23">
        <f t="shared" si="36"/>
        <v>0.20549967828236648</v>
      </c>
      <c r="L62" s="23">
        <f t="shared" si="36"/>
        <v>0.20549967828236648</v>
      </c>
    </row>
    <row r="63" spans="2:12" x14ac:dyDescent="0.25">
      <c r="B63" t="s">
        <v>267</v>
      </c>
      <c r="C63" s="23">
        <f>C35/Balance_Sheet!C21</f>
        <v>0.47841726618705038</v>
      </c>
      <c r="D63" s="23">
        <f>D35/Balance_Sheet!D21</f>
        <v>9.8379779650032417E-2</v>
      </c>
      <c r="E63" s="23">
        <f>E35/Balance_Sheet!E21</f>
        <v>0.17446697867914718</v>
      </c>
      <c r="F63" s="23">
        <f>F35/Balance_Sheet!F21</f>
        <v>0.10864461045891141</v>
      </c>
      <c r="G63" s="23">
        <f>G35/Balance_Sheet!G21</f>
        <v>0.33150039277297721</v>
      </c>
      <c r="H63" s="23">
        <f>G63</f>
        <v>0.33150039277297721</v>
      </c>
      <c r="I63" s="23">
        <f t="shared" ref="I63:L63" si="37">H63</f>
        <v>0.33150039277297721</v>
      </c>
      <c r="J63" s="23">
        <f t="shared" si="37"/>
        <v>0.33150039277297721</v>
      </c>
      <c r="K63" s="23">
        <f t="shared" si="37"/>
        <v>0.33150039277297721</v>
      </c>
      <c r="L63" s="23">
        <f t="shared" si="37"/>
        <v>0.33150039277297721</v>
      </c>
    </row>
    <row r="64" spans="2:12" x14ac:dyDescent="0.25">
      <c r="B64" t="s">
        <v>268</v>
      </c>
      <c r="C64" s="23">
        <f>C47/Income_Statement!C45</f>
        <v>0.1706576303012628</v>
      </c>
      <c r="D64" s="23">
        <f>D47/Income_Statement!D45</f>
        <v>0.13181864641472421</v>
      </c>
      <c r="E64" s="23">
        <f>E47/Income_Statement!E45</f>
        <v>6.6483039064286875E-2</v>
      </c>
      <c r="F64" s="23">
        <f>F47/Income_Statement!F45</f>
        <v>4.9548738789999068E-2</v>
      </c>
      <c r="G64" s="23">
        <f>G47/Income_Statement!G45</f>
        <v>3.1078586010567129E-2</v>
      </c>
      <c r="H64" s="23">
        <f>G64</f>
        <v>3.1078586010567129E-2</v>
      </c>
      <c r="I64" s="23">
        <f t="shared" ref="I64:L64" si="38">H64</f>
        <v>3.1078586010567129E-2</v>
      </c>
      <c r="J64" s="23">
        <f t="shared" si="38"/>
        <v>3.1078586010567129E-2</v>
      </c>
      <c r="K64" s="23">
        <f t="shared" si="38"/>
        <v>3.1078586010567129E-2</v>
      </c>
      <c r="L64" s="23">
        <f t="shared" si="38"/>
        <v>3.1078586010567129E-2</v>
      </c>
    </row>
    <row r="65" spans="2:12" x14ac:dyDescent="0.25">
      <c r="B65" t="s">
        <v>269</v>
      </c>
      <c r="C65" s="23">
        <f>C53/Income_Statement!C51</f>
        <v>0.20356638418079095</v>
      </c>
      <c r="D65" s="23">
        <f>D53/Income_Statement!D51</f>
        <v>0.20557808491268725</v>
      </c>
      <c r="E65" s="23">
        <f>E53/Income_Statement!E51</f>
        <v>0.20557808491268725</v>
      </c>
      <c r="F65" s="23">
        <f>F53/Income_Statement!F51</f>
        <v>0</v>
      </c>
      <c r="G65" s="23" t="e">
        <f>G53/Income_Statement!G51</f>
        <v>#DIV/0!</v>
      </c>
      <c r="H65" s="23" t="e">
        <f>G65</f>
        <v>#DIV/0!</v>
      </c>
      <c r="I65" s="23" t="e">
        <f t="shared" ref="I65:L65" si="39">H65</f>
        <v>#DIV/0!</v>
      </c>
      <c r="J65" s="23" t="e">
        <f t="shared" si="39"/>
        <v>#DIV/0!</v>
      </c>
      <c r="K65" s="23" t="e">
        <f t="shared" si="39"/>
        <v>#DIV/0!</v>
      </c>
      <c r="L65" s="23" t="e">
        <f t="shared" si="39"/>
        <v>#DIV/0!</v>
      </c>
    </row>
  </sheetData>
  <mergeCells count="2">
    <mergeCell ref="B3:G3"/>
    <mergeCell ref="H3:L3"/>
  </mergeCells>
  <hyperlinks>
    <hyperlink ref="F1" location="Index_Data!A1" tooltip="Hi click here To return Index page" display="Index_Data!A1" xr:uid="{A2285A1C-656A-4F49-B455-A6BA6A260881}"/>
  </hyperlink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A8AAFC-C778-4282-9EB4-2CD085E07BD1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18.85546875" bestFit="1" customWidth="1"/>
    <col min="3" max="7" width="13.140625" bestFit="1" customWidth="1"/>
  </cols>
  <sheetData>
    <row r="1" spans="2:15" x14ac:dyDescent="0.25">
      <c r="F1" s="45" t="s">
        <v>271</v>
      </c>
      <c r="O1" s="46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Income_Statement!B5</f>
        <v>Gross Sales</v>
      </c>
      <c r="C5" s="13">
        <f>Income_Statement!C5</f>
        <v>80348.800000000003</v>
      </c>
      <c r="D5" s="13">
        <f>Income_Statement!D5</f>
        <v>83038.5</v>
      </c>
      <c r="E5" s="13">
        <f>Income_Statement!E5</f>
        <v>71704.800000000003</v>
      </c>
      <c r="F5" s="13">
        <f>Income_Statement!F5</f>
        <v>66571.8</v>
      </c>
      <c r="G5" s="13">
        <f>Income_Statement!G5</f>
        <v>83799.8</v>
      </c>
    </row>
    <row r="6" spans="2:15" ht="18.75" x14ac:dyDescent="0.25">
      <c r="B6" s="12" t="str">
        <f>Income_Statement!B15</f>
        <v>Total Income</v>
      </c>
      <c r="C6" s="13">
        <f>Income_Statement!C15</f>
        <v>80163.897686337572</v>
      </c>
      <c r="D6" s="13">
        <f>Income_Statement!D15</f>
        <v>85601.130848341432</v>
      </c>
      <c r="E6" s="13">
        <f>Income_Statement!E15</f>
        <v>75040.246501768357</v>
      </c>
      <c r="F6" s="13">
        <f>Income_Statement!F15</f>
        <v>69509.144107264641</v>
      </c>
      <c r="G6" s="13">
        <f>Income_Statement!G15</f>
        <v>85545.520819858764</v>
      </c>
    </row>
  </sheetData>
  <hyperlinks>
    <hyperlink ref="F1" location="Index_Data!A1" tooltip="Hi click here To return Index page" display="Index_Data!A1" xr:uid="{F69CE9D0-4CA4-4AEA-863D-BF31ADA513BA}"/>
  </hyperlinks>
  <pageMargins left="0.7" right="0.7" top="0.75" bottom="0.75" header="0.3" footer="0.3"/>
  <drawing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D99AD0-9C12-4E63-BCE4-EDF3E77A5F93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22.5703125" bestFit="1" customWidth="1"/>
    <col min="3" max="5" width="13.140625" bestFit="1" customWidth="1"/>
    <col min="6" max="7" width="14.85546875" bestFit="1" customWidth="1"/>
  </cols>
  <sheetData>
    <row r="1" spans="2:15" x14ac:dyDescent="0.25">
      <c r="F1" s="45" t="s">
        <v>271</v>
      </c>
      <c r="O1" s="46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Balance_Sheet!B37</f>
        <v>Total Liabilities</v>
      </c>
      <c r="C5" s="13">
        <f>Balance_Sheet!C37</f>
        <v>60248.4</v>
      </c>
      <c r="D5" s="13">
        <f>Balance_Sheet!D37</f>
        <v>76104.630848341447</v>
      </c>
      <c r="E5" s="13">
        <f>Balance_Sheet!E37</f>
        <v>90541.177350109792</v>
      </c>
      <c r="F5" s="13">
        <f>Balance_Sheet!F37</f>
        <v>111171.92145737444</v>
      </c>
      <c r="G5" s="13">
        <f>Balance_Sheet!G37</f>
        <v>137204.8422772332</v>
      </c>
    </row>
    <row r="6" spans="2:15" ht="18.75" x14ac:dyDescent="0.25">
      <c r="B6" s="12" t="str">
        <f>Balance_Sheet!B21</f>
        <v>Total Debt</v>
      </c>
      <c r="C6" s="13">
        <f>Balance_Sheet!C21</f>
        <v>722.8</v>
      </c>
      <c r="D6" s="13">
        <f>Balance_Sheet!D21</f>
        <v>771.5</v>
      </c>
      <c r="E6" s="13">
        <f>Balance_Sheet!E21</f>
        <v>769.19999999999993</v>
      </c>
      <c r="F6" s="13">
        <f>Balance_Sheet!F21</f>
        <v>937</v>
      </c>
      <c r="G6" s="13">
        <f>Balance_Sheet!G21</f>
        <v>381.9</v>
      </c>
    </row>
  </sheetData>
  <hyperlinks>
    <hyperlink ref="F1" location="Index_Data!A1" tooltip="Hi click here To return Index page" display="Index_Data!A1" xr:uid="{2A7DD018-BB83-4289-81EB-8E98FCEE34C7}"/>
  </hyperlinks>
  <pageMargins left="0.7" right="0.7" top="0.75" bottom="0.75" header="0.3" footer="0.3"/>
  <drawing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5A1212-06B9-484E-98B3-3D1036CFB027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34.42578125" bestFit="1" customWidth="1"/>
    <col min="3" max="5" width="13.140625" bestFit="1" customWidth="1"/>
    <col min="6" max="7" width="14.85546875" bestFit="1" customWidth="1"/>
  </cols>
  <sheetData>
    <row r="1" spans="2:15" x14ac:dyDescent="0.25">
      <c r="F1" s="45" t="s">
        <v>271</v>
      </c>
      <c r="O1" s="46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Balance_Sheet!B37</f>
        <v>Total Liabilities</v>
      </c>
      <c r="C5" s="13">
        <f>Balance_Sheet!C37</f>
        <v>60248.4</v>
      </c>
      <c r="D5" s="13">
        <f>Balance_Sheet!D37</f>
        <v>76104.630848341447</v>
      </c>
      <c r="E5" s="13">
        <f>Balance_Sheet!E37</f>
        <v>90541.177350109792</v>
      </c>
      <c r="F5" s="13">
        <f>Balance_Sheet!F37</f>
        <v>111171.92145737444</v>
      </c>
      <c r="G5" s="13">
        <f>Balance_Sheet!G37</f>
        <v>137204.8422772332</v>
      </c>
    </row>
    <row r="6" spans="2:15" ht="18.75" x14ac:dyDescent="0.25">
      <c r="B6" s="12" t="str">
        <f>Balance_Sheet!B33</f>
        <v>Total Current Liabilities</v>
      </c>
      <c r="C6" s="13">
        <f>Balance_Sheet!C33</f>
        <v>16950.099999999999</v>
      </c>
      <c r="D6" s="13">
        <f>Balance_Sheet!D33</f>
        <v>16087.5</v>
      </c>
      <c r="E6" s="13">
        <f>Balance_Sheet!E33</f>
        <v>13426.300000000001</v>
      </c>
      <c r="F6" s="13">
        <f>Balance_Sheet!F33</f>
        <v>17845.099999999999</v>
      </c>
      <c r="G6" s="13">
        <f>Balance_Sheet!G33</f>
        <v>18940.099999999999</v>
      </c>
    </row>
  </sheetData>
  <hyperlinks>
    <hyperlink ref="F1" location="Index_Data!A1" tooltip="Hi click here To return Index page" display="Index_Data!A1" xr:uid="{A95B5348-6D25-4FC4-8B7E-AA142B3FAE4B}"/>
  </hyperlinks>
  <pageMargins left="0.7" right="0.7" top="0.75" bottom="0.75" header="0.3" footer="0.3"/>
  <drawing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68828B-32E7-457F-AB2E-522E327EF21A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36" bestFit="1" customWidth="1"/>
    <col min="3" max="5" width="13.140625" bestFit="1" customWidth="1"/>
    <col min="6" max="7" width="14.85546875" bestFit="1" customWidth="1"/>
  </cols>
  <sheetData>
    <row r="1" spans="2:15" x14ac:dyDescent="0.25">
      <c r="F1" s="45" t="s">
        <v>271</v>
      </c>
      <c r="O1" s="46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Balance_Sheet!B74</f>
        <v>Total Assets</v>
      </c>
      <c r="C5" s="13">
        <f>Balance_Sheet!C74</f>
        <v>60248.400000000009</v>
      </c>
      <c r="D5" s="13">
        <f>Balance_Sheet!D74</f>
        <v>76104.630848341447</v>
      </c>
      <c r="E5" s="13">
        <f>Balance_Sheet!E74</f>
        <v>90541.177350109792</v>
      </c>
      <c r="F5" s="13">
        <f>Balance_Sheet!F74</f>
        <v>111171.92145737444</v>
      </c>
      <c r="G5" s="13">
        <f>Balance_Sheet!G74</f>
        <v>137204.8422772332</v>
      </c>
    </row>
    <row r="6" spans="2:15" ht="18.75" x14ac:dyDescent="0.25">
      <c r="B6" s="12" t="str">
        <f>Balance_Sheet!B54</f>
        <v>Total Non Current Assets</v>
      </c>
      <c r="C6" s="13">
        <f>Balance_Sheet!C54</f>
        <v>51644.000000000007</v>
      </c>
      <c r="D6" s="13">
        <f>Balance_Sheet!D54</f>
        <v>51527</v>
      </c>
      <c r="E6" s="13">
        <f>Balance_Sheet!E54</f>
        <v>48027.5</v>
      </c>
      <c r="F6" s="13">
        <f>Balance_Sheet!F54</f>
        <v>49549.5</v>
      </c>
      <c r="G6" s="13">
        <f>Balance_Sheet!G54</f>
        <v>46346.1</v>
      </c>
    </row>
  </sheetData>
  <hyperlinks>
    <hyperlink ref="F1" location="Index_Data!A1" tooltip="Hi click here To return Index page" display="Index_Data!A1" xr:uid="{F6B90019-5927-4829-A61D-3DAA895D83B1}"/>
  </hyperlinks>
  <pageMargins left="0.7" right="0.7" top="0.75" bottom="0.75" header="0.3" footer="0.3"/>
  <drawing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E27FB8-C4A4-4A52-B08F-6685ED08A825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29.42578125" bestFit="1" customWidth="1"/>
    <col min="3" max="5" width="13.140625" bestFit="1" customWidth="1"/>
    <col min="6" max="7" width="14.85546875" bestFit="1" customWidth="1"/>
  </cols>
  <sheetData>
    <row r="1" spans="2:15" x14ac:dyDescent="0.25">
      <c r="F1" s="45" t="s">
        <v>271</v>
      </c>
      <c r="O1" s="46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Balance_Sheet!B74</f>
        <v>Total Assets</v>
      </c>
      <c r="C5" s="13">
        <f>Balance_Sheet!C74</f>
        <v>60248.400000000009</v>
      </c>
      <c r="D5" s="13">
        <f>Balance_Sheet!D74</f>
        <v>76104.630848341447</v>
      </c>
      <c r="E5" s="13">
        <f>Balance_Sheet!E74</f>
        <v>90541.177350109792</v>
      </c>
      <c r="F5" s="13">
        <f>Balance_Sheet!F74</f>
        <v>111171.92145737444</v>
      </c>
      <c r="G5" s="13">
        <f>Balance_Sheet!G74</f>
        <v>137204.8422772332</v>
      </c>
    </row>
    <row r="6" spans="2:15" ht="18.75" x14ac:dyDescent="0.25">
      <c r="B6" s="12" t="str">
        <f>Balance_Sheet!B72</f>
        <v>Total Current Assets</v>
      </c>
      <c r="C6" s="13">
        <f>Balance_Sheet!C72</f>
        <v>8604.4</v>
      </c>
      <c r="D6" s="13">
        <f>Balance_Sheet!D72</f>
        <v>24577.63084834144</v>
      </c>
      <c r="E6" s="13">
        <f>Balance_Sheet!E72</f>
        <v>42513.677350109792</v>
      </c>
      <c r="F6" s="13">
        <f>Balance_Sheet!F72</f>
        <v>61622.421457374439</v>
      </c>
      <c r="G6" s="13">
        <f>Balance_Sheet!G72</f>
        <v>90858.742277233192</v>
      </c>
    </row>
  </sheetData>
  <hyperlinks>
    <hyperlink ref="F1" location="Index_Data!A1" tooltip="Hi click here To return Index page" display="Index_Data!A1" xr:uid="{993A3A80-CC7D-4924-9CAB-C9763BCCEE69}"/>
  </hyperlinks>
  <pageMargins left="0.7" right="0.7" top="0.75" bottom="0.75" header="0.3" footer="0.3"/>
  <drawing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7A55BF-0725-4B54-B91A-B9245CE0447E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25.85546875" bestFit="1" customWidth="1"/>
    <col min="3" max="7" width="13.140625" bestFit="1" customWidth="1"/>
  </cols>
  <sheetData>
    <row r="1" spans="2:15" x14ac:dyDescent="0.25">
      <c r="F1" s="45" t="s">
        <v>271</v>
      </c>
      <c r="O1" s="46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Income_Statement!B25</f>
        <v>Total Expenditure</v>
      </c>
      <c r="C5" s="13">
        <f>Income_Statement!C25</f>
        <v>57802.2</v>
      </c>
      <c r="D5" s="13">
        <f>Income_Statement!D25</f>
        <v>59949.2</v>
      </c>
      <c r="E5" s="13">
        <f>Income_Statement!E25</f>
        <v>49940.6</v>
      </c>
      <c r="F5" s="13">
        <f>Income_Statement!F25</f>
        <v>47565.5</v>
      </c>
      <c r="G5" s="13">
        <f>Income_Statement!G25</f>
        <v>56319.199999999997</v>
      </c>
    </row>
    <row r="6" spans="2:15" ht="18.75" x14ac:dyDescent="0.25">
      <c r="B6" s="12" t="str">
        <f>Income_Statement!B15</f>
        <v>Total Income</v>
      </c>
      <c r="C6" s="13">
        <f>Income_Statement!C15</f>
        <v>80163.897686337572</v>
      </c>
      <c r="D6" s="13">
        <f>Income_Statement!D15</f>
        <v>85601.130848341432</v>
      </c>
      <c r="E6" s="13">
        <f>Income_Statement!E15</f>
        <v>75040.246501768357</v>
      </c>
      <c r="F6" s="13">
        <f>Income_Statement!F15</f>
        <v>69509.144107264641</v>
      </c>
      <c r="G6" s="13">
        <f>Income_Statement!G15</f>
        <v>85545.520819858764</v>
      </c>
    </row>
  </sheetData>
  <hyperlinks>
    <hyperlink ref="F1" location="Index_Data!A1" tooltip="Hi click here To return Index page" display="Index_Data!A1" xr:uid="{D0EBA199-37A0-4798-ADD2-D4657F2889A7}"/>
  </hyperlinks>
  <pageMargins left="0.7" right="0.7" top="0.75" bottom="0.75" header="0.3" footer="0.3"/>
  <drawing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8DEA18-E1E9-4396-879B-B2F460933EA0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42.5703125" bestFit="1" customWidth="1"/>
    <col min="3" max="7" width="13.140625" bestFit="1" customWidth="1"/>
  </cols>
  <sheetData>
    <row r="1" spans="2:15" x14ac:dyDescent="0.25">
      <c r="F1" s="45" t="s">
        <v>271</v>
      </c>
      <c r="O1" s="46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Income_Statement!B55</f>
        <v>Amount C\F to Balance Sheet</v>
      </c>
      <c r="C5" s="13">
        <f>Income_Statement!C55</f>
        <v>13243.097686337574</v>
      </c>
      <c r="D5" s="13">
        <f>Income_Statement!D55</f>
        <v>16668.630848341436</v>
      </c>
      <c r="E5" s="13">
        <f>Income_Statement!E55</f>
        <v>17098.446501768358</v>
      </c>
      <c r="F5" s="13">
        <f>Income_Statement!F55</f>
        <v>16063.344107264642</v>
      </c>
      <c r="G5" s="13">
        <f>Income_Statement!G55</f>
        <v>25493.020819858768</v>
      </c>
    </row>
    <row r="6" spans="2:15" ht="18.75" x14ac:dyDescent="0.25">
      <c r="B6" s="12" t="str">
        <f>Income_Statement!B49</f>
        <v>Reported Net Profit(PAT)</v>
      </c>
      <c r="C6" s="13">
        <f>Income_Statement!C49</f>
        <v>15969.897686337576</v>
      </c>
      <c r="D6" s="13">
        <f>Income_Statement!D49</f>
        <v>19582.030848341434</v>
      </c>
      <c r="E6" s="13">
        <f>Income_Statement!E49</f>
        <v>20011.846501768356</v>
      </c>
      <c r="F6" s="13">
        <f>Income_Statement!F49</f>
        <v>17875.844107264642</v>
      </c>
      <c r="G6" s="13">
        <f>Income_Statement!G49</f>
        <v>25493.020819858768</v>
      </c>
    </row>
  </sheetData>
  <hyperlinks>
    <hyperlink ref="F1" location="Index_Data!A1" tooltip="Hi click here To return Index page" display="Index_Data!A1" xr:uid="{4194A894-8CD9-4A0F-9669-15BAE7BF9716}"/>
  </hyperlinks>
  <pageMargins left="0.7" right="0.7" top="0.75" bottom="0.75" header="0.3" footer="0.3"/>
  <drawing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393F4A-933A-441B-9EEE-946531C834D8}">
  <dimension ref="B1:O40"/>
  <sheetViews>
    <sheetView showGridLines="0" workbookViewId="0"/>
  </sheetViews>
  <sheetFormatPr defaultRowHeight="15" x14ac:dyDescent="0.25"/>
  <cols>
    <col min="2" max="2" width="46" bestFit="1" customWidth="1"/>
    <col min="3" max="5" width="15.42578125" bestFit="1" customWidth="1"/>
    <col min="6" max="7" width="17.1406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31" t="s">
        <v>128</v>
      </c>
      <c r="C3" s="32"/>
      <c r="D3" s="32"/>
      <c r="E3" s="32"/>
      <c r="F3" s="32"/>
      <c r="G3" s="32"/>
    </row>
    <row r="4" spans="2:15" ht="18.75" x14ac:dyDescent="0.25">
      <c r="B4" s="10" t="s">
        <v>119</v>
      </c>
      <c r="C4" s="10">
        <v>2018</v>
      </c>
      <c r="D4" s="10">
        <v>2019</v>
      </c>
      <c r="E4" s="10">
        <v>2020</v>
      </c>
      <c r="F4" s="10">
        <v>2021</v>
      </c>
      <c r="G4" s="10">
        <v>2022</v>
      </c>
    </row>
    <row r="5" spans="2:15" ht="18.75" x14ac:dyDescent="0.25">
      <c r="B5" s="8" t="s">
        <v>5</v>
      </c>
      <c r="C5" s="4">
        <v>151</v>
      </c>
      <c r="D5" s="4">
        <v>151</v>
      </c>
      <c r="E5" s="4">
        <v>151</v>
      </c>
      <c r="F5" s="4">
        <v>151</v>
      </c>
      <c r="G5" s="4">
        <v>151</v>
      </c>
    </row>
    <row r="6" spans="2:15" ht="18.75" x14ac:dyDescent="0.25">
      <c r="B6" s="8" t="s">
        <v>121</v>
      </c>
      <c r="C6" s="4"/>
      <c r="D6" s="4"/>
      <c r="E6" s="4"/>
      <c r="F6" s="4"/>
      <c r="G6" s="4"/>
    </row>
    <row r="7" spans="2:15" ht="18.75" x14ac:dyDescent="0.25">
      <c r="B7" s="9" t="s">
        <v>6</v>
      </c>
      <c r="C7" s="6">
        <f>C5+C6</f>
        <v>151</v>
      </c>
      <c r="D7" s="6">
        <f t="shared" ref="D7:G7" si="0">D5+D6</f>
        <v>151</v>
      </c>
      <c r="E7" s="6">
        <f t="shared" si="0"/>
        <v>151</v>
      </c>
      <c r="F7" s="6">
        <f t="shared" si="0"/>
        <v>151</v>
      </c>
      <c r="G7" s="6">
        <f t="shared" si="0"/>
        <v>151</v>
      </c>
    </row>
    <row r="8" spans="2:15" ht="18.75" x14ac:dyDescent="0.25">
      <c r="B8" s="8" t="s">
        <v>7</v>
      </c>
      <c r="C8" s="5">
        <v>42408.4</v>
      </c>
      <c r="D8" s="5">
        <f>Income_Statement!D55+C8</f>
        <v>59077.030848341441</v>
      </c>
      <c r="E8" s="5">
        <f>Income_Statement!E55+D8</f>
        <v>76175.477350109795</v>
      </c>
      <c r="F8" s="5">
        <f>Income_Statement!F55+E8</f>
        <v>92238.821457374434</v>
      </c>
      <c r="G8" s="5">
        <f>Income_Statement!G55+F8</f>
        <v>117731.8422772332</v>
      </c>
    </row>
    <row r="9" spans="2:15" ht="18.75" x14ac:dyDescent="0.25">
      <c r="B9" s="9" t="s">
        <v>122</v>
      </c>
      <c r="C9" s="7">
        <f>C7+C8</f>
        <v>42559.4</v>
      </c>
      <c r="D9" s="7">
        <f t="shared" ref="D9:G9" si="1">D7+D8</f>
        <v>59228.030848341441</v>
      </c>
      <c r="E9" s="7">
        <f t="shared" si="1"/>
        <v>76326.477350109795</v>
      </c>
      <c r="F9" s="7">
        <f t="shared" si="1"/>
        <v>92389.821457374434</v>
      </c>
      <c r="G9" s="7">
        <f t="shared" si="1"/>
        <v>117882.8422772332</v>
      </c>
    </row>
    <row r="10" spans="2:15" ht="18.75" x14ac:dyDescent="0.25">
      <c r="B10" s="8" t="s">
        <v>12</v>
      </c>
      <c r="C10" s="4">
        <v>10</v>
      </c>
      <c r="D10" s="4">
        <v>8</v>
      </c>
      <c r="E10" s="4">
        <v>5.4</v>
      </c>
      <c r="F10" s="4">
        <v>2.8</v>
      </c>
      <c r="G10" s="4">
        <v>0</v>
      </c>
    </row>
    <row r="11" spans="2:15" ht="18.75" x14ac:dyDescent="0.25">
      <c r="B11" s="8" t="s">
        <v>13</v>
      </c>
      <c r="C11" s="4">
        <v>602</v>
      </c>
      <c r="D11" s="4">
        <v>613.9</v>
      </c>
      <c r="E11" s="4">
        <v>657.5</v>
      </c>
      <c r="F11" s="4">
        <v>445.4</v>
      </c>
      <c r="G11" s="4">
        <v>0</v>
      </c>
    </row>
    <row r="12" spans="2:15" ht="18.75" x14ac:dyDescent="0.25">
      <c r="B12" s="8" t="s">
        <v>18</v>
      </c>
      <c r="C12" s="4">
        <v>110.8</v>
      </c>
      <c r="D12" s="4">
        <v>149.6</v>
      </c>
      <c r="E12" s="4">
        <v>106.3</v>
      </c>
      <c r="F12" s="4">
        <v>488.8</v>
      </c>
      <c r="G12" s="4">
        <v>381.9</v>
      </c>
    </row>
    <row r="13" spans="2:15" ht="18.75" x14ac:dyDescent="0.25">
      <c r="B13" s="9" t="s">
        <v>123</v>
      </c>
      <c r="C13" s="6">
        <f>C10+C11+C12</f>
        <v>722.8</v>
      </c>
      <c r="D13" s="6">
        <f t="shared" ref="D13:G13" si="2">D10+D11+D12</f>
        <v>771.5</v>
      </c>
      <c r="E13" s="6">
        <f t="shared" si="2"/>
        <v>769.19999999999993</v>
      </c>
      <c r="F13" s="6">
        <f t="shared" si="2"/>
        <v>937</v>
      </c>
      <c r="G13" s="6">
        <f t="shared" si="2"/>
        <v>381.9</v>
      </c>
    </row>
    <row r="14" spans="2:15" ht="18.75" x14ac:dyDescent="0.25">
      <c r="B14" s="8" t="s">
        <v>15</v>
      </c>
      <c r="C14" s="4">
        <v>26.5</v>
      </c>
      <c r="D14" s="4">
        <v>39.5</v>
      </c>
      <c r="E14" s="4">
        <v>51.6</v>
      </c>
      <c r="F14" s="4">
        <v>44.7</v>
      </c>
      <c r="G14" s="4">
        <v>84.4</v>
      </c>
    </row>
    <row r="15" spans="2:15" ht="18.75" x14ac:dyDescent="0.25">
      <c r="B15" s="8" t="s">
        <v>21</v>
      </c>
      <c r="C15" s="4">
        <v>560.9</v>
      </c>
      <c r="D15" s="4">
        <v>625.4</v>
      </c>
      <c r="E15" s="4">
        <v>680.7</v>
      </c>
      <c r="F15" s="4">
        <v>742.8</v>
      </c>
      <c r="G15" s="4">
        <v>861.3</v>
      </c>
    </row>
    <row r="16" spans="2:15" ht="18.75" x14ac:dyDescent="0.25">
      <c r="B16" s="8" t="s">
        <v>14</v>
      </c>
      <c r="C16" s="5">
        <v>1585.9</v>
      </c>
      <c r="D16" s="5">
        <v>2037.1</v>
      </c>
      <c r="E16" s="5">
        <v>2175.6</v>
      </c>
      <c r="F16" s="5">
        <v>2168.6999999999998</v>
      </c>
      <c r="G16" s="5">
        <v>2214.1</v>
      </c>
    </row>
    <row r="17" spans="2:7" ht="18.75" x14ac:dyDescent="0.25">
      <c r="B17" s="8" t="s">
        <v>19</v>
      </c>
      <c r="C17" s="5">
        <v>10499.3</v>
      </c>
      <c r="D17" s="5">
        <v>9637.7000000000007</v>
      </c>
      <c r="E17" s="5">
        <v>7498.8</v>
      </c>
      <c r="F17" s="5">
        <v>10168.1</v>
      </c>
      <c r="G17" s="5">
        <v>9765.2000000000007</v>
      </c>
    </row>
    <row r="18" spans="2:7" ht="18.75" x14ac:dyDescent="0.25">
      <c r="B18" s="8" t="s">
        <v>20</v>
      </c>
      <c r="C18" s="5">
        <v>4277.5</v>
      </c>
      <c r="D18" s="5">
        <v>3747.8</v>
      </c>
      <c r="E18" s="5">
        <v>3019.6</v>
      </c>
      <c r="F18" s="5">
        <v>4720.8</v>
      </c>
      <c r="G18" s="5">
        <v>6015.1</v>
      </c>
    </row>
    <row r="19" spans="2:7" ht="18.75" x14ac:dyDescent="0.25">
      <c r="B19" s="9" t="s">
        <v>22</v>
      </c>
      <c r="C19" s="7">
        <f>C14+C15+C16+C17+C18</f>
        <v>16950.099999999999</v>
      </c>
      <c r="D19" s="7">
        <f t="shared" ref="D19:G19" si="3">D14+D15+D16+D17+D18</f>
        <v>16087.5</v>
      </c>
      <c r="E19" s="7">
        <f t="shared" si="3"/>
        <v>13426.300000000001</v>
      </c>
      <c r="F19" s="7">
        <f t="shared" si="3"/>
        <v>17845.099999999999</v>
      </c>
      <c r="G19" s="7">
        <f t="shared" si="3"/>
        <v>18940.099999999999</v>
      </c>
    </row>
    <row r="20" spans="2:7" ht="18.75" x14ac:dyDescent="0.25">
      <c r="B20" s="8" t="s">
        <v>10</v>
      </c>
      <c r="C20" s="4">
        <v>16.100000000000001</v>
      </c>
      <c r="D20" s="4">
        <v>17.600000000000001</v>
      </c>
      <c r="E20" s="4">
        <v>19.2</v>
      </c>
      <c r="F20" s="4">
        <v>0</v>
      </c>
      <c r="G20" s="4">
        <v>0</v>
      </c>
    </row>
    <row r="21" spans="2:7" ht="18.75" x14ac:dyDescent="0.25">
      <c r="B21" s="9" t="s">
        <v>124</v>
      </c>
      <c r="C21" s="7">
        <f>C9+C13+C19+C20</f>
        <v>60248.4</v>
      </c>
      <c r="D21" s="7">
        <f t="shared" ref="D21:G21" si="4">D9+D13+D19+D20</f>
        <v>76104.630848341447</v>
      </c>
      <c r="E21" s="7">
        <f t="shared" si="4"/>
        <v>90541.177350109792</v>
      </c>
      <c r="F21" s="7">
        <f t="shared" si="4"/>
        <v>111171.92145737444</v>
      </c>
      <c r="G21" s="7">
        <f t="shared" si="4"/>
        <v>137204.8422772332</v>
      </c>
    </row>
    <row r="22" spans="2:7" ht="18.75" x14ac:dyDescent="0.25">
      <c r="B22" s="8"/>
      <c r="C22" s="5"/>
      <c r="D22" s="4"/>
      <c r="E22" s="4"/>
      <c r="F22" s="4"/>
      <c r="G22" s="4"/>
    </row>
    <row r="23" spans="2:7" ht="18.75" x14ac:dyDescent="0.25">
      <c r="B23" s="8" t="s">
        <v>26</v>
      </c>
      <c r="C23" s="5">
        <v>13077.1</v>
      </c>
      <c r="D23" s="5">
        <v>14986.2</v>
      </c>
      <c r="E23" s="5">
        <v>15408.6</v>
      </c>
      <c r="F23" s="5">
        <v>14764.5</v>
      </c>
      <c r="G23" s="5">
        <v>16683.7</v>
      </c>
    </row>
    <row r="24" spans="2:7" ht="18.75" x14ac:dyDescent="0.25">
      <c r="B24" s="8" t="s">
        <v>27</v>
      </c>
      <c r="C24" s="4">
        <v>311.7</v>
      </c>
      <c r="D24" s="4">
        <v>451.1</v>
      </c>
      <c r="E24" s="4">
        <v>335.8</v>
      </c>
      <c r="F24" s="4">
        <v>224.2</v>
      </c>
      <c r="G24" s="4">
        <v>0</v>
      </c>
    </row>
    <row r="25" spans="2:7" ht="18.75" x14ac:dyDescent="0.25">
      <c r="B25" s="8" t="s">
        <v>125</v>
      </c>
      <c r="C25" s="4"/>
      <c r="D25" s="5">
        <f>Income_Statement!D31</f>
        <v>3020.8</v>
      </c>
      <c r="E25" s="5">
        <f>Income_Statement!E31+D25</f>
        <v>6549.2000000000007</v>
      </c>
      <c r="F25" s="5">
        <f>Income_Statement!F31+E25</f>
        <v>9583.3000000000011</v>
      </c>
      <c r="G25" s="5">
        <f>Income_Statement!G31+F25</f>
        <v>12372.300000000001</v>
      </c>
    </row>
    <row r="26" spans="2:7" ht="18.75" x14ac:dyDescent="0.25">
      <c r="B26" s="9" t="s">
        <v>126</v>
      </c>
      <c r="C26" s="7">
        <f>C23+C24-C25</f>
        <v>13388.800000000001</v>
      </c>
      <c r="D26" s="7">
        <f t="shared" ref="D26:G26" si="5">D23+D24-D25</f>
        <v>12416.5</v>
      </c>
      <c r="E26" s="7">
        <f t="shared" si="5"/>
        <v>9195.1999999999989</v>
      </c>
      <c r="F26" s="7">
        <f t="shared" si="5"/>
        <v>5405.4</v>
      </c>
      <c r="G26" s="7">
        <f t="shared" si="5"/>
        <v>4311.3999999999996</v>
      </c>
    </row>
    <row r="27" spans="2:7" ht="18.75" x14ac:dyDescent="0.25">
      <c r="B27" s="8" t="s">
        <v>30</v>
      </c>
      <c r="C27" s="5">
        <v>34905.800000000003</v>
      </c>
      <c r="D27" s="5">
        <v>32458.1</v>
      </c>
      <c r="E27" s="5">
        <v>36269.199999999997</v>
      </c>
      <c r="F27" s="5">
        <v>34529.1</v>
      </c>
      <c r="G27" s="5">
        <v>37934.6</v>
      </c>
    </row>
    <row r="28" spans="2:7" ht="18.75" x14ac:dyDescent="0.25">
      <c r="B28" s="8" t="s">
        <v>36</v>
      </c>
      <c r="C28" s="5">
        <v>1217.3</v>
      </c>
      <c r="D28" s="5">
        <v>5045.5</v>
      </c>
      <c r="E28" s="5">
        <v>1218.8</v>
      </c>
      <c r="F28" s="5">
        <v>8415.7000000000007</v>
      </c>
      <c r="G28" s="5">
        <v>4100.1000000000004</v>
      </c>
    </row>
    <row r="29" spans="2:7" ht="18.75" x14ac:dyDescent="0.25">
      <c r="B29" s="8" t="s">
        <v>28</v>
      </c>
      <c r="C29" s="4">
        <v>2132.1</v>
      </c>
      <c r="D29" s="5">
        <v>1606.9</v>
      </c>
      <c r="E29" s="5">
        <v>1344.3</v>
      </c>
      <c r="F29" s="5">
        <v>1199.3</v>
      </c>
      <c r="G29" s="5">
        <v>0</v>
      </c>
    </row>
    <row r="30" spans="2:7" ht="18.75" x14ac:dyDescent="0.25">
      <c r="B30" s="9" t="s">
        <v>127</v>
      </c>
      <c r="C30" s="7">
        <f>C26+C27+C28+C29</f>
        <v>51644.000000000007</v>
      </c>
      <c r="D30" s="7">
        <f t="shared" ref="D30:G30" si="6">D26+D27+D28+D29</f>
        <v>51527</v>
      </c>
      <c r="E30" s="7">
        <f t="shared" si="6"/>
        <v>48027.5</v>
      </c>
      <c r="F30" s="7">
        <f t="shared" si="6"/>
        <v>49549.5</v>
      </c>
      <c r="G30" s="7">
        <f t="shared" si="6"/>
        <v>46346.1</v>
      </c>
    </row>
    <row r="31" spans="2:7" ht="18.75" x14ac:dyDescent="0.25">
      <c r="B31" s="8" t="s">
        <v>31</v>
      </c>
      <c r="C31" s="4">
        <v>0</v>
      </c>
      <c r="D31" s="4">
        <v>0</v>
      </c>
      <c r="E31" s="4">
        <v>0</v>
      </c>
      <c r="F31" s="4">
        <v>0</v>
      </c>
      <c r="G31" s="4">
        <v>141.1</v>
      </c>
    </row>
    <row r="32" spans="2:7" ht="18.75" x14ac:dyDescent="0.25">
      <c r="B32" s="8" t="s">
        <v>32</v>
      </c>
      <c r="C32" s="4">
        <v>0.2</v>
      </c>
      <c r="D32" s="4">
        <v>0.2</v>
      </c>
      <c r="E32" s="4">
        <v>0.2</v>
      </c>
      <c r="F32" s="4">
        <v>0.2</v>
      </c>
      <c r="G32" s="4">
        <v>0.2</v>
      </c>
    </row>
    <row r="33" spans="2:7" ht="18.75" x14ac:dyDescent="0.25">
      <c r="B33" s="8" t="s">
        <v>33</v>
      </c>
      <c r="C33" s="5">
        <v>1891.5</v>
      </c>
      <c r="D33" s="5">
        <v>2093.5</v>
      </c>
      <c r="E33" s="5">
        <v>1758.1</v>
      </c>
      <c r="F33" s="5">
        <v>1723.6</v>
      </c>
      <c r="G33" s="5">
        <v>3102.5</v>
      </c>
    </row>
    <row r="34" spans="2:7" ht="18.75" x14ac:dyDescent="0.25">
      <c r="B34" s="8" t="s">
        <v>40</v>
      </c>
      <c r="C34" s="4">
        <v>3</v>
      </c>
      <c r="D34" s="4">
        <v>16.100000000000001</v>
      </c>
      <c r="E34" s="4">
        <v>17</v>
      </c>
      <c r="F34" s="4">
        <v>23</v>
      </c>
      <c r="G34" s="4">
        <v>30.5</v>
      </c>
    </row>
    <row r="35" spans="2:7" ht="18.75" x14ac:dyDescent="0.25">
      <c r="B35" s="8" t="s">
        <v>41</v>
      </c>
      <c r="C35" s="5">
        <v>2010.1</v>
      </c>
      <c r="D35" s="5">
        <v>1487.9</v>
      </c>
      <c r="E35" s="5">
        <v>1984.2</v>
      </c>
      <c r="F35" s="5">
        <v>2729.6</v>
      </c>
      <c r="G35" s="5">
        <v>4053.8</v>
      </c>
    </row>
    <row r="36" spans="2:7" ht="18.75" x14ac:dyDescent="0.25">
      <c r="B36" s="8" t="s">
        <v>37</v>
      </c>
      <c r="C36" s="5">
        <v>3160.2</v>
      </c>
      <c r="D36" s="5">
        <v>3322.6</v>
      </c>
      <c r="E36" s="5">
        <v>3213.9</v>
      </c>
      <c r="F36" s="5">
        <v>3049</v>
      </c>
      <c r="G36" s="5">
        <v>3532.3</v>
      </c>
    </row>
    <row r="37" spans="2:7" ht="18.75" x14ac:dyDescent="0.25">
      <c r="B37" s="8" t="s">
        <v>38</v>
      </c>
      <c r="C37" s="5">
        <v>1465.4</v>
      </c>
      <c r="D37" s="5">
        <v>2312.8000000000002</v>
      </c>
      <c r="E37" s="5">
        <v>1977.7</v>
      </c>
      <c r="F37" s="5">
        <v>1279.9000000000001</v>
      </c>
      <c r="G37" s="5">
        <v>2034.5</v>
      </c>
    </row>
    <row r="38" spans="2:7" ht="18.75" x14ac:dyDescent="0.25">
      <c r="B38" s="8" t="s">
        <v>39</v>
      </c>
      <c r="C38" s="5">
        <v>74</v>
      </c>
      <c r="D38" s="5">
        <f>CashFlow_Statement!D48+C38</f>
        <v>15344.530848341439</v>
      </c>
      <c r="E38" s="5">
        <f>CashFlow_Statement!E48+D38</f>
        <v>33562.577350109794</v>
      </c>
      <c r="F38" s="5">
        <f>CashFlow_Statement!F48+E38</f>
        <v>52817.121457374436</v>
      </c>
      <c r="G38" s="5">
        <f>CashFlow_Statement!G48+F38</f>
        <v>77963.842277233198</v>
      </c>
    </row>
    <row r="39" spans="2:7" ht="18.75" x14ac:dyDescent="0.25">
      <c r="B39" s="9" t="s">
        <v>42</v>
      </c>
      <c r="C39" s="7">
        <f>C31+C32+C33+C34+C35+C36+C37+C38</f>
        <v>8604.4</v>
      </c>
      <c r="D39" s="7">
        <f t="shared" ref="D39:G39" si="7">D31+D32+D33+D34+D35+D36+D37+D38</f>
        <v>24577.63084834144</v>
      </c>
      <c r="E39" s="7">
        <f t="shared" si="7"/>
        <v>42513.677350109792</v>
      </c>
      <c r="F39" s="7">
        <f t="shared" si="7"/>
        <v>61622.421457374439</v>
      </c>
      <c r="G39" s="7">
        <f t="shared" si="7"/>
        <v>90858.742277233192</v>
      </c>
    </row>
    <row r="40" spans="2:7" ht="18.75" x14ac:dyDescent="0.25">
      <c r="B40" s="9" t="s">
        <v>43</v>
      </c>
      <c r="C40" s="7">
        <f>C30+C39</f>
        <v>60248.400000000009</v>
      </c>
      <c r="D40" s="7">
        <f t="shared" ref="D40:G40" si="8">D30+D39</f>
        <v>76104.630848341447</v>
      </c>
      <c r="E40" s="7">
        <f t="shared" si="8"/>
        <v>90541.177350109792</v>
      </c>
      <c r="F40" s="7">
        <f t="shared" si="8"/>
        <v>111171.92145737444</v>
      </c>
      <c r="G40" s="7">
        <f t="shared" si="8"/>
        <v>137204.8422772332</v>
      </c>
    </row>
  </sheetData>
  <mergeCells count="1">
    <mergeCell ref="B3:G3"/>
  </mergeCells>
  <hyperlinks>
    <hyperlink ref="F1" location="Index_Data!A1" tooltip="Hi click here To return Index page" display="Index_Data!A1" xr:uid="{DC315A7A-B0CF-4A3B-8AFA-7392B0782163}"/>
  </hyperlinks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B41AA7-FE71-46B4-9A65-D06CA9364735}">
  <dimension ref="B1:O35"/>
  <sheetViews>
    <sheetView showGridLines="0" workbookViewId="0"/>
  </sheetViews>
  <sheetFormatPr defaultRowHeight="15" x14ac:dyDescent="0.25"/>
  <cols>
    <col min="2" max="2" width="57.140625" bestFit="1" customWidth="1"/>
    <col min="3" max="3" width="17.140625" bestFit="1" customWidth="1"/>
    <col min="4" max="6" width="18.85546875" bestFit="1" customWidth="1"/>
    <col min="7" max="7" width="15.57031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31" t="s">
        <v>120</v>
      </c>
      <c r="C3" s="32"/>
      <c r="D3" s="32"/>
      <c r="E3" s="32"/>
      <c r="F3" s="32"/>
      <c r="G3" s="32"/>
    </row>
    <row r="4" spans="2:15" ht="18.75" x14ac:dyDescent="0.25">
      <c r="B4" s="10" t="s">
        <v>119</v>
      </c>
      <c r="C4" s="10">
        <v>2018</v>
      </c>
      <c r="D4" s="10">
        <v>2019</v>
      </c>
      <c r="E4" s="10">
        <v>2020</v>
      </c>
      <c r="F4" s="10">
        <v>2021</v>
      </c>
      <c r="G4" s="10">
        <v>2022</v>
      </c>
    </row>
    <row r="5" spans="2:15" ht="18.75" x14ac:dyDescent="0.25">
      <c r="B5" s="8" t="s">
        <v>97</v>
      </c>
      <c r="C5" s="5">
        <v>80348.800000000003</v>
      </c>
      <c r="D5" s="5">
        <v>83038.5</v>
      </c>
      <c r="E5" s="5">
        <v>71704.800000000003</v>
      </c>
      <c r="F5" s="5">
        <v>66571.8</v>
      </c>
      <c r="G5" s="5">
        <v>83799.8</v>
      </c>
    </row>
    <row r="6" spans="2:15" ht="18.75" x14ac:dyDescent="0.25">
      <c r="B6" s="8" t="s">
        <v>98</v>
      </c>
      <c r="C6" s="4">
        <v>2231.6999999999998</v>
      </c>
      <c r="D6" s="4">
        <v>0</v>
      </c>
      <c r="E6" s="4">
        <v>0</v>
      </c>
      <c r="F6" s="4">
        <v>0</v>
      </c>
      <c r="G6" s="5">
        <v>0</v>
      </c>
    </row>
    <row r="7" spans="2:15" ht="18.75" x14ac:dyDescent="0.25">
      <c r="B7" s="9" t="s">
        <v>105</v>
      </c>
      <c r="C7" s="7">
        <f>C5 - C6</f>
        <v>78117.100000000006</v>
      </c>
      <c r="D7" s="7">
        <f t="shared" ref="D7:G7" si="0">D5 - D6</f>
        <v>83038.5</v>
      </c>
      <c r="E7" s="7">
        <f t="shared" si="0"/>
        <v>71704.800000000003</v>
      </c>
      <c r="F7" s="7">
        <f t="shared" si="0"/>
        <v>66571.8</v>
      </c>
      <c r="G7" s="7">
        <f t="shared" si="0"/>
        <v>83799.8</v>
      </c>
    </row>
    <row r="8" spans="2:15" ht="18.75" x14ac:dyDescent="0.25">
      <c r="B8" s="8" t="s">
        <v>59</v>
      </c>
      <c r="C8" s="5">
        <v>2045.8</v>
      </c>
      <c r="D8" s="5">
        <v>2561.6</v>
      </c>
      <c r="E8" s="5">
        <v>3334.4</v>
      </c>
      <c r="F8" s="5">
        <v>2936.3</v>
      </c>
      <c r="G8" s="5">
        <v>1744.7</v>
      </c>
    </row>
    <row r="9" spans="2:15" ht="18.75" x14ac:dyDescent="0.25">
      <c r="B9" s="8" t="s">
        <v>106</v>
      </c>
      <c r="C9" s="4"/>
      <c r="D9" s="4"/>
      <c r="E9" s="4"/>
      <c r="F9" s="4"/>
      <c r="G9" s="4"/>
    </row>
    <row r="10" spans="2:15" ht="18.75" x14ac:dyDescent="0.25">
      <c r="B10" s="9" t="s">
        <v>107</v>
      </c>
      <c r="C10" s="7">
        <f>SUM(C7:C9)</f>
        <v>80162.900000000009</v>
      </c>
      <c r="D10" s="7">
        <f t="shared" ref="D10:G10" si="1">SUM(D7:D9)</f>
        <v>85600.1</v>
      </c>
      <c r="E10" s="7">
        <f t="shared" si="1"/>
        <v>75039.199999999997</v>
      </c>
      <c r="F10" s="7">
        <f t="shared" si="1"/>
        <v>69508.100000000006</v>
      </c>
      <c r="G10" s="7">
        <f t="shared" si="1"/>
        <v>85544.5</v>
      </c>
    </row>
    <row r="11" spans="2:15" ht="18.75" x14ac:dyDescent="0.25">
      <c r="B11" s="8" t="s">
        <v>62</v>
      </c>
      <c r="C11" s="5">
        <v>44943.199999999997</v>
      </c>
      <c r="D11" s="5">
        <v>45025.7</v>
      </c>
      <c r="E11" s="5">
        <v>34634.800000000003</v>
      </c>
      <c r="F11" s="5">
        <v>33296.400000000001</v>
      </c>
      <c r="G11" s="5">
        <v>39739.599999999999</v>
      </c>
    </row>
    <row r="12" spans="2:15" ht="18.75" x14ac:dyDescent="0.25">
      <c r="B12" s="8" t="s">
        <v>64</v>
      </c>
      <c r="C12" s="4">
        <v>0</v>
      </c>
      <c r="D12" s="4">
        <v>0</v>
      </c>
      <c r="E12" s="4">
        <v>0</v>
      </c>
      <c r="F12" s="4">
        <v>0</v>
      </c>
      <c r="G12" s="4">
        <v>0</v>
      </c>
    </row>
    <row r="13" spans="2:15" ht="18.75" x14ac:dyDescent="0.25">
      <c r="B13" s="8" t="s">
        <v>66</v>
      </c>
      <c r="C13" s="5">
        <v>2863.4</v>
      </c>
      <c r="D13" s="5">
        <v>3285</v>
      </c>
      <c r="E13" s="5">
        <v>3416.2</v>
      </c>
      <c r="F13" s="5">
        <v>3431.6</v>
      </c>
      <c r="G13" s="5">
        <v>4051.4</v>
      </c>
    </row>
    <row r="14" spans="2:15" ht="18.75" x14ac:dyDescent="0.25">
      <c r="B14" s="8" t="s">
        <v>69</v>
      </c>
      <c r="C14" s="5">
        <v>9995.6</v>
      </c>
      <c r="D14" s="5">
        <v>11638.5</v>
      </c>
      <c r="E14" s="5">
        <v>11889.6</v>
      </c>
      <c r="F14" s="5">
        <v>10837.5</v>
      </c>
      <c r="G14" s="5">
        <v>12528.2</v>
      </c>
    </row>
    <row r="15" spans="2:15" ht="18.75" x14ac:dyDescent="0.25">
      <c r="B15" s="9" t="s">
        <v>108</v>
      </c>
      <c r="C15" s="7">
        <f>C11+C12+C13+C14</f>
        <v>57802.2</v>
      </c>
      <c r="D15" s="7">
        <f t="shared" ref="D15:G15" si="2">D11+D12+D13+D14</f>
        <v>59949.2</v>
      </c>
      <c r="E15" s="7">
        <f t="shared" si="2"/>
        <v>49940.6</v>
      </c>
      <c r="F15" s="7">
        <f t="shared" si="2"/>
        <v>47565.5</v>
      </c>
      <c r="G15" s="7">
        <f t="shared" si="2"/>
        <v>56319.199999999997</v>
      </c>
    </row>
    <row r="16" spans="2:15" ht="18.75" x14ac:dyDescent="0.25">
      <c r="B16" s="9" t="s">
        <v>109</v>
      </c>
      <c r="C16" s="7">
        <f xml:space="preserve"> C10-C15-C8</f>
        <v>20314.900000000012</v>
      </c>
      <c r="D16" s="7">
        <f t="shared" ref="D16:G16" si="3" xml:space="preserve"> D10-D15-D8</f>
        <v>23089.30000000001</v>
      </c>
      <c r="E16" s="7">
        <f t="shared" si="3"/>
        <v>21764.199999999997</v>
      </c>
      <c r="F16" s="7">
        <f t="shared" si="3"/>
        <v>19006.300000000007</v>
      </c>
      <c r="G16" s="7">
        <f t="shared" si="3"/>
        <v>27480.600000000002</v>
      </c>
    </row>
    <row r="17" spans="2:7" ht="18.75" x14ac:dyDescent="0.25">
      <c r="B17" s="9" t="s">
        <v>110</v>
      </c>
      <c r="C17" s="7">
        <f xml:space="preserve"> C16+C8</f>
        <v>22360.700000000012</v>
      </c>
      <c r="D17" s="7">
        <f t="shared" ref="D17:G17" si="4" xml:space="preserve"> D16+D8</f>
        <v>25650.900000000009</v>
      </c>
      <c r="E17" s="7">
        <f t="shared" si="4"/>
        <v>25098.6</v>
      </c>
      <c r="F17" s="7">
        <f t="shared" si="4"/>
        <v>21942.600000000006</v>
      </c>
      <c r="G17" s="7">
        <f t="shared" si="4"/>
        <v>29225.300000000003</v>
      </c>
    </row>
    <row r="18" spans="2:7" ht="18.75" x14ac:dyDescent="0.25">
      <c r="B18" s="8" t="s">
        <v>68</v>
      </c>
      <c r="C18" s="5">
        <v>2759.8</v>
      </c>
      <c r="D18" s="5">
        <v>3020.8</v>
      </c>
      <c r="E18" s="5">
        <v>3528.4</v>
      </c>
      <c r="F18" s="5">
        <v>3034.1</v>
      </c>
      <c r="G18" s="5">
        <v>2789</v>
      </c>
    </row>
    <row r="19" spans="2:7" ht="18.75" x14ac:dyDescent="0.25">
      <c r="B19" s="9" t="s">
        <v>111</v>
      </c>
      <c r="C19" s="7">
        <f xml:space="preserve"> C17-C18</f>
        <v>19600.900000000012</v>
      </c>
      <c r="D19" s="7">
        <f t="shared" ref="D19:G19" si="5" xml:space="preserve"> D17-D18</f>
        <v>22630.100000000009</v>
      </c>
      <c r="E19" s="7">
        <f t="shared" si="5"/>
        <v>21570.199999999997</v>
      </c>
      <c r="F19" s="7">
        <f t="shared" si="5"/>
        <v>18908.500000000007</v>
      </c>
      <c r="G19" s="7">
        <f t="shared" si="5"/>
        <v>26436.300000000003</v>
      </c>
    </row>
    <row r="20" spans="2:7" ht="18.75" x14ac:dyDescent="0.25">
      <c r="B20" s="8" t="s">
        <v>67</v>
      </c>
      <c r="C20" s="4">
        <v>345.8</v>
      </c>
      <c r="D20" s="4">
        <v>75.900000000000006</v>
      </c>
      <c r="E20" s="4">
        <v>134.19999999999999</v>
      </c>
      <c r="F20" s="4">
        <v>101.8</v>
      </c>
      <c r="G20" s="4">
        <v>126.6</v>
      </c>
    </row>
    <row r="21" spans="2:7" ht="18.75" x14ac:dyDescent="0.25">
      <c r="B21" s="9" t="s">
        <v>112</v>
      </c>
      <c r="C21" s="7">
        <f xml:space="preserve"> C19-C20</f>
        <v>19255.100000000013</v>
      </c>
      <c r="D21" s="7">
        <f t="shared" ref="D21:G21" si="6" xml:space="preserve"> D19-D20</f>
        <v>22554.200000000008</v>
      </c>
      <c r="E21" s="7">
        <f t="shared" si="6"/>
        <v>21435.999999999996</v>
      </c>
      <c r="F21" s="7">
        <f t="shared" si="6"/>
        <v>18806.700000000008</v>
      </c>
      <c r="G21" s="7">
        <f t="shared" si="6"/>
        <v>26309.700000000004</v>
      </c>
    </row>
    <row r="22" spans="2:7" ht="18.75" x14ac:dyDescent="0.25">
      <c r="B22" s="8" t="s">
        <v>113</v>
      </c>
      <c r="C22" s="4"/>
      <c r="D22" s="4"/>
      <c r="E22" s="4"/>
      <c r="F22" s="4"/>
      <c r="G22" s="4"/>
    </row>
    <row r="23" spans="2:7" ht="18.75" x14ac:dyDescent="0.25">
      <c r="B23" s="9" t="s">
        <v>114</v>
      </c>
      <c r="C23" s="7">
        <f xml:space="preserve"> C21+C22</f>
        <v>19255.100000000013</v>
      </c>
      <c r="D23" s="7">
        <f t="shared" ref="D23:G23" si="7" xml:space="preserve"> D21+D22</f>
        <v>22554.200000000008</v>
      </c>
      <c r="E23" s="7">
        <f t="shared" si="7"/>
        <v>21435.999999999996</v>
      </c>
      <c r="F23" s="7">
        <f t="shared" si="7"/>
        <v>18806.700000000008</v>
      </c>
      <c r="G23" s="7">
        <f t="shared" si="7"/>
        <v>26309.700000000004</v>
      </c>
    </row>
    <row r="24" spans="2:7" ht="18.75" x14ac:dyDescent="0.25">
      <c r="B24" s="8" t="s">
        <v>72</v>
      </c>
      <c r="C24" s="4">
        <v>0</v>
      </c>
      <c r="D24" s="4">
        <v>0</v>
      </c>
      <c r="E24" s="4">
        <v>0</v>
      </c>
      <c r="F24" s="4">
        <v>0</v>
      </c>
      <c r="G24" s="4">
        <v>0</v>
      </c>
    </row>
    <row r="25" spans="2:7" ht="18.75" x14ac:dyDescent="0.25">
      <c r="B25" s="9" t="s">
        <v>115</v>
      </c>
      <c r="C25" s="7">
        <f xml:space="preserve"> C23+C24</f>
        <v>19255.100000000013</v>
      </c>
      <c r="D25" s="7">
        <f t="shared" ref="D25:G25" si="8" xml:space="preserve"> D23+D24</f>
        <v>22554.200000000008</v>
      </c>
      <c r="E25" s="7">
        <f t="shared" si="8"/>
        <v>21435.999999999996</v>
      </c>
      <c r="F25" s="7">
        <f t="shared" si="8"/>
        <v>18806.700000000008</v>
      </c>
      <c r="G25" s="7">
        <f t="shared" si="8"/>
        <v>26309.700000000004</v>
      </c>
    </row>
    <row r="26" spans="2:7" ht="18.75" x14ac:dyDescent="0.25">
      <c r="B26" s="8" t="s">
        <v>79</v>
      </c>
      <c r="C26" s="4">
        <v>3286.2</v>
      </c>
      <c r="D26" s="4">
        <v>2973.2</v>
      </c>
      <c r="E26" s="5">
        <v>1425.2</v>
      </c>
      <c r="F26" s="5">
        <v>931.9</v>
      </c>
      <c r="G26" s="5">
        <v>817.7</v>
      </c>
    </row>
    <row r="27" spans="2:7" ht="18.75" x14ac:dyDescent="0.25">
      <c r="B27" s="9" t="s">
        <v>116</v>
      </c>
      <c r="C27" s="7">
        <f xml:space="preserve"> C25-C26</f>
        <v>15968.900000000012</v>
      </c>
      <c r="D27" s="7">
        <f t="shared" ref="D27:G27" si="9" xml:space="preserve"> D25-D26</f>
        <v>19581.000000000007</v>
      </c>
      <c r="E27" s="7">
        <f t="shared" si="9"/>
        <v>20010.799999999996</v>
      </c>
      <c r="F27" s="7">
        <f t="shared" si="9"/>
        <v>17874.800000000007</v>
      </c>
      <c r="G27" s="7">
        <f t="shared" si="9"/>
        <v>25492.000000000004</v>
      </c>
    </row>
    <row r="28" spans="2:7" ht="18.75" x14ac:dyDescent="0.25">
      <c r="B28" s="8" t="s">
        <v>88</v>
      </c>
      <c r="C28" s="4">
        <v>2265.6</v>
      </c>
      <c r="D28" s="5">
        <v>2416.6</v>
      </c>
      <c r="E28" s="5">
        <v>2416.6</v>
      </c>
      <c r="F28" s="5">
        <v>1812.5</v>
      </c>
      <c r="G28" s="5">
        <v>0</v>
      </c>
    </row>
    <row r="29" spans="2:7" ht="18.75" x14ac:dyDescent="0.25">
      <c r="B29" s="8" t="s">
        <v>89</v>
      </c>
      <c r="C29" s="4">
        <v>461.2</v>
      </c>
      <c r="D29" s="4">
        <v>496.8</v>
      </c>
      <c r="E29" s="4">
        <v>496.8</v>
      </c>
      <c r="F29" s="4">
        <v>0</v>
      </c>
      <c r="G29" s="4">
        <v>0</v>
      </c>
    </row>
    <row r="30" spans="2:7" ht="18.75" x14ac:dyDescent="0.25">
      <c r="B30" s="9" t="s">
        <v>117</v>
      </c>
      <c r="C30" s="7">
        <f xml:space="preserve"> C27-C28-C29</f>
        <v>13242.100000000011</v>
      </c>
      <c r="D30" s="7">
        <f t="shared" ref="D30:G30" si="10" xml:space="preserve"> D27-D28-D29</f>
        <v>16667.600000000009</v>
      </c>
      <c r="E30" s="7">
        <f t="shared" si="10"/>
        <v>17097.399999999998</v>
      </c>
      <c r="F30" s="7">
        <f t="shared" si="10"/>
        <v>16062.300000000007</v>
      </c>
      <c r="G30" s="7">
        <f t="shared" si="10"/>
        <v>25492.000000000004</v>
      </c>
    </row>
    <row r="31" spans="2:7" ht="18.75" x14ac:dyDescent="0.25">
      <c r="B31" s="8"/>
      <c r="C31" s="4"/>
      <c r="D31" s="4"/>
      <c r="E31" s="4"/>
      <c r="F31" s="4"/>
      <c r="G31" s="4"/>
    </row>
    <row r="32" spans="2:7" ht="18.75" x14ac:dyDescent="0.25">
      <c r="B32" s="8"/>
      <c r="C32" s="4"/>
      <c r="D32" s="4"/>
      <c r="E32" s="4"/>
      <c r="F32" s="4"/>
      <c r="G32" s="4"/>
    </row>
    <row r="33" spans="2:7" ht="18.75" x14ac:dyDescent="0.25">
      <c r="B33" s="8"/>
      <c r="C33" s="4"/>
      <c r="D33" s="4"/>
      <c r="E33" s="4"/>
      <c r="F33" s="4"/>
      <c r="G33" s="4"/>
    </row>
    <row r="34" spans="2:7" ht="18.75" x14ac:dyDescent="0.25">
      <c r="B34" s="8" t="s">
        <v>85</v>
      </c>
      <c r="C34" s="4">
        <v>261</v>
      </c>
      <c r="D34" s="4">
        <v>253</v>
      </c>
      <c r="E34" s="4">
        <v>188</v>
      </c>
      <c r="F34" s="4">
        <v>145</v>
      </c>
      <c r="G34" s="4">
        <v>128</v>
      </c>
    </row>
    <row r="35" spans="2:7" ht="18.75" x14ac:dyDescent="0.25">
      <c r="B35" s="8" t="s">
        <v>118</v>
      </c>
      <c r="C35" s="4">
        <f>C27/C34</f>
        <v>61.183524904214607</v>
      </c>
      <c r="D35" s="4">
        <f t="shared" ref="D35:G35" si="11">D27/D34</f>
        <v>77.395256916996075</v>
      </c>
      <c r="E35" s="4">
        <f t="shared" si="11"/>
        <v>106.44042553191487</v>
      </c>
      <c r="F35" s="4">
        <f t="shared" si="11"/>
        <v>123.27448275862074</v>
      </c>
      <c r="G35" s="4">
        <f t="shared" si="11"/>
        <v>199.15625000000003</v>
      </c>
    </row>
  </sheetData>
  <mergeCells count="1">
    <mergeCell ref="B3:G3"/>
  </mergeCells>
  <hyperlinks>
    <hyperlink ref="F1" location="Index_Data!A1" tooltip="Hi click here To return Index page" display="Index_Data!A1" xr:uid="{7B011575-F938-481E-B679-B74BD604AE06}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C4EC99-F82B-4305-A24D-89B39B92D5D2}">
  <dimension ref="B1:O80"/>
  <sheetViews>
    <sheetView showGridLines="0" topLeftCell="A57" workbookViewId="0">
      <selection activeCell="H75" sqref="H75:L75"/>
    </sheetView>
  </sheetViews>
  <sheetFormatPr defaultRowHeight="15" x14ac:dyDescent="0.25"/>
  <cols>
    <col min="2" max="2" width="47.42578125" bestFit="1" customWidth="1"/>
    <col min="3" max="5" width="15.42578125" bestFit="1" customWidth="1"/>
    <col min="6" max="7" width="17.140625" bestFit="1" customWidth="1"/>
    <col min="8" max="12" width="18.8554687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31" t="s">
        <v>128</v>
      </c>
      <c r="C3" s="32"/>
      <c r="D3" s="32"/>
      <c r="E3" s="32"/>
      <c r="F3" s="32"/>
      <c r="G3" s="32"/>
      <c r="H3" s="33" t="s">
        <v>264</v>
      </c>
      <c r="I3" s="34"/>
      <c r="J3" s="34"/>
      <c r="K3" s="34"/>
      <c r="L3" s="34"/>
    </row>
    <row r="4" spans="2:15" ht="18.75" x14ac:dyDescent="0.25">
      <c r="B4" s="10" t="s">
        <v>119</v>
      </c>
      <c r="C4" s="10">
        <v>2018</v>
      </c>
      <c r="D4" s="10">
        <v>2019</v>
      </c>
      <c r="E4" s="10">
        <v>2020</v>
      </c>
      <c r="F4" s="10">
        <v>2021</v>
      </c>
      <c r="G4" s="10">
        <v>2022</v>
      </c>
      <c r="H4" s="22">
        <v>2023</v>
      </c>
      <c r="I4" s="22">
        <v>2024</v>
      </c>
      <c r="J4" s="22">
        <v>2025</v>
      </c>
      <c r="K4" s="22">
        <v>2026</v>
      </c>
      <c r="L4" s="22">
        <v>2027</v>
      </c>
    </row>
    <row r="5" spans="2:15" ht="18.75" x14ac:dyDescent="0.25">
      <c r="B5" s="8" t="s">
        <v>5</v>
      </c>
      <c r="C5" s="4">
        <v>151</v>
      </c>
      <c r="D5" s="4">
        <v>151</v>
      </c>
      <c r="E5" s="4">
        <v>151</v>
      </c>
      <c r="F5" s="4">
        <v>151</v>
      </c>
      <c r="G5" s="4">
        <v>151</v>
      </c>
      <c r="H5" s="24">
        <f>G5</f>
        <v>151</v>
      </c>
      <c r="I5" s="24">
        <f t="shared" ref="I5:L5" si="0">H5</f>
        <v>151</v>
      </c>
      <c r="J5" s="24">
        <f t="shared" si="0"/>
        <v>151</v>
      </c>
      <c r="K5" s="24">
        <f t="shared" si="0"/>
        <v>151</v>
      </c>
      <c r="L5" s="24">
        <f t="shared" si="0"/>
        <v>151</v>
      </c>
    </row>
    <row r="6" spans="2:15" x14ac:dyDescent="0.25">
      <c r="B6" s="17" t="s">
        <v>203</v>
      </c>
      <c r="C6" s="18">
        <f>C5/Balance_Sheet!C74</f>
        <v>2.5062906234854365E-3</v>
      </c>
      <c r="D6" s="18">
        <f>D5/Balance_Sheet!D74</f>
        <v>1.9841105372537362E-3</v>
      </c>
      <c r="E6" s="18">
        <f>E5/Balance_Sheet!E74</f>
        <v>1.6677494640488777E-3</v>
      </c>
      <c r="F6" s="18">
        <f>F5/Balance_Sheet!F74</f>
        <v>1.3582566354931307E-3</v>
      </c>
      <c r="G6" s="18">
        <f>G5/Balance_Sheet!G74</f>
        <v>1.1005442482481238E-3</v>
      </c>
      <c r="H6" s="25">
        <f>G6</f>
        <v>1.1005442482481238E-3</v>
      </c>
      <c r="I6" s="25">
        <f t="shared" ref="I6:L6" si="1">H6</f>
        <v>1.1005442482481238E-3</v>
      </c>
      <c r="J6" s="25">
        <f t="shared" si="1"/>
        <v>1.1005442482481238E-3</v>
      </c>
      <c r="K6" s="25">
        <f t="shared" si="1"/>
        <v>1.1005442482481238E-3</v>
      </c>
      <c r="L6" s="25">
        <f t="shared" si="1"/>
        <v>1.1005442482481238E-3</v>
      </c>
    </row>
    <row r="7" spans="2:15" ht="18.75" x14ac:dyDescent="0.25">
      <c r="B7" s="8" t="s">
        <v>121</v>
      </c>
      <c r="C7" s="4"/>
      <c r="D7" s="4"/>
      <c r="E7" s="4"/>
      <c r="F7" s="4"/>
      <c r="G7" s="4"/>
      <c r="H7" s="24">
        <f>G7</f>
        <v>0</v>
      </c>
      <c r="I7" s="24">
        <f t="shared" ref="I7:L7" si="2">H7</f>
        <v>0</v>
      </c>
      <c r="J7" s="24">
        <f t="shared" si="2"/>
        <v>0</v>
      </c>
      <c r="K7" s="24">
        <f t="shared" si="2"/>
        <v>0</v>
      </c>
      <c r="L7" s="24">
        <f t="shared" si="2"/>
        <v>0</v>
      </c>
    </row>
    <row r="8" spans="2:15" x14ac:dyDescent="0.25">
      <c r="B8" s="17" t="s">
        <v>204</v>
      </c>
      <c r="C8" s="18">
        <f>C7/Balance_Sheet!C74</f>
        <v>0</v>
      </c>
      <c r="D8" s="18">
        <f>D7/Balance_Sheet!D74</f>
        <v>0</v>
      </c>
      <c r="E8" s="18">
        <f>E7/Balance_Sheet!E74</f>
        <v>0</v>
      </c>
      <c r="F8" s="18">
        <f>F7/Balance_Sheet!F74</f>
        <v>0</v>
      </c>
      <c r="G8" s="18">
        <f>G7/Balance_Sheet!G74</f>
        <v>0</v>
      </c>
      <c r="H8" s="25">
        <f>G8</f>
        <v>0</v>
      </c>
      <c r="I8" s="25">
        <f t="shared" ref="I8:L8" si="3">H8</f>
        <v>0</v>
      </c>
      <c r="J8" s="25">
        <f t="shared" si="3"/>
        <v>0</v>
      </c>
      <c r="K8" s="25">
        <f t="shared" si="3"/>
        <v>0</v>
      </c>
      <c r="L8" s="25">
        <f t="shared" si="3"/>
        <v>0</v>
      </c>
    </row>
    <row r="9" spans="2:15" ht="18.75" x14ac:dyDescent="0.25">
      <c r="B9" s="9" t="s">
        <v>6</v>
      </c>
      <c r="C9" s="6">
        <f>C5+C7</f>
        <v>151</v>
      </c>
      <c r="D9" s="6">
        <f t="shared" ref="D9:L9" si="4">D5+D7</f>
        <v>151</v>
      </c>
      <c r="E9" s="6">
        <f t="shared" si="4"/>
        <v>151</v>
      </c>
      <c r="F9" s="6">
        <f t="shared" si="4"/>
        <v>151</v>
      </c>
      <c r="G9" s="6">
        <f t="shared" si="4"/>
        <v>151</v>
      </c>
      <c r="H9" s="26">
        <f t="shared" si="4"/>
        <v>151</v>
      </c>
      <c r="I9" s="26">
        <f t="shared" si="4"/>
        <v>151</v>
      </c>
      <c r="J9" s="26">
        <f t="shared" si="4"/>
        <v>151</v>
      </c>
      <c r="K9" s="26">
        <f t="shared" si="4"/>
        <v>151</v>
      </c>
      <c r="L9" s="26">
        <f t="shared" si="4"/>
        <v>151</v>
      </c>
    </row>
    <row r="10" spans="2:15" x14ac:dyDescent="0.25">
      <c r="B10" s="19" t="s">
        <v>205</v>
      </c>
      <c r="C10" s="20">
        <f>C9/Balance_Sheet!C74</f>
        <v>2.5062906234854365E-3</v>
      </c>
      <c r="D10" s="20">
        <f>D9/Balance_Sheet!D74</f>
        <v>1.9841105372537362E-3</v>
      </c>
      <c r="E10" s="20">
        <f>E9/Balance_Sheet!E74</f>
        <v>1.6677494640488777E-3</v>
      </c>
      <c r="F10" s="20">
        <f>F9/Balance_Sheet!F74</f>
        <v>1.3582566354931307E-3</v>
      </c>
      <c r="G10" s="20">
        <f>G9/Balance_Sheet!G74</f>
        <v>1.1005442482481238E-3</v>
      </c>
      <c r="H10" s="27">
        <f>H9/Balance_Sheet!H74</f>
        <v>9.0122644783973663E-4</v>
      </c>
      <c r="I10" s="27">
        <f>I9/Balance_Sheet!I74</f>
        <v>7.4135775943864294E-4</v>
      </c>
      <c r="J10" s="27">
        <f>J9/Balance_Sheet!J74</f>
        <v>6.0201904205192593E-4</v>
      </c>
      <c r="K10" s="27">
        <f>K9/Balance_Sheet!K74</f>
        <v>4.923970043229812E-4</v>
      </c>
      <c r="L10" s="27">
        <f>L9/Balance_Sheet!L74</f>
        <v>4.0321493242995176E-4</v>
      </c>
    </row>
    <row r="11" spans="2:15" ht="18.75" x14ac:dyDescent="0.25">
      <c r="B11" s="8" t="s">
        <v>7</v>
      </c>
      <c r="C11" s="5">
        <v>42408.4</v>
      </c>
      <c r="D11" s="5">
        <f>Income_Statement!D55+C11</f>
        <v>59077.030848341441</v>
      </c>
      <c r="E11" s="5">
        <f>Income_Statement!E55+D11</f>
        <v>76175.477350109795</v>
      </c>
      <c r="F11" s="5">
        <f>Income_Statement!F55+E11</f>
        <v>92238.821457374434</v>
      </c>
      <c r="G11" s="5">
        <f>Income_Statement!G55+F11</f>
        <v>117731.8422772332</v>
      </c>
      <c r="H11" s="28">
        <f>H74-H9-H21-H33-H35</f>
        <v>140176.19864434152</v>
      </c>
      <c r="I11" s="28">
        <f t="shared" ref="I11:L11" si="5">I74-I9-I21-I33-I35</f>
        <v>170436.79016171902</v>
      </c>
      <c r="J11" s="28">
        <f t="shared" si="5"/>
        <v>209919.73553952615</v>
      </c>
      <c r="K11" s="28">
        <f t="shared" si="5"/>
        <v>256687.64895254021</v>
      </c>
      <c r="L11" s="28">
        <f t="shared" si="5"/>
        <v>313494.57935807511</v>
      </c>
    </row>
    <row r="12" spans="2:15" x14ac:dyDescent="0.25">
      <c r="B12" s="17" t="s">
        <v>206</v>
      </c>
      <c r="C12" s="18">
        <f>C11/Balance_Sheet!C74</f>
        <v>0.70389255150344232</v>
      </c>
      <c r="D12" s="18">
        <f>D11/Balance_Sheet!D74</f>
        <v>0.77626065838316738</v>
      </c>
      <c r="E12" s="18">
        <f>E11/Balance_Sheet!E74</f>
        <v>0.84133517565770222</v>
      </c>
      <c r="F12" s="18">
        <f>F11/Balance_Sheet!F74</f>
        <v>0.82969530658639068</v>
      </c>
      <c r="G12" s="18">
        <f>G11/Balance_Sheet!G74</f>
        <v>0.85807352221102173</v>
      </c>
      <c r="H12" s="25"/>
      <c r="I12" s="25"/>
      <c r="J12" s="25"/>
      <c r="K12" s="25"/>
      <c r="L12" s="25"/>
    </row>
    <row r="13" spans="2:15" ht="18.75" x14ac:dyDescent="0.25">
      <c r="B13" s="9" t="s">
        <v>122</v>
      </c>
      <c r="C13" s="7">
        <f>C9+C11</f>
        <v>42559.4</v>
      </c>
      <c r="D13" s="7">
        <f t="shared" ref="D13:L13" si="6">D9+D11</f>
        <v>59228.030848341441</v>
      </c>
      <c r="E13" s="7">
        <f t="shared" si="6"/>
        <v>76326.477350109795</v>
      </c>
      <c r="F13" s="7">
        <f t="shared" si="6"/>
        <v>92389.821457374434</v>
      </c>
      <c r="G13" s="7">
        <f t="shared" si="6"/>
        <v>117882.8422772332</v>
      </c>
      <c r="H13" s="29">
        <f t="shared" si="6"/>
        <v>140327.19864434152</v>
      </c>
      <c r="I13" s="29">
        <f t="shared" si="6"/>
        <v>170587.79016171902</v>
      </c>
      <c r="J13" s="29">
        <f t="shared" si="6"/>
        <v>210070.73553952615</v>
      </c>
      <c r="K13" s="29">
        <f t="shared" si="6"/>
        <v>256838.64895254021</v>
      </c>
      <c r="L13" s="29">
        <f t="shared" si="6"/>
        <v>313645.57935807511</v>
      </c>
    </row>
    <row r="14" spans="2:15" x14ac:dyDescent="0.25">
      <c r="B14" s="19" t="s">
        <v>207</v>
      </c>
      <c r="C14" s="20">
        <f>C13/Balance_Sheet!C74</f>
        <v>0.70639884212692783</v>
      </c>
      <c r="D14" s="20">
        <f>D13/Balance_Sheet!D74</f>
        <v>0.77824476892042116</v>
      </c>
      <c r="E14" s="20">
        <f>E13/Balance_Sheet!E74</f>
        <v>0.84300292512175112</v>
      </c>
      <c r="F14" s="20">
        <f>F13/Balance_Sheet!F74</f>
        <v>0.83105356322188384</v>
      </c>
      <c r="G14" s="20">
        <f>G13/Balance_Sheet!G74</f>
        <v>0.85917406645926986</v>
      </c>
      <c r="H14" s="27">
        <f>H13/Balance_Sheet!H74</f>
        <v>0.83752703820888097</v>
      </c>
      <c r="I14" s="27">
        <f>I13/Balance_Sheet!I74</f>
        <v>0.8375270324627907</v>
      </c>
      <c r="J14" s="27">
        <f>J13/Balance_Sheet!J74</f>
        <v>0.8375270395539669</v>
      </c>
      <c r="K14" s="27">
        <f>K13/Balance_Sheet!K74</f>
        <v>0.83752702873240137</v>
      </c>
      <c r="L14" s="27">
        <f>L13/Balance_Sheet!L74</f>
        <v>0.83752702707165116</v>
      </c>
    </row>
    <row r="15" spans="2:15" ht="18.75" x14ac:dyDescent="0.25">
      <c r="B15" s="8" t="s">
        <v>12</v>
      </c>
      <c r="C15" s="4">
        <v>10</v>
      </c>
      <c r="D15" s="4">
        <v>8</v>
      </c>
      <c r="E15" s="4">
        <v>5.4</v>
      </c>
      <c r="F15" s="4">
        <v>2.8</v>
      </c>
      <c r="G15" s="4">
        <v>0</v>
      </c>
      <c r="H15" s="24">
        <f>ROUND(H74*H16,2)</f>
        <v>0</v>
      </c>
      <c r="I15" s="24">
        <f t="shared" ref="I15:L15" si="7">ROUND(I74*I16,2)</f>
        <v>0</v>
      </c>
      <c r="J15" s="24">
        <f t="shared" si="7"/>
        <v>0</v>
      </c>
      <c r="K15" s="24">
        <f t="shared" si="7"/>
        <v>0</v>
      </c>
      <c r="L15" s="24">
        <f t="shared" si="7"/>
        <v>0</v>
      </c>
    </row>
    <row r="16" spans="2:15" x14ac:dyDescent="0.25">
      <c r="B16" s="17" t="s">
        <v>208</v>
      </c>
      <c r="C16" s="18">
        <f>C15/Balance_Sheet!C74</f>
        <v>1.6597951148910177E-4</v>
      </c>
      <c r="D16" s="18">
        <f>D15/Balance_Sheet!D74</f>
        <v>1.0511843905980058E-4</v>
      </c>
      <c r="E16" s="18">
        <f>E15/Balance_Sheet!E74</f>
        <v>5.9641371562012854E-5</v>
      </c>
      <c r="F16" s="18">
        <f>F15/Balance_Sheet!F74</f>
        <v>2.5186215757488518E-5</v>
      </c>
      <c r="G16" s="18">
        <f>G15/Balance_Sheet!G74</f>
        <v>0</v>
      </c>
      <c r="H16" s="25">
        <f>G16</f>
        <v>0</v>
      </c>
      <c r="I16" s="25">
        <f t="shared" ref="I16:L16" si="8">H16</f>
        <v>0</v>
      </c>
      <c r="J16" s="25">
        <f t="shared" si="8"/>
        <v>0</v>
      </c>
      <c r="K16" s="25">
        <f t="shared" si="8"/>
        <v>0</v>
      </c>
      <c r="L16" s="25">
        <f t="shared" si="8"/>
        <v>0</v>
      </c>
    </row>
    <row r="17" spans="2:12" ht="18.75" x14ac:dyDescent="0.25">
      <c r="B17" s="8" t="s">
        <v>13</v>
      </c>
      <c r="C17" s="4">
        <v>602</v>
      </c>
      <c r="D17" s="4">
        <v>613.9</v>
      </c>
      <c r="E17" s="4">
        <v>657.5</v>
      </c>
      <c r="F17" s="4">
        <v>445.4</v>
      </c>
      <c r="G17" s="4">
        <v>0</v>
      </c>
      <c r="H17" s="24">
        <f>H74*H18</f>
        <v>1216.7255801697618</v>
      </c>
      <c r="I17" s="24">
        <f t="shared" ref="I17:L17" si="9">I74*I18</f>
        <v>1479.1040609630127</v>
      </c>
      <c r="J17" s="24">
        <f t="shared" si="9"/>
        <v>1821.4461603650684</v>
      </c>
      <c r="K17" s="24">
        <f t="shared" si="9"/>
        <v>2226.95358214014</v>
      </c>
      <c r="L17" s="24">
        <f t="shared" si="9"/>
        <v>2719.5056145462413</v>
      </c>
    </row>
    <row r="18" spans="2:12" x14ac:dyDescent="0.25">
      <c r="B18" s="17" t="s">
        <v>209</v>
      </c>
      <c r="C18" s="18">
        <f>C17/Balance_Sheet!C74</f>
        <v>9.9919665916439263E-3</v>
      </c>
      <c r="D18" s="18">
        <f>D17/Balance_Sheet!D74</f>
        <v>8.0665262173514468E-3</v>
      </c>
      <c r="E18" s="18">
        <f>E17/Balance_Sheet!E74</f>
        <v>7.2618892225969345E-3</v>
      </c>
      <c r="F18" s="18">
        <f>F17/Balance_Sheet!F74</f>
        <v>4.0064073208519232E-3</v>
      </c>
      <c r="G18" s="18">
        <f>G17/Balance_Sheet!G74</f>
        <v>0</v>
      </c>
      <c r="H18" s="25">
        <f>MEDIAN(C18:G18)</f>
        <v>7.2618892225969345E-3</v>
      </c>
      <c r="I18" s="25">
        <f t="shared" ref="I18:L18" si="10">H18</f>
        <v>7.2618892225969345E-3</v>
      </c>
      <c r="J18" s="25">
        <f t="shared" si="10"/>
        <v>7.2618892225969345E-3</v>
      </c>
      <c r="K18" s="25">
        <f t="shared" si="10"/>
        <v>7.2618892225969345E-3</v>
      </c>
      <c r="L18" s="25">
        <f t="shared" si="10"/>
        <v>7.2618892225969345E-3</v>
      </c>
    </row>
    <row r="19" spans="2:12" ht="18.75" x14ac:dyDescent="0.25">
      <c r="B19" s="8" t="s">
        <v>18</v>
      </c>
      <c r="C19" s="4">
        <v>110.8</v>
      </c>
      <c r="D19" s="4">
        <v>149.6</v>
      </c>
      <c r="E19" s="4">
        <v>106.3</v>
      </c>
      <c r="F19" s="4">
        <v>488.8</v>
      </c>
      <c r="G19" s="4">
        <v>381.9</v>
      </c>
      <c r="H19" s="24">
        <f>ROUND(H74*H20,2)</f>
        <v>466.36</v>
      </c>
      <c r="I19" s="24">
        <f t="shared" ref="I19:L19" si="11">ROUND(I74*I20,2)</f>
        <v>566.92999999999995</v>
      </c>
      <c r="J19" s="24">
        <f t="shared" si="11"/>
        <v>698.15</v>
      </c>
      <c r="K19" s="24">
        <f t="shared" si="11"/>
        <v>853.58</v>
      </c>
      <c r="L19" s="24">
        <f t="shared" si="11"/>
        <v>1042.3699999999999</v>
      </c>
    </row>
    <row r="20" spans="2:12" x14ac:dyDescent="0.25">
      <c r="B20" s="17" t="s">
        <v>210</v>
      </c>
      <c r="C20" s="18">
        <f>C19/Balance_Sheet!C74</f>
        <v>1.8390529872992474E-3</v>
      </c>
      <c r="D20" s="18">
        <f>D19/Balance_Sheet!D74</f>
        <v>1.965714810418271E-3</v>
      </c>
      <c r="E20" s="18">
        <f>E19/Balance_Sheet!E74</f>
        <v>1.1740514438966603E-3</v>
      </c>
      <c r="F20" s="18">
        <f>F19/Balance_Sheet!F74</f>
        <v>4.3967936650929958E-3</v>
      </c>
      <c r="G20" s="18">
        <f>G19/Balance_Sheet!G74</f>
        <v>2.7834294596421087E-3</v>
      </c>
      <c r="H20" s="25">
        <f>G20</f>
        <v>2.7834294596421087E-3</v>
      </c>
      <c r="I20" s="25">
        <f t="shared" ref="I20:L20" si="12">H20</f>
        <v>2.7834294596421087E-3</v>
      </c>
      <c r="J20" s="25">
        <f t="shared" si="12"/>
        <v>2.7834294596421087E-3</v>
      </c>
      <c r="K20" s="25">
        <f t="shared" si="12"/>
        <v>2.7834294596421087E-3</v>
      </c>
      <c r="L20" s="25">
        <f t="shared" si="12"/>
        <v>2.7834294596421087E-3</v>
      </c>
    </row>
    <row r="21" spans="2:12" ht="18.75" x14ac:dyDescent="0.25">
      <c r="B21" s="9" t="s">
        <v>123</v>
      </c>
      <c r="C21" s="6">
        <f>C15+C17+C19</f>
        <v>722.8</v>
      </c>
      <c r="D21" s="6">
        <f t="shared" ref="D21:G21" si="13">D15+D17+D19</f>
        <v>771.5</v>
      </c>
      <c r="E21" s="6">
        <f t="shared" si="13"/>
        <v>769.19999999999993</v>
      </c>
      <c r="F21" s="6">
        <f t="shared" si="13"/>
        <v>937</v>
      </c>
      <c r="G21" s="6">
        <f t="shared" si="13"/>
        <v>381.9</v>
      </c>
      <c r="H21" s="26">
        <f>ROUND(H74*H22,2)</f>
        <v>466.36</v>
      </c>
      <c r="I21" s="26">
        <f t="shared" ref="I21:L21" si="14">ROUND(I74*I22,2)</f>
        <v>566.92999999999995</v>
      </c>
      <c r="J21" s="26">
        <f t="shared" si="14"/>
        <v>698.15</v>
      </c>
      <c r="K21" s="26">
        <f t="shared" si="14"/>
        <v>853.58</v>
      </c>
      <c r="L21" s="26">
        <f t="shared" si="14"/>
        <v>1042.3699999999999</v>
      </c>
    </row>
    <row r="22" spans="2:12" x14ac:dyDescent="0.25">
      <c r="B22" s="19" t="s">
        <v>211</v>
      </c>
      <c r="C22" s="20">
        <f>C21/Balance_Sheet!C74</f>
        <v>1.1996999090432274E-2</v>
      </c>
      <c r="D22" s="20">
        <f>D21/Balance_Sheet!D74</f>
        <v>1.0137359466829518E-2</v>
      </c>
      <c r="E22" s="20">
        <f>E21/Balance_Sheet!E74</f>
        <v>8.4955820380556071E-3</v>
      </c>
      <c r="F22" s="20">
        <f>F21/Balance_Sheet!F74</f>
        <v>8.4283872017024072E-3</v>
      </c>
      <c r="G22" s="20">
        <f>G21/Balance_Sheet!G74</f>
        <v>2.7834294596421087E-3</v>
      </c>
      <c r="H22" s="27">
        <f>G22</f>
        <v>2.7834294596421087E-3</v>
      </c>
      <c r="I22" s="27">
        <f t="shared" ref="I22:L22" si="15">H22</f>
        <v>2.7834294596421087E-3</v>
      </c>
      <c r="J22" s="27">
        <f t="shared" si="15"/>
        <v>2.7834294596421087E-3</v>
      </c>
      <c r="K22" s="27">
        <f t="shared" si="15"/>
        <v>2.7834294596421087E-3</v>
      </c>
      <c r="L22" s="27">
        <f t="shared" si="15"/>
        <v>2.7834294596421087E-3</v>
      </c>
    </row>
    <row r="23" spans="2:12" ht="18.75" x14ac:dyDescent="0.25">
      <c r="B23" s="8" t="s">
        <v>15</v>
      </c>
      <c r="C23" s="4">
        <v>26.5</v>
      </c>
      <c r="D23" s="4">
        <v>39.5</v>
      </c>
      <c r="E23" s="4">
        <v>51.6</v>
      </c>
      <c r="F23" s="4">
        <v>44.7</v>
      </c>
      <c r="G23" s="4">
        <v>84.4</v>
      </c>
      <c r="H23" s="24">
        <f>H74*H24</f>
        <v>86.961902204915503</v>
      </c>
      <c r="I23" s="24">
        <f t="shared" ref="I23:L23" si="16">I74*I24</f>
        <v>105.71463672392964</v>
      </c>
      <c r="J23" s="24">
        <f t="shared" si="16"/>
        <v>130.18253700812792</v>
      </c>
      <c r="K23" s="24">
        <f t="shared" si="16"/>
        <v>159.16499396514456</v>
      </c>
      <c r="L23" s="24">
        <f t="shared" si="16"/>
        <v>194.36870988188849</v>
      </c>
    </row>
    <row r="24" spans="2:12" x14ac:dyDescent="0.25">
      <c r="B24" s="17" t="s">
        <v>212</v>
      </c>
      <c r="C24" s="18">
        <f>C23/Balance_Sheet!C74</f>
        <v>4.3984570544611967E-4</v>
      </c>
      <c r="D24" s="18">
        <f>D23/Balance_Sheet!D74</f>
        <v>5.1902229285776533E-4</v>
      </c>
      <c r="E24" s="18">
        <f>E23/Balance_Sheet!E74</f>
        <v>5.6990643937034503E-4</v>
      </c>
      <c r="F24" s="18">
        <f>F23/Balance_Sheet!F74</f>
        <v>4.0207994441419172E-4</v>
      </c>
      <c r="G24" s="18">
        <f>G23/Balance_Sheet!G74</f>
        <v>6.1513863941815665E-4</v>
      </c>
      <c r="H24" s="25">
        <f>MEDIAN(C24:G24)</f>
        <v>5.1902229285776533E-4</v>
      </c>
      <c r="I24" s="25">
        <f t="shared" ref="I24:L24" si="17">H24</f>
        <v>5.1902229285776533E-4</v>
      </c>
      <c r="J24" s="25">
        <f t="shared" si="17"/>
        <v>5.1902229285776533E-4</v>
      </c>
      <c r="K24" s="25">
        <f t="shared" si="17"/>
        <v>5.1902229285776533E-4</v>
      </c>
      <c r="L24" s="25">
        <f t="shared" si="17"/>
        <v>5.1902229285776533E-4</v>
      </c>
    </row>
    <row r="25" spans="2:12" ht="18.75" x14ac:dyDescent="0.25">
      <c r="B25" s="8" t="s">
        <v>21</v>
      </c>
      <c r="C25" s="4">
        <v>560.9</v>
      </c>
      <c r="D25" s="4">
        <v>625.4</v>
      </c>
      <c r="E25" s="4">
        <v>680.7</v>
      </c>
      <c r="F25" s="4">
        <v>742.8</v>
      </c>
      <c r="G25" s="4">
        <v>861.3</v>
      </c>
      <c r="H25" s="24">
        <f>H74*H26</f>
        <v>1259.6579504510371</v>
      </c>
      <c r="I25" s="24">
        <f t="shared" ref="I25:L25" si="18">I74*I26</f>
        <v>1531.2945008327345</v>
      </c>
      <c r="J25" s="24">
        <f t="shared" si="18"/>
        <v>1885.7161997878361</v>
      </c>
      <c r="K25" s="24">
        <f t="shared" si="18"/>
        <v>2305.5320203236402</v>
      </c>
      <c r="L25" s="24">
        <f t="shared" si="18"/>
        <v>2815.4638354701542</v>
      </c>
    </row>
    <row r="26" spans="2:12" x14ac:dyDescent="0.25">
      <c r="B26" s="17" t="s">
        <v>213</v>
      </c>
      <c r="C26" s="18">
        <f>C25/Balance_Sheet!C74</f>
        <v>9.3097907994237183E-3</v>
      </c>
      <c r="D26" s="18">
        <f>D25/Balance_Sheet!D74</f>
        <v>8.2176339734999111E-3</v>
      </c>
      <c r="E26" s="18">
        <f>E25/Balance_Sheet!E74</f>
        <v>7.5181262263448422E-3</v>
      </c>
      <c r="F26" s="18">
        <f>F25/Balance_Sheet!F74</f>
        <v>6.6815432373794536E-3</v>
      </c>
      <c r="G26" s="18">
        <f>G25/Balance_Sheet!G74</f>
        <v>6.2774752385172782E-3</v>
      </c>
      <c r="H26" s="25">
        <f>MEDIAN(C26:G26)</f>
        <v>7.5181262263448422E-3</v>
      </c>
      <c r="I26" s="25">
        <f t="shared" ref="I26:L26" si="19">H26</f>
        <v>7.5181262263448422E-3</v>
      </c>
      <c r="J26" s="25">
        <f t="shared" si="19"/>
        <v>7.5181262263448422E-3</v>
      </c>
      <c r="K26" s="25">
        <f t="shared" si="19"/>
        <v>7.5181262263448422E-3</v>
      </c>
      <c r="L26" s="25">
        <f t="shared" si="19"/>
        <v>7.5181262263448422E-3</v>
      </c>
    </row>
    <row r="27" spans="2:12" ht="18.75" x14ac:dyDescent="0.25">
      <c r="B27" s="8" t="s">
        <v>14</v>
      </c>
      <c r="C27" s="5">
        <v>1585.9</v>
      </c>
      <c r="D27" s="5">
        <v>2037.1</v>
      </c>
      <c r="E27" s="5">
        <v>2175.6</v>
      </c>
      <c r="F27" s="5">
        <v>2168.6999999999998</v>
      </c>
      <c r="G27" s="5">
        <v>2214.1</v>
      </c>
      <c r="H27" s="28">
        <f>ROUND(H74*H28,2)</f>
        <v>2703.78</v>
      </c>
      <c r="I27" s="28">
        <f t="shared" ref="I27:L27" si="20">ROUND(I74*I28,2)</f>
        <v>3286.83</v>
      </c>
      <c r="J27" s="28">
        <f t="shared" si="20"/>
        <v>4047.57</v>
      </c>
      <c r="K27" s="28">
        <f t="shared" si="20"/>
        <v>4948.68</v>
      </c>
      <c r="L27" s="28">
        <f t="shared" si="20"/>
        <v>6043.22</v>
      </c>
    </row>
    <row r="28" spans="2:12" x14ac:dyDescent="0.25">
      <c r="B28" s="17" t="s">
        <v>214</v>
      </c>
      <c r="C28" s="18">
        <f>C27/Balance_Sheet!C74</f>
        <v>2.632269072705665E-2</v>
      </c>
      <c r="D28" s="18">
        <f>D27/Balance_Sheet!D74</f>
        <v>2.6767096526089971E-2</v>
      </c>
      <c r="E28" s="18">
        <f>E27/Balance_Sheet!E74</f>
        <v>2.402884592042873E-2</v>
      </c>
      <c r="F28" s="18">
        <f>F27/Balance_Sheet!F74</f>
        <v>1.9507623611880479E-2</v>
      </c>
      <c r="G28" s="18">
        <f>G27/Balance_Sheet!G74</f>
        <v>1.6137185563219674E-2</v>
      </c>
      <c r="H28" s="25">
        <f>G28</f>
        <v>1.6137185563219674E-2</v>
      </c>
      <c r="I28" s="25">
        <f t="shared" ref="I28:L28" si="21">H28</f>
        <v>1.6137185563219674E-2</v>
      </c>
      <c r="J28" s="25">
        <f t="shared" si="21"/>
        <v>1.6137185563219674E-2</v>
      </c>
      <c r="K28" s="25">
        <f t="shared" si="21"/>
        <v>1.6137185563219674E-2</v>
      </c>
      <c r="L28" s="25">
        <f t="shared" si="21"/>
        <v>1.6137185563219674E-2</v>
      </c>
    </row>
    <row r="29" spans="2:12" ht="18.75" x14ac:dyDescent="0.25">
      <c r="B29" s="8" t="s">
        <v>19</v>
      </c>
      <c r="C29" s="5">
        <v>10499.3</v>
      </c>
      <c r="D29" s="5">
        <v>9637.7000000000007</v>
      </c>
      <c r="E29" s="5">
        <v>7498.8</v>
      </c>
      <c r="F29" s="5">
        <v>10168.1</v>
      </c>
      <c r="G29" s="5">
        <v>9765.2000000000007</v>
      </c>
      <c r="H29" s="28">
        <f>H74*H30</f>
        <v>15324.549483054747</v>
      </c>
      <c r="I29" s="28">
        <f t="shared" ref="I29:L29" si="22">I74*I30</f>
        <v>18629.182900594886</v>
      </c>
      <c r="J29" s="28">
        <f t="shared" si="22"/>
        <v>22940.950917905473</v>
      </c>
      <c r="K29" s="28">
        <f t="shared" si="22"/>
        <v>28048.280501517092</v>
      </c>
      <c r="L29" s="28">
        <f t="shared" si="22"/>
        <v>34251.929143911329</v>
      </c>
    </row>
    <row r="30" spans="2:12" x14ac:dyDescent="0.25">
      <c r="B30" s="17" t="s">
        <v>215</v>
      </c>
      <c r="C30" s="18">
        <f>C29/Balance_Sheet!C74</f>
        <v>0.17426686849775261</v>
      </c>
      <c r="D30" s="18">
        <f>D29/Balance_Sheet!D74</f>
        <v>0.12663749751583003</v>
      </c>
      <c r="E30" s="18">
        <f>E29/Balance_Sheet!E74</f>
        <v>8.2821984642448512E-2</v>
      </c>
      <c r="F30" s="18">
        <f>F29/Balance_Sheet!F74</f>
        <v>9.1462843015613929E-2</v>
      </c>
      <c r="G30" s="18">
        <f>G29/Balance_Sheet!G74</f>
        <v>7.1172415185381324E-2</v>
      </c>
      <c r="H30" s="25">
        <f>MEDIAN(C30:G30)</f>
        <v>9.1462843015613929E-2</v>
      </c>
      <c r="I30" s="25">
        <f t="shared" ref="I30:L30" si="23">H30</f>
        <v>9.1462843015613929E-2</v>
      </c>
      <c r="J30" s="25">
        <f t="shared" si="23"/>
        <v>9.1462843015613929E-2</v>
      </c>
      <c r="K30" s="25">
        <f t="shared" si="23"/>
        <v>9.1462843015613929E-2</v>
      </c>
      <c r="L30" s="25">
        <f t="shared" si="23"/>
        <v>9.1462843015613929E-2</v>
      </c>
    </row>
    <row r="31" spans="2:12" ht="18.75" x14ac:dyDescent="0.25">
      <c r="B31" s="8" t="s">
        <v>20</v>
      </c>
      <c r="C31" s="5">
        <v>4277.5</v>
      </c>
      <c r="D31" s="5">
        <v>3747.8</v>
      </c>
      <c r="E31" s="5">
        <v>3019.6</v>
      </c>
      <c r="F31" s="5">
        <v>4720.8</v>
      </c>
      <c r="G31" s="5">
        <v>6015.1</v>
      </c>
      <c r="H31" s="28">
        <f>H74*H32</f>
        <v>7345.4165970221184</v>
      </c>
      <c r="I31" s="28">
        <f t="shared" ref="I31:L31" si="24">I74*I32</f>
        <v>8929.4050319914022</v>
      </c>
      <c r="J31" s="28">
        <f t="shared" si="24"/>
        <v>10996.136741911074</v>
      </c>
      <c r="K31" s="28">
        <f t="shared" si="24"/>
        <v>13444.19980121379</v>
      </c>
      <c r="L31" s="28">
        <f t="shared" si="24"/>
        <v>16417.754341941007</v>
      </c>
    </row>
    <row r="32" spans="2:12" x14ac:dyDescent="0.25">
      <c r="B32" s="17" t="s">
        <v>216</v>
      </c>
      <c r="C32" s="18">
        <f>C31/Balance_Sheet!C74</f>
        <v>7.0997736039463272E-2</v>
      </c>
      <c r="D32" s="18">
        <f>D31/Balance_Sheet!D74</f>
        <v>4.9245360738540078E-2</v>
      </c>
      <c r="E32" s="18">
        <f>E31/Balance_Sheet!E74</f>
        <v>3.3350571401602594E-2</v>
      </c>
      <c r="F32" s="18">
        <f>F31/Balance_Sheet!F74</f>
        <v>4.2463959767125643E-2</v>
      </c>
      <c r="G32" s="18">
        <f>G31/Balance_Sheet!G74</f>
        <v>4.3840289454551588E-2</v>
      </c>
      <c r="H32" s="25">
        <f>MEDIAN(C32:G32)</f>
        <v>4.3840289454551588E-2</v>
      </c>
      <c r="I32" s="25">
        <f t="shared" ref="I32:L32" si="25">H32</f>
        <v>4.3840289454551588E-2</v>
      </c>
      <c r="J32" s="25">
        <f t="shared" si="25"/>
        <v>4.3840289454551588E-2</v>
      </c>
      <c r="K32" s="25">
        <f t="shared" si="25"/>
        <v>4.3840289454551588E-2</v>
      </c>
      <c r="L32" s="25">
        <f t="shared" si="25"/>
        <v>4.3840289454551588E-2</v>
      </c>
    </row>
    <row r="33" spans="2:12" ht="18.75" x14ac:dyDescent="0.25">
      <c r="B33" s="9" t="s">
        <v>22</v>
      </c>
      <c r="C33" s="7">
        <f>C23+C25+C27+C29+C31</f>
        <v>16950.099999999999</v>
      </c>
      <c r="D33" s="7">
        <f t="shared" ref="D33:L33" si="26">D23+D25+D27+D29+D31</f>
        <v>16087.5</v>
      </c>
      <c r="E33" s="7">
        <f t="shared" si="26"/>
        <v>13426.300000000001</v>
      </c>
      <c r="F33" s="7">
        <f t="shared" si="26"/>
        <v>17845.099999999999</v>
      </c>
      <c r="G33" s="7">
        <f t="shared" si="26"/>
        <v>18940.099999999999</v>
      </c>
      <c r="H33" s="29">
        <f t="shared" si="26"/>
        <v>26720.365932732817</v>
      </c>
      <c r="I33" s="29">
        <f t="shared" si="26"/>
        <v>32482.427070142952</v>
      </c>
      <c r="J33" s="29">
        <f t="shared" si="26"/>
        <v>40000.556396612512</v>
      </c>
      <c r="K33" s="29">
        <f t="shared" si="26"/>
        <v>48905.857317019669</v>
      </c>
      <c r="L33" s="29">
        <f t="shared" si="26"/>
        <v>59722.736031204375</v>
      </c>
    </row>
    <row r="34" spans="2:12" x14ac:dyDescent="0.25">
      <c r="B34" s="19" t="s">
        <v>217</v>
      </c>
      <c r="C34" s="20">
        <f>C33/Balance_Sheet!C74</f>
        <v>0.28133693176914237</v>
      </c>
      <c r="D34" s="20">
        <f>D33/Balance_Sheet!D74</f>
        <v>0.21138661104681775</v>
      </c>
      <c r="E34" s="20">
        <f>E33/Balance_Sheet!E74</f>
        <v>0.14828943463019503</v>
      </c>
      <c r="F34" s="20">
        <f>F33/Balance_Sheet!F74</f>
        <v>0.16051804957641369</v>
      </c>
      <c r="G34" s="20">
        <f>G33/Balance_Sheet!G74</f>
        <v>0.13804250408108801</v>
      </c>
      <c r="H34" s="27">
        <f>H33/Balance_Sheet!H74</f>
        <v>0.15947748658632258</v>
      </c>
      <c r="I34" s="27">
        <f>I33/Balance_Sheet!I74</f>
        <v>0.15947747916457156</v>
      </c>
      <c r="J34" s="27">
        <f>J33/Balance_Sheet!J74</f>
        <v>0.15947746121478609</v>
      </c>
      <c r="K34" s="27">
        <f>K33/Balance_Sheet!K74</f>
        <v>0.15947746779303071</v>
      </c>
      <c r="L34" s="27">
        <f>L33/Balance_Sheet!L74</f>
        <v>0.15947747664472794</v>
      </c>
    </row>
    <row r="35" spans="2:12" ht="18.75" x14ac:dyDescent="0.25">
      <c r="B35" s="8" t="s">
        <v>10</v>
      </c>
      <c r="C35" s="4">
        <v>16.100000000000001</v>
      </c>
      <c r="D35" s="4">
        <v>17.600000000000001</v>
      </c>
      <c r="E35" s="4">
        <v>19.2</v>
      </c>
      <c r="F35" s="4">
        <v>0</v>
      </c>
      <c r="G35" s="4">
        <v>0</v>
      </c>
      <c r="H35" s="24">
        <f>H74*H36</f>
        <v>35.530237474158824</v>
      </c>
      <c r="I35" s="24">
        <f t="shared" ref="I35:L35" si="27">I74*I36</f>
        <v>43.192088168045395</v>
      </c>
      <c r="J35" s="24">
        <f t="shared" si="27"/>
        <v>53.188998142979948</v>
      </c>
      <c r="K35" s="24">
        <f t="shared" si="27"/>
        <v>65.030431600137931</v>
      </c>
      <c r="L35" s="24">
        <f t="shared" si="27"/>
        <v>79.413700074962478</v>
      </c>
    </row>
    <row r="36" spans="2:12" x14ac:dyDescent="0.25">
      <c r="B36" s="17" t="s">
        <v>218</v>
      </c>
      <c r="C36" s="18">
        <f>C35/Balance_Sheet!C74</f>
        <v>2.6722701349745384E-4</v>
      </c>
      <c r="D36" s="18">
        <f>D35/Balance_Sheet!D74</f>
        <v>2.312605659315613E-4</v>
      </c>
      <c r="E36" s="18">
        <f>E35/Balance_Sheet!E74</f>
        <v>2.120582099982679E-4</v>
      </c>
      <c r="F36" s="18">
        <f>F35/Balance_Sheet!F74</f>
        <v>0</v>
      </c>
      <c r="G36" s="18">
        <f>G35/Balance_Sheet!G74</f>
        <v>0</v>
      </c>
      <c r="H36" s="25">
        <f>MEDIAN(C36:G36)</f>
        <v>2.120582099982679E-4</v>
      </c>
      <c r="I36" s="25">
        <f t="shared" ref="I36:L36" si="28">H36</f>
        <v>2.120582099982679E-4</v>
      </c>
      <c r="J36" s="25">
        <f t="shared" si="28"/>
        <v>2.120582099982679E-4</v>
      </c>
      <c r="K36" s="25">
        <f t="shared" si="28"/>
        <v>2.120582099982679E-4</v>
      </c>
      <c r="L36" s="25">
        <f t="shared" si="28"/>
        <v>2.120582099982679E-4</v>
      </c>
    </row>
    <row r="37" spans="2:12" ht="18.75" x14ac:dyDescent="0.25">
      <c r="B37" s="9" t="s">
        <v>124</v>
      </c>
      <c r="C37" s="7">
        <f>C13+C21+C33+C35</f>
        <v>60248.4</v>
      </c>
      <c r="D37" s="7">
        <f t="shared" ref="D37:L37" si="29">D13+D21+D33+D35</f>
        <v>76104.630848341447</v>
      </c>
      <c r="E37" s="7">
        <f t="shared" si="29"/>
        <v>90541.177350109792</v>
      </c>
      <c r="F37" s="7">
        <f t="shared" si="29"/>
        <v>111171.92145737444</v>
      </c>
      <c r="G37" s="7">
        <f t="shared" si="29"/>
        <v>137204.8422772332</v>
      </c>
      <c r="H37" s="29">
        <f t="shared" si="29"/>
        <v>167549.45481454849</v>
      </c>
      <c r="I37" s="29">
        <f t="shared" si="29"/>
        <v>203680.33932003003</v>
      </c>
      <c r="J37" s="29">
        <f t="shared" si="29"/>
        <v>250822.63093428165</v>
      </c>
      <c r="K37" s="29">
        <f t="shared" si="29"/>
        <v>306663.11670115998</v>
      </c>
      <c r="L37" s="29">
        <f t="shared" si="29"/>
        <v>374490.09908935445</v>
      </c>
    </row>
    <row r="38" spans="2:12" x14ac:dyDescent="0.25">
      <c r="B38" s="19" t="s">
        <v>219</v>
      </c>
      <c r="C38" s="20">
        <f>C37/Balance_Sheet!C74</f>
        <v>0.99999999999999989</v>
      </c>
      <c r="D38" s="20">
        <f>D37/Balance_Sheet!D74</f>
        <v>1</v>
      </c>
      <c r="E38" s="20">
        <f>E37/Balance_Sheet!E74</f>
        <v>1</v>
      </c>
      <c r="F38" s="20">
        <f>F37/Balance_Sheet!F74</f>
        <v>1</v>
      </c>
      <c r="G38" s="20">
        <f>G37/Balance_Sheet!G74</f>
        <v>1</v>
      </c>
      <c r="H38" s="27">
        <f>H37/Balance_Sheet!H74</f>
        <v>1</v>
      </c>
      <c r="I38" s="27">
        <f>I37/Balance_Sheet!I74</f>
        <v>1</v>
      </c>
      <c r="J38" s="27">
        <f>J37/Balance_Sheet!J74</f>
        <v>1</v>
      </c>
      <c r="K38" s="27">
        <f>K37/Balance_Sheet!K74</f>
        <v>0.99999999999999978</v>
      </c>
      <c r="L38" s="27">
        <f>L37/Balance_Sheet!L74</f>
        <v>1</v>
      </c>
    </row>
    <row r="39" spans="2:12" ht="18.75" x14ac:dyDescent="0.25">
      <c r="B39" s="8"/>
      <c r="C39" s="5"/>
      <c r="D39" s="4"/>
      <c r="E39" s="4"/>
      <c r="F39" s="4"/>
      <c r="G39" s="4"/>
      <c r="H39" s="24"/>
      <c r="I39" s="24"/>
      <c r="J39" s="24"/>
      <c r="K39" s="24"/>
      <c r="L39" s="24"/>
    </row>
    <row r="40" spans="2:12" ht="18.75" x14ac:dyDescent="0.25">
      <c r="B40" s="8" t="s">
        <v>26</v>
      </c>
      <c r="C40" s="5">
        <v>13077.1</v>
      </c>
      <c r="D40" s="5">
        <v>14986.2</v>
      </c>
      <c r="E40" s="5">
        <v>15408.6</v>
      </c>
      <c r="F40" s="5">
        <v>14764.5</v>
      </c>
      <c r="G40" s="5">
        <v>16683.7</v>
      </c>
      <c r="H40" s="28">
        <f>ROUND(H74*H41,2)</f>
        <v>20373.509999999998</v>
      </c>
      <c r="I40" s="28">
        <f t="shared" ref="I40:L40" si="30">ROUND(I74*I41,2)</f>
        <v>24766.92</v>
      </c>
      <c r="J40" s="28">
        <f t="shared" si="30"/>
        <v>30499.279999999999</v>
      </c>
      <c r="K40" s="28">
        <f t="shared" si="30"/>
        <v>37289.32</v>
      </c>
      <c r="L40" s="28">
        <f t="shared" si="30"/>
        <v>45536.88</v>
      </c>
    </row>
    <row r="41" spans="2:12" x14ac:dyDescent="0.25">
      <c r="B41" s="17" t="s">
        <v>220</v>
      </c>
      <c r="C41" s="18">
        <f>C40/Balance_Sheet!C74</f>
        <v>0.21705306696941326</v>
      </c>
      <c r="D41" s="18">
        <f>D40/Balance_Sheet!D74</f>
        <v>0.19691574392974795</v>
      </c>
      <c r="E41" s="18">
        <f>E40/Balance_Sheet!E74</f>
        <v>0.17018334034267243</v>
      </c>
      <c r="F41" s="18">
        <f>F40/Balance_Sheet!F74</f>
        <v>0.13280781519694257</v>
      </c>
      <c r="G41" s="18">
        <f>G40/Balance_Sheet!G74</f>
        <v>0.12159702036090876</v>
      </c>
      <c r="H41" s="25">
        <f>G41</f>
        <v>0.12159702036090876</v>
      </c>
      <c r="I41" s="25">
        <f t="shared" ref="I41:L41" si="31">H41</f>
        <v>0.12159702036090876</v>
      </c>
      <c r="J41" s="25">
        <f t="shared" si="31"/>
        <v>0.12159702036090876</v>
      </c>
      <c r="K41" s="25">
        <f t="shared" si="31"/>
        <v>0.12159702036090876</v>
      </c>
      <c r="L41" s="25">
        <f t="shared" si="31"/>
        <v>0.12159702036090876</v>
      </c>
    </row>
    <row r="42" spans="2:12" ht="18.75" x14ac:dyDescent="0.25">
      <c r="B42" s="8" t="s">
        <v>27</v>
      </c>
      <c r="C42" s="4">
        <v>311.7</v>
      </c>
      <c r="D42" s="4">
        <v>451.1</v>
      </c>
      <c r="E42" s="4">
        <v>335.8</v>
      </c>
      <c r="F42" s="4">
        <v>224.2</v>
      </c>
      <c r="G42" s="4">
        <v>0</v>
      </c>
      <c r="H42" s="24">
        <f>ROUND(H74*H43,2)</f>
        <v>0</v>
      </c>
      <c r="I42" s="24">
        <f t="shared" ref="I42:L42" si="32">ROUND(I74*I43,2)</f>
        <v>0</v>
      </c>
      <c r="J42" s="24">
        <f t="shared" si="32"/>
        <v>0</v>
      </c>
      <c r="K42" s="24">
        <f t="shared" si="32"/>
        <v>0</v>
      </c>
      <c r="L42" s="24">
        <f t="shared" si="32"/>
        <v>0</v>
      </c>
    </row>
    <row r="43" spans="2:12" x14ac:dyDescent="0.25">
      <c r="B43" s="17" t="s">
        <v>221</v>
      </c>
      <c r="C43" s="18">
        <f>C42/Balance_Sheet!C74</f>
        <v>5.1735813731153017E-3</v>
      </c>
      <c r="D43" s="18">
        <f>D42/Balance_Sheet!D74</f>
        <v>5.9273659824845056E-3</v>
      </c>
      <c r="E43" s="18">
        <f>E42/Balance_Sheet!E74</f>
        <v>3.7088097352822066E-3</v>
      </c>
      <c r="F43" s="18">
        <f>F42/Balance_Sheet!F74</f>
        <v>2.0166962760103306E-3</v>
      </c>
      <c r="G43" s="18">
        <f>G42/Balance_Sheet!G74</f>
        <v>0</v>
      </c>
      <c r="H43" s="25">
        <f>G43</f>
        <v>0</v>
      </c>
      <c r="I43" s="25">
        <f t="shared" ref="I43:L43" si="33">H43</f>
        <v>0</v>
      </c>
      <c r="J43" s="25">
        <f t="shared" si="33"/>
        <v>0</v>
      </c>
      <c r="K43" s="25">
        <f t="shared" si="33"/>
        <v>0</v>
      </c>
      <c r="L43" s="25">
        <f t="shared" si="33"/>
        <v>0</v>
      </c>
    </row>
    <row r="44" spans="2:12" ht="18.75" x14ac:dyDescent="0.25">
      <c r="B44" s="8" t="s">
        <v>125</v>
      </c>
      <c r="C44" s="4"/>
      <c r="D44" s="5">
        <f>Income_Statement!D31</f>
        <v>3020.8</v>
      </c>
      <c r="E44" s="5">
        <f>Income_Statement!E31+D44</f>
        <v>6549.2000000000007</v>
      </c>
      <c r="F44" s="5">
        <f>Income_Statement!F31+E44</f>
        <v>9583.3000000000011</v>
      </c>
      <c r="G44" s="5">
        <f>Income_Statement!G31+F44</f>
        <v>12372.300000000001</v>
      </c>
      <c r="H44" s="28">
        <f>Income_Statement!H31+G44</f>
        <v>16559.049750482576</v>
      </c>
      <c r="I44" s="28">
        <f>Income_Statement!I31+H44</f>
        <v>21648.643842527683</v>
      </c>
      <c r="J44" s="28">
        <f>Income_Statement!J31+I44</f>
        <v>27916.236070371495</v>
      </c>
      <c r="K44" s="28">
        <f>Income_Statement!K31+J44</f>
        <v>35579.17933373971</v>
      </c>
      <c r="L44" s="28">
        <f>Income_Statement!L31+K44</f>
        <v>44936.993523722442</v>
      </c>
    </row>
    <row r="45" spans="2:12" x14ac:dyDescent="0.25">
      <c r="B45" s="17" t="s">
        <v>222</v>
      </c>
      <c r="C45" s="18">
        <f>C44/Balance_Sheet!C74</f>
        <v>0</v>
      </c>
      <c r="D45" s="18">
        <f>D44/Balance_Sheet!D74</f>
        <v>3.9692722588980704E-2</v>
      </c>
      <c r="E45" s="18">
        <f>E44/Balance_Sheet!E74</f>
        <v>7.2333939006284181E-2</v>
      </c>
      <c r="F45" s="18">
        <f>F44/Balance_Sheet!F74</f>
        <v>8.6202521953121336E-2</v>
      </c>
      <c r="G45" s="18">
        <f>G44/Balance_Sheet!G74</f>
        <v>9.01739311430481E-2</v>
      </c>
      <c r="H45" s="25">
        <f>H44/Balance_Sheet!H74</f>
        <v>9.883081845184695E-2</v>
      </c>
      <c r="I45" s="25">
        <f>I44/Balance_Sheet!I74</f>
        <v>0.10628735161577151</v>
      </c>
      <c r="J45" s="25">
        <f>J44/Balance_Sheet!J74</f>
        <v>0.11129871322371171</v>
      </c>
      <c r="K45" s="25">
        <f>K44/Balance_Sheet!K74</f>
        <v>0.11602040609406329</v>
      </c>
      <c r="L45" s="25">
        <f>L44/Balance_Sheet!L74</f>
        <v>0.11999514441902599</v>
      </c>
    </row>
    <row r="46" spans="2:12" ht="18.75" x14ac:dyDescent="0.25">
      <c r="B46" s="9" t="s">
        <v>126</v>
      </c>
      <c r="C46" s="7">
        <f>C40+C42-C44</f>
        <v>13388.800000000001</v>
      </c>
      <c r="D46" s="7">
        <f t="shared" ref="D46:L46" si="34">D40+D42-D44</f>
        <v>12416.5</v>
      </c>
      <c r="E46" s="7">
        <f t="shared" si="34"/>
        <v>9195.1999999999989</v>
      </c>
      <c r="F46" s="7">
        <f t="shared" si="34"/>
        <v>5405.4</v>
      </c>
      <c r="G46" s="7">
        <f t="shared" si="34"/>
        <v>4311.3999999999996</v>
      </c>
      <c r="H46" s="29">
        <f t="shared" si="34"/>
        <v>3814.4602495174222</v>
      </c>
      <c r="I46" s="29">
        <f t="shared" si="34"/>
        <v>3118.2761574723154</v>
      </c>
      <c r="J46" s="29">
        <f t="shared" si="34"/>
        <v>2583.043929628504</v>
      </c>
      <c r="K46" s="29">
        <f t="shared" si="34"/>
        <v>1710.1406662602894</v>
      </c>
      <c r="L46" s="29">
        <f t="shared" si="34"/>
        <v>599.88647627755563</v>
      </c>
    </row>
    <row r="47" spans="2:12" x14ac:dyDescent="0.25">
      <c r="B47" s="19" t="s">
        <v>223</v>
      </c>
      <c r="C47" s="20">
        <f>C46/Balance_Sheet!C74</f>
        <v>0.22222664834252859</v>
      </c>
      <c r="D47" s="20">
        <f>D46/Balance_Sheet!D74</f>
        <v>0.16315038732325174</v>
      </c>
      <c r="E47" s="20">
        <f>E46/Balance_Sheet!E74</f>
        <v>0.10155821107167046</v>
      </c>
      <c r="F47" s="20">
        <f>F46/Balance_Sheet!F74</f>
        <v>4.8621989519831578E-2</v>
      </c>
      <c r="G47" s="20">
        <f>G46/Balance_Sheet!G74</f>
        <v>3.1423089217860668E-2</v>
      </c>
      <c r="H47" s="27">
        <f>H46/Balance_Sheet!H74</f>
        <v>2.2766175239062662E-2</v>
      </c>
      <c r="I47" s="27">
        <f>I46/Balance_Sheet!I74</f>
        <v>1.5309657121951105E-2</v>
      </c>
      <c r="J47" s="27">
        <f>J46/Balance_Sheet!J74</f>
        <v>1.0298288954258241E-2</v>
      </c>
      <c r="K47" s="27">
        <f>K46/Balance_Sheet!K74</f>
        <v>5.5766102055461843E-3</v>
      </c>
      <c r="L47" s="27">
        <f>L46/Balance_Sheet!L74</f>
        <v>1.6018753973370626E-3</v>
      </c>
    </row>
    <row r="48" spans="2:12" ht="18.75" x14ac:dyDescent="0.25">
      <c r="B48" s="8" t="s">
        <v>30</v>
      </c>
      <c r="C48" s="5">
        <v>34905.800000000003</v>
      </c>
      <c r="D48" s="5">
        <v>32458.1</v>
      </c>
      <c r="E48" s="5">
        <v>36269.199999999997</v>
      </c>
      <c r="F48" s="5">
        <v>34529.1</v>
      </c>
      <c r="G48" s="5">
        <v>37934.6</v>
      </c>
      <c r="H48" s="28">
        <f>H74*H49</f>
        <v>67117.358801966722</v>
      </c>
      <c r="I48" s="28">
        <f t="shared" ref="I48:L48" si="35">I74*I49</f>
        <v>81590.754384607906</v>
      </c>
      <c r="J48" s="28">
        <f t="shared" si="35"/>
        <v>100475.1255962171</v>
      </c>
      <c r="K48" s="28">
        <f t="shared" si="35"/>
        <v>122843.84009331888</v>
      </c>
      <c r="L48" s="28">
        <f t="shared" si="35"/>
        <v>150014.13389368902</v>
      </c>
    </row>
    <row r="49" spans="2:12" x14ac:dyDescent="0.25">
      <c r="B49" s="17" t="s">
        <v>224</v>
      </c>
      <c r="C49" s="18">
        <f>C48/Balance_Sheet!C74</f>
        <v>0.57936476321362884</v>
      </c>
      <c r="D49" s="18">
        <f>D48/Balance_Sheet!D74</f>
        <v>0.42649310085586417</v>
      </c>
      <c r="E49" s="18">
        <f>E48/Balance_Sheet!E74</f>
        <v>0.40058237656610302</v>
      </c>
      <c r="F49" s="18">
        <f>F48/Balance_Sheet!F74</f>
        <v>0.31059191518282026</v>
      </c>
      <c r="G49" s="18">
        <f>G48/Balance_Sheet!G74</f>
        <v>0.27648149562644553</v>
      </c>
      <c r="H49" s="25">
        <f>MEDIAN(C49:G49)</f>
        <v>0.40058237656610302</v>
      </c>
      <c r="I49" s="25">
        <f t="shared" ref="I49:L49" si="36">H49</f>
        <v>0.40058237656610302</v>
      </c>
      <c r="J49" s="25">
        <f t="shared" si="36"/>
        <v>0.40058237656610302</v>
      </c>
      <c r="K49" s="25">
        <f t="shared" si="36"/>
        <v>0.40058237656610302</v>
      </c>
      <c r="L49" s="25">
        <f t="shared" si="36"/>
        <v>0.40058237656610302</v>
      </c>
    </row>
    <row r="50" spans="2:12" ht="18.75" x14ac:dyDescent="0.25">
      <c r="B50" s="8" t="s">
        <v>36</v>
      </c>
      <c r="C50" s="5">
        <v>1217.3</v>
      </c>
      <c r="D50" s="5">
        <v>5045.5</v>
      </c>
      <c r="E50" s="5">
        <v>1218.8</v>
      </c>
      <c r="F50" s="5">
        <v>8415.7000000000007</v>
      </c>
      <c r="G50" s="5">
        <v>4100.1000000000004</v>
      </c>
      <c r="H50" s="28">
        <f>H74*H51</f>
        <v>5006.8897590148772</v>
      </c>
      <c r="I50" s="28">
        <f t="shared" ref="I50:L50" si="37">I74*I51</f>
        <v>6086.5910079080895</v>
      </c>
      <c r="J50" s="28">
        <f t="shared" si="37"/>
        <v>7495.3467532559043</v>
      </c>
      <c r="K50" s="28">
        <f t="shared" si="37"/>
        <v>9164.0311225011483</v>
      </c>
      <c r="L50" s="28">
        <f t="shared" si="37"/>
        <v>11190.908642814304</v>
      </c>
    </row>
    <row r="51" spans="2:12" x14ac:dyDescent="0.25">
      <c r="B51" s="17" t="s">
        <v>225</v>
      </c>
      <c r="C51" s="18">
        <f>C50/Balance_Sheet!C74</f>
        <v>2.0204685933568358E-2</v>
      </c>
      <c r="D51" s="18">
        <f>D50/Balance_Sheet!D74</f>
        <v>6.6296885534527977E-2</v>
      </c>
      <c r="E51" s="18">
        <f>E50/Balance_Sheet!E74</f>
        <v>1.3461278455515048E-2</v>
      </c>
      <c r="F51" s="18">
        <f>F50/Balance_Sheet!F74</f>
        <v>7.5699869982248619E-2</v>
      </c>
      <c r="G51" s="18">
        <f>G50/Balance_Sheet!G74</f>
        <v>2.9883056107563793E-2</v>
      </c>
      <c r="H51" s="25">
        <f>MEDIAN(C51:G51)</f>
        <v>2.9883056107563793E-2</v>
      </c>
      <c r="I51" s="25">
        <f t="shared" ref="I51:L51" si="38">H51</f>
        <v>2.9883056107563793E-2</v>
      </c>
      <c r="J51" s="25">
        <f t="shared" si="38"/>
        <v>2.9883056107563793E-2</v>
      </c>
      <c r="K51" s="25">
        <f t="shared" si="38"/>
        <v>2.9883056107563793E-2</v>
      </c>
      <c r="L51" s="25">
        <f t="shared" si="38"/>
        <v>2.9883056107563793E-2</v>
      </c>
    </row>
    <row r="52" spans="2:12" ht="18.75" x14ac:dyDescent="0.25">
      <c r="B52" s="8" t="s">
        <v>28</v>
      </c>
      <c r="C52" s="4">
        <v>2132.1</v>
      </c>
      <c r="D52" s="5">
        <v>1606.9</v>
      </c>
      <c r="E52" s="5">
        <v>1344.3</v>
      </c>
      <c r="F52" s="5">
        <v>1199.3</v>
      </c>
      <c r="G52" s="5">
        <v>0</v>
      </c>
      <c r="H52" s="28">
        <f>H74*H53</f>
        <v>2487.6717831516512</v>
      </c>
      <c r="I52" s="28">
        <f t="shared" ref="I52:L52" si="39">I74*I53</f>
        <v>3024.1210481408029</v>
      </c>
      <c r="J52" s="28">
        <f t="shared" si="39"/>
        <v>3724.0609481045799</v>
      </c>
      <c r="K52" s="28">
        <f t="shared" si="39"/>
        <v>4553.146312503407</v>
      </c>
      <c r="L52" s="28">
        <f t="shared" si="39"/>
        <v>5560.1998443110451</v>
      </c>
    </row>
    <row r="53" spans="2:12" x14ac:dyDescent="0.25">
      <c r="B53" s="17" t="s">
        <v>226</v>
      </c>
      <c r="C53" s="18">
        <f>C52/Balance_Sheet!C74</f>
        <v>3.5388491644591388E-2</v>
      </c>
      <c r="D53" s="18">
        <f>D52/Balance_Sheet!D74</f>
        <v>2.1114352465649196E-2</v>
      </c>
      <c r="E53" s="18">
        <f>E52/Balance_Sheet!E74</f>
        <v>1.4847388109409975E-2</v>
      </c>
      <c r="F53" s="18">
        <f>F52/Balance_Sheet!F74</f>
        <v>1.0787795913555706E-2</v>
      </c>
      <c r="G53" s="18">
        <f>G52/Balance_Sheet!G74</f>
        <v>0</v>
      </c>
      <c r="H53" s="25">
        <f>MEDIAN(C53:G53)</f>
        <v>1.4847388109409975E-2</v>
      </c>
      <c r="I53" s="25">
        <f t="shared" ref="I53:L53" si="40">H53</f>
        <v>1.4847388109409975E-2</v>
      </c>
      <c r="J53" s="25">
        <f t="shared" si="40"/>
        <v>1.4847388109409975E-2</v>
      </c>
      <c r="K53" s="25">
        <f t="shared" si="40"/>
        <v>1.4847388109409975E-2</v>
      </c>
      <c r="L53" s="25">
        <f t="shared" si="40"/>
        <v>1.4847388109409975E-2</v>
      </c>
    </row>
    <row r="54" spans="2:12" ht="18.75" x14ac:dyDescent="0.25">
      <c r="B54" s="9" t="s">
        <v>127</v>
      </c>
      <c r="C54" s="7">
        <f>C46+C48+C50+C52</f>
        <v>51644.000000000007</v>
      </c>
      <c r="D54" s="7">
        <f t="shared" ref="D54:L54" si="41">D46+D48+D50+D52</f>
        <v>51527</v>
      </c>
      <c r="E54" s="7">
        <f t="shared" si="41"/>
        <v>48027.5</v>
      </c>
      <c r="F54" s="7">
        <f t="shared" si="41"/>
        <v>49549.5</v>
      </c>
      <c r="G54" s="7">
        <f t="shared" si="41"/>
        <v>46346.1</v>
      </c>
      <c r="H54" s="29">
        <f t="shared" si="41"/>
        <v>78426.380593650683</v>
      </c>
      <c r="I54" s="29">
        <f t="shared" si="41"/>
        <v>93819.742598129116</v>
      </c>
      <c r="J54" s="29">
        <f t="shared" si="41"/>
        <v>114277.57722720609</v>
      </c>
      <c r="K54" s="29">
        <f t="shared" si="41"/>
        <v>138271.15819458372</v>
      </c>
      <c r="L54" s="29">
        <f t="shared" si="41"/>
        <v>167365.12885709191</v>
      </c>
    </row>
    <row r="55" spans="2:12" x14ac:dyDescent="0.25">
      <c r="B55" s="19" t="s">
        <v>227</v>
      </c>
      <c r="C55" s="20">
        <f>C54/Balance_Sheet!C74</f>
        <v>0.85718458913431728</v>
      </c>
      <c r="D55" s="20">
        <f>D54/Balance_Sheet!D74</f>
        <v>0.67705472617929308</v>
      </c>
      <c r="E55" s="20">
        <f>E54/Balance_Sheet!E74</f>
        <v>0.53044925420269851</v>
      </c>
      <c r="F55" s="20">
        <f>F54/Balance_Sheet!F74</f>
        <v>0.44570157059845616</v>
      </c>
      <c r="G55" s="20">
        <f>G54/Balance_Sheet!G74</f>
        <v>0.33778764095186997</v>
      </c>
      <c r="H55" s="27">
        <f>H54/Balance_Sheet!H74</f>
        <v>0.46807899602213948</v>
      </c>
      <c r="I55" s="27">
        <f>I54/Balance_Sheet!I74</f>
        <v>0.46062247790502786</v>
      </c>
      <c r="J55" s="27">
        <f>J54/Balance_Sheet!J74</f>
        <v>0.45561110973733504</v>
      </c>
      <c r="K55" s="27">
        <f>K54/Balance_Sheet!K74</f>
        <v>0.45088943098862294</v>
      </c>
      <c r="L55" s="27">
        <f>L54/Balance_Sheet!L74</f>
        <v>0.44691469618041385</v>
      </c>
    </row>
    <row r="56" spans="2:12" ht="18.75" x14ac:dyDescent="0.25">
      <c r="B56" s="8" t="s">
        <v>31</v>
      </c>
      <c r="C56" s="4">
        <v>0</v>
      </c>
      <c r="D56" s="4">
        <v>0</v>
      </c>
      <c r="E56" s="4">
        <v>0</v>
      </c>
      <c r="F56" s="4">
        <v>0</v>
      </c>
      <c r="G56" s="4">
        <v>141.1</v>
      </c>
      <c r="H56" s="24">
        <f>H74*H57</f>
        <v>0</v>
      </c>
      <c r="I56" s="24">
        <f t="shared" ref="I56:L56" si="42">I74*I57</f>
        <v>0</v>
      </c>
      <c r="J56" s="24">
        <f t="shared" si="42"/>
        <v>0</v>
      </c>
      <c r="K56" s="24">
        <f t="shared" si="42"/>
        <v>0</v>
      </c>
      <c r="L56" s="24">
        <f t="shared" si="42"/>
        <v>0</v>
      </c>
    </row>
    <row r="57" spans="2:12" x14ac:dyDescent="0.25">
      <c r="B57" s="17" t="s">
        <v>228</v>
      </c>
      <c r="C57" s="18">
        <f>C56/Balance_Sheet!C74</f>
        <v>0</v>
      </c>
      <c r="D57" s="18">
        <f>D56/Balance_Sheet!D74</f>
        <v>0</v>
      </c>
      <c r="E57" s="18">
        <f>E56/Balance_Sheet!E74</f>
        <v>0</v>
      </c>
      <c r="F57" s="18">
        <f>F56/Balance_Sheet!F74</f>
        <v>0</v>
      </c>
      <c r="G57" s="18">
        <f>G56/Balance_Sheet!G74</f>
        <v>1.0283893604490744E-3</v>
      </c>
      <c r="H57" s="25">
        <f>MEDIAN(C57:G57)</f>
        <v>0</v>
      </c>
      <c r="I57" s="25">
        <f t="shared" ref="I57:L57" si="43">H57</f>
        <v>0</v>
      </c>
      <c r="J57" s="25">
        <f t="shared" si="43"/>
        <v>0</v>
      </c>
      <c r="K57" s="25">
        <f t="shared" si="43"/>
        <v>0</v>
      </c>
      <c r="L57" s="25">
        <f t="shared" si="43"/>
        <v>0</v>
      </c>
    </row>
    <row r="58" spans="2:12" ht="18.75" x14ac:dyDescent="0.25">
      <c r="B58" s="8" t="s">
        <v>32</v>
      </c>
      <c r="C58" s="4">
        <v>0.2</v>
      </c>
      <c r="D58" s="4">
        <v>0.2</v>
      </c>
      <c r="E58" s="4">
        <v>0.2</v>
      </c>
      <c r="F58" s="4">
        <v>0.2</v>
      </c>
      <c r="G58" s="4">
        <v>0.2</v>
      </c>
      <c r="H58" s="24">
        <f>ROUND(H74*H59,2)</f>
        <v>0.24</v>
      </c>
      <c r="I58" s="24">
        <f t="shared" ref="I58:L58" si="44">ROUND(I74*I59,2)</f>
        <v>0.3</v>
      </c>
      <c r="J58" s="24">
        <f t="shared" si="44"/>
        <v>0.37</v>
      </c>
      <c r="K58" s="24">
        <f t="shared" si="44"/>
        <v>0.45</v>
      </c>
      <c r="L58" s="24">
        <f t="shared" si="44"/>
        <v>0.55000000000000004</v>
      </c>
    </row>
    <row r="59" spans="2:12" x14ac:dyDescent="0.25">
      <c r="B59" s="17" t="s">
        <v>229</v>
      </c>
      <c r="C59" s="18">
        <f>C58/Balance_Sheet!C74</f>
        <v>3.3195902297820354E-6</v>
      </c>
      <c r="D59" s="18">
        <f>D58/Balance_Sheet!D74</f>
        <v>2.6279609764950149E-6</v>
      </c>
      <c r="E59" s="18">
        <f>E58/Balance_Sheet!E74</f>
        <v>2.2089396874819573E-6</v>
      </c>
      <c r="F59" s="18">
        <f>F58/Balance_Sheet!F74</f>
        <v>1.7990154112491799E-6</v>
      </c>
      <c r="G59" s="18">
        <f>G58/Balance_Sheet!G74</f>
        <v>1.4576745009908925E-6</v>
      </c>
      <c r="H59" s="25">
        <f>G59</f>
        <v>1.4576745009908925E-6</v>
      </c>
      <c r="I59" s="25">
        <f t="shared" ref="I59:L59" si="45">H59</f>
        <v>1.4576745009908925E-6</v>
      </c>
      <c r="J59" s="25">
        <f t="shared" si="45"/>
        <v>1.4576745009908925E-6</v>
      </c>
      <c r="K59" s="25">
        <f t="shared" si="45"/>
        <v>1.4576745009908925E-6</v>
      </c>
      <c r="L59" s="25">
        <f t="shared" si="45"/>
        <v>1.4576745009908925E-6</v>
      </c>
    </row>
    <row r="60" spans="2:12" ht="18.75" x14ac:dyDescent="0.25">
      <c r="B60" s="8" t="s">
        <v>33</v>
      </c>
      <c r="C60" s="5">
        <v>1891.5</v>
      </c>
      <c r="D60" s="5">
        <v>2093.5</v>
      </c>
      <c r="E60" s="5">
        <v>1758.1</v>
      </c>
      <c r="F60" s="5">
        <v>1723.6</v>
      </c>
      <c r="G60" s="5">
        <v>3102.5</v>
      </c>
      <c r="H60" s="28"/>
      <c r="I60" s="28"/>
      <c r="J60" s="28"/>
      <c r="K60" s="28"/>
      <c r="L60" s="28"/>
    </row>
    <row r="61" spans="2:12" x14ac:dyDescent="0.25">
      <c r="B61" s="17" t="s">
        <v>230</v>
      </c>
      <c r="C61" s="18">
        <f>C60/Balance_Sheet!C74</f>
        <v>3.1395024598163596E-2</v>
      </c>
      <c r="D61" s="18">
        <f>D60/Balance_Sheet!D74</f>
        <v>2.7508181521461565E-2</v>
      </c>
      <c r="E61" s="18">
        <f>E60/Balance_Sheet!E74</f>
        <v>1.9417684322810144E-2</v>
      </c>
      <c r="F61" s="18">
        <f>F60/Balance_Sheet!F74</f>
        <v>1.550391481414543E-2</v>
      </c>
      <c r="G61" s="18">
        <f>G60/Balance_Sheet!G74</f>
        <v>2.2612175696621217E-2</v>
      </c>
      <c r="H61" s="25"/>
      <c r="I61" s="25"/>
      <c r="J61" s="25"/>
      <c r="K61" s="25"/>
      <c r="L61" s="25"/>
    </row>
    <row r="62" spans="2:12" ht="18.75" x14ac:dyDescent="0.25">
      <c r="B62" s="8" t="s">
        <v>40</v>
      </c>
      <c r="C62" s="4">
        <v>3</v>
      </c>
      <c r="D62" s="4">
        <v>16.100000000000001</v>
      </c>
      <c r="E62" s="4">
        <v>17</v>
      </c>
      <c r="F62" s="4">
        <v>23</v>
      </c>
      <c r="G62" s="4">
        <v>30.5</v>
      </c>
      <c r="H62" s="24">
        <f>ROUND(H74*H63,2)</f>
        <v>37.25</v>
      </c>
      <c r="I62" s="24">
        <f t="shared" ref="I62:L62" si="46">ROUND(I74*I63,2)</f>
        <v>45.28</v>
      </c>
      <c r="J62" s="24">
        <f t="shared" si="46"/>
        <v>55.76</v>
      </c>
      <c r="K62" s="24">
        <f t="shared" si="46"/>
        <v>68.17</v>
      </c>
      <c r="L62" s="24">
        <f t="shared" si="46"/>
        <v>83.25</v>
      </c>
    </row>
    <row r="63" spans="2:12" x14ac:dyDescent="0.25">
      <c r="B63" s="17" t="s">
        <v>231</v>
      </c>
      <c r="C63" s="18">
        <f>C62/Balance_Sheet!C74</f>
        <v>4.9793853446730525E-5</v>
      </c>
      <c r="D63" s="18">
        <f>D62/Balance_Sheet!D74</f>
        <v>2.1155085860784868E-4</v>
      </c>
      <c r="E63" s="18">
        <f>E62/Balance_Sheet!E74</f>
        <v>1.8775987343596636E-4</v>
      </c>
      <c r="F63" s="18">
        <f>F62/Balance_Sheet!F74</f>
        <v>2.0688677229365569E-4</v>
      </c>
      <c r="G63" s="18">
        <f>G62/Balance_Sheet!G74</f>
        <v>2.2229536140111109E-4</v>
      </c>
      <c r="H63" s="25">
        <f>G63</f>
        <v>2.2229536140111109E-4</v>
      </c>
      <c r="I63" s="25">
        <f t="shared" ref="I63:L63" si="47">H63</f>
        <v>2.2229536140111109E-4</v>
      </c>
      <c r="J63" s="25">
        <f t="shared" si="47"/>
        <v>2.2229536140111109E-4</v>
      </c>
      <c r="K63" s="25">
        <f t="shared" si="47"/>
        <v>2.2229536140111109E-4</v>
      </c>
      <c r="L63" s="25">
        <f t="shared" si="47"/>
        <v>2.2229536140111109E-4</v>
      </c>
    </row>
    <row r="64" spans="2:12" ht="18.75" x14ac:dyDescent="0.25">
      <c r="B64" s="8" t="s">
        <v>41</v>
      </c>
      <c r="C64" s="5">
        <v>2010.1</v>
      </c>
      <c r="D64" s="5">
        <v>1487.9</v>
      </c>
      <c r="E64" s="5">
        <v>1984.2</v>
      </c>
      <c r="F64" s="5">
        <v>2729.6</v>
      </c>
      <c r="G64" s="5">
        <v>4053.8</v>
      </c>
      <c r="H64" s="28">
        <f>H74*H65</f>
        <v>4113.8354529308563</v>
      </c>
      <c r="I64" s="28">
        <f t="shared" ref="I64:L64" si="48">I74*I65</f>
        <v>5000.9556992421194</v>
      </c>
      <c r="J64" s="28">
        <f t="shared" si="48"/>
        <v>6158.4386095253567</v>
      </c>
      <c r="K64" s="28">
        <f t="shared" si="48"/>
        <v>7529.4879532008008</v>
      </c>
      <c r="L64" s="28">
        <f t="shared" si="48"/>
        <v>9194.8412969207984</v>
      </c>
    </row>
    <row r="65" spans="2:12" x14ac:dyDescent="0.25">
      <c r="B65" s="17" t="s">
        <v>232</v>
      </c>
      <c r="C65" s="18">
        <f>C64/Balance_Sheet!C74</f>
        <v>3.336354160442434E-2</v>
      </c>
      <c r="D65" s="18">
        <f>D64/Balance_Sheet!D74</f>
        <v>1.9550715684634661E-2</v>
      </c>
      <c r="E65" s="18">
        <f>E64/Balance_Sheet!E74</f>
        <v>2.1914890639508501E-2</v>
      </c>
      <c r="F65" s="18">
        <f>F64/Balance_Sheet!F74</f>
        <v>2.4552962332728807E-2</v>
      </c>
      <c r="G65" s="18">
        <f>G64/Balance_Sheet!G74</f>
        <v>2.95456044605844E-2</v>
      </c>
      <c r="H65" s="25">
        <f>MEDIAN(C65:G65)</f>
        <v>2.4552962332728807E-2</v>
      </c>
      <c r="I65" s="25">
        <f t="shared" ref="I65:L65" si="49">H65</f>
        <v>2.4552962332728807E-2</v>
      </c>
      <c r="J65" s="25">
        <f t="shared" si="49"/>
        <v>2.4552962332728807E-2</v>
      </c>
      <c r="K65" s="25">
        <f t="shared" si="49"/>
        <v>2.4552962332728807E-2</v>
      </c>
      <c r="L65" s="25">
        <f t="shared" si="49"/>
        <v>2.4552962332728807E-2</v>
      </c>
    </row>
    <row r="66" spans="2:12" ht="18.75" x14ac:dyDescent="0.25">
      <c r="B66" s="8" t="s">
        <v>37</v>
      </c>
      <c r="C66" s="5">
        <v>3160.2</v>
      </c>
      <c r="D66" s="5">
        <v>3322.6</v>
      </c>
      <c r="E66" s="5">
        <v>3213.9</v>
      </c>
      <c r="F66" s="5">
        <v>3049</v>
      </c>
      <c r="G66" s="5">
        <v>3532.3</v>
      </c>
      <c r="H66" s="28">
        <f>H74*H67</f>
        <v>5947.4286571978664</v>
      </c>
      <c r="I66" s="28">
        <f t="shared" ref="I66:L66" si="50">I74*I67</f>
        <v>7229.9506335042233</v>
      </c>
      <c r="J66" s="28">
        <f t="shared" si="50"/>
        <v>8903.3396422772512</v>
      </c>
      <c r="K66" s="28">
        <f t="shared" si="50"/>
        <v>10885.484589566839</v>
      </c>
      <c r="L66" s="28">
        <f t="shared" si="50"/>
        <v>13293.108889110516</v>
      </c>
    </row>
    <row r="67" spans="2:12" x14ac:dyDescent="0.25">
      <c r="B67" s="17" t="s">
        <v>233</v>
      </c>
      <c r="C67" s="18">
        <f>C66/Balance_Sheet!C74</f>
        <v>5.2452845220785936E-2</v>
      </c>
      <c r="D67" s="18">
        <f>D66/Balance_Sheet!D74</f>
        <v>4.3658315702511677E-2</v>
      </c>
      <c r="E67" s="18">
        <f>E66/Balance_Sheet!E74</f>
        <v>3.5496556307991312E-2</v>
      </c>
      <c r="F67" s="18">
        <f>F66/Balance_Sheet!F74</f>
        <v>2.7425989944493748E-2</v>
      </c>
      <c r="G67" s="18">
        <f>G66/Balance_Sheet!G74</f>
        <v>2.5744718199250647E-2</v>
      </c>
      <c r="H67" s="25">
        <f>MEDIAN(C67:G67)</f>
        <v>3.5496556307991312E-2</v>
      </c>
      <c r="I67" s="25">
        <f t="shared" ref="I67:L67" si="51">H67</f>
        <v>3.5496556307991312E-2</v>
      </c>
      <c r="J67" s="25">
        <f t="shared" si="51"/>
        <v>3.5496556307991312E-2</v>
      </c>
      <c r="K67" s="25">
        <f t="shared" si="51"/>
        <v>3.5496556307991312E-2</v>
      </c>
      <c r="L67" s="25">
        <f t="shared" si="51"/>
        <v>3.5496556307991312E-2</v>
      </c>
    </row>
    <row r="68" spans="2:12" ht="18.75" x14ac:dyDescent="0.25">
      <c r="B68" s="8" t="s">
        <v>38</v>
      </c>
      <c r="C68" s="5">
        <v>1465.4</v>
      </c>
      <c r="D68" s="5">
        <v>2312.8000000000002</v>
      </c>
      <c r="E68" s="5">
        <v>1977.7</v>
      </c>
      <c r="F68" s="5">
        <v>1279.9000000000001</v>
      </c>
      <c r="G68" s="5">
        <v>2034.5</v>
      </c>
      <c r="H68" s="28">
        <f>H69*H74</f>
        <v>1806.3003864593848</v>
      </c>
      <c r="I68" s="28">
        <f t="shared" ref="I68:L68" si="52">I69*I74</f>
        <v>2195.8166085062253</v>
      </c>
      <c r="J68" s="28">
        <f t="shared" si="52"/>
        <v>2704.0435057865247</v>
      </c>
      <c r="K68" s="28">
        <f t="shared" si="52"/>
        <v>3306.0430236747438</v>
      </c>
      <c r="L68" s="28">
        <f t="shared" si="52"/>
        <v>4037.2653641817647</v>
      </c>
    </row>
    <row r="69" spans="2:12" x14ac:dyDescent="0.25">
      <c r="B69" s="17" t="s">
        <v>234</v>
      </c>
      <c r="C69" s="18">
        <f>C68/Balance_Sheet!C74</f>
        <v>2.4322637613612974E-2</v>
      </c>
      <c r="D69" s="18">
        <f>D68/Balance_Sheet!D74</f>
        <v>3.038974073218835E-2</v>
      </c>
      <c r="E69" s="18">
        <f>E68/Balance_Sheet!E74</f>
        <v>2.1843100099665336E-2</v>
      </c>
      <c r="F69" s="18">
        <f>F68/Balance_Sheet!F74</f>
        <v>1.1512799124289127E-2</v>
      </c>
      <c r="G69" s="18">
        <f>G68/Balance_Sheet!G74</f>
        <v>1.4828193861329853E-2</v>
      </c>
      <c r="H69" s="25">
        <f>GROWTH(C69:G69,C4:G4,H4)</f>
        <v>1.0780699874306854E-2</v>
      </c>
      <c r="I69" s="25">
        <f t="shared" ref="I69:L69" si="53">H69</f>
        <v>1.0780699874306854E-2</v>
      </c>
      <c r="J69" s="25">
        <f t="shared" si="53"/>
        <v>1.0780699874306854E-2</v>
      </c>
      <c r="K69" s="25">
        <f t="shared" si="53"/>
        <v>1.0780699874306854E-2</v>
      </c>
      <c r="L69" s="25">
        <f t="shared" si="53"/>
        <v>1.0780699874306854E-2</v>
      </c>
    </row>
    <row r="70" spans="2:12" ht="18.75" x14ac:dyDescent="0.25">
      <c r="B70" s="8" t="s">
        <v>39</v>
      </c>
      <c r="C70" s="5">
        <v>74</v>
      </c>
      <c r="D70" s="5">
        <f>CashFlow_Statement!D48+C70</f>
        <v>15344.530848341439</v>
      </c>
      <c r="E70" s="5">
        <f>CashFlow_Statement!E48+D70</f>
        <v>33562.577350109794</v>
      </c>
      <c r="F70" s="5">
        <f>CashFlow_Statement!F48+E70</f>
        <v>52817.121457374436</v>
      </c>
      <c r="G70" s="5">
        <f>CashFlow_Statement!G48+F70</f>
        <v>77963.842277233198</v>
      </c>
      <c r="H70" s="28">
        <f>CashFlow_Statement!H48+G70</f>
        <v>77472.112443793041</v>
      </c>
      <c r="I70" s="28">
        <f>CashFlow_Statement!I48+H70</f>
        <v>86190.849736204924</v>
      </c>
      <c r="J70" s="28">
        <f>CashFlow_Statement!J48+I70</f>
        <v>90983.702544871689</v>
      </c>
      <c r="K70" s="28">
        <f>CashFlow_Statement!K48+J70</f>
        <v>92187.659954102928</v>
      </c>
      <c r="L70" s="28">
        <f>CashFlow_Statement!L48+K70</f>
        <v>86659.141483676343</v>
      </c>
    </row>
    <row r="71" spans="2:12" x14ac:dyDescent="0.25">
      <c r="B71" s="17" t="s">
        <v>235</v>
      </c>
      <c r="C71" s="18">
        <f>C70/Balance_Sheet!C74</f>
        <v>1.2282483850193531E-3</v>
      </c>
      <c r="D71" s="18">
        <f>D70/Balance_Sheet!D74</f>
        <v>0.20162414136032622</v>
      </c>
      <c r="E71" s="18">
        <f>E70/Balance_Sheet!E74</f>
        <v>0.37068854561420272</v>
      </c>
      <c r="F71" s="18">
        <f>F70/Balance_Sheet!F74</f>
        <v>0.47509407739818177</v>
      </c>
      <c r="G71" s="18">
        <f>G70/Balance_Sheet!G74</f>
        <v>0.56822952443399266</v>
      </c>
      <c r="H71" s="25">
        <f>H70/Balance_Sheet!H74</f>
        <v>0.46238355433351169</v>
      </c>
      <c r="I71" s="25">
        <f>I70/Balance_Sheet!I74</f>
        <v>0.42316725327513666</v>
      </c>
      <c r="J71" s="25">
        <f>J70/Balance_Sheet!J74</f>
        <v>0.36274120164503992</v>
      </c>
      <c r="K71" s="25">
        <f>K70/Balance_Sheet!K74</f>
        <v>0.3006154145493109</v>
      </c>
      <c r="L71" s="25">
        <f>L70/Balance_Sheet!L74</f>
        <v>0.23140569455482243</v>
      </c>
    </row>
    <row r="72" spans="2:12" ht="18.75" x14ac:dyDescent="0.25">
      <c r="B72" s="9" t="s">
        <v>42</v>
      </c>
      <c r="C72" s="7">
        <f>C56+C58+C60+C62+C64+C66+C68+C70</f>
        <v>8604.4</v>
      </c>
      <c r="D72" s="7">
        <f t="shared" ref="D72:L72" si="54">D56+D58+D60+D62+D64+D66+D68+D70</f>
        <v>24577.63084834144</v>
      </c>
      <c r="E72" s="7">
        <f t="shared" si="54"/>
        <v>42513.677350109792</v>
      </c>
      <c r="F72" s="7">
        <f t="shared" si="54"/>
        <v>61622.421457374439</v>
      </c>
      <c r="G72" s="7">
        <f t="shared" si="54"/>
        <v>90858.742277233192</v>
      </c>
      <c r="H72" s="29">
        <f t="shared" si="54"/>
        <v>89377.166940381154</v>
      </c>
      <c r="I72" s="29">
        <f t="shared" si="54"/>
        <v>100663.15267745749</v>
      </c>
      <c r="J72" s="29">
        <f t="shared" si="54"/>
        <v>108805.65430246083</v>
      </c>
      <c r="K72" s="29">
        <f t="shared" si="54"/>
        <v>113977.29552054532</v>
      </c>
      <c r="L72" s="29">
        <f t="shared" si="54"/>
        <v>113268.15703388942</v>
      </c>
    </row>
    <row r="73" spans="2:12" x14ac:dyDescent="0.25">
      <c r="B73" s="19" t="s">
        <v>236</v>
      </c>
      <c r="C73" s="20">
        <f>C72/Balance_Sheet!C74</f>
        <v>0.14281541086568272</v>
      </c>
      <c r="D73" s="20">
        <f>D72/Balance_Sheet!D74</f>
        <v>0.32294527382070681</v>
      </c>
      <c r="E73" s="20">
        <f>E72/Balance_Sheet!E74</f>
        <v>0.46955074579730149</v>
      </c>
      <c r="F73" s="20">
        <f>F72/Balance_Sheet!F74</f>
        <v>0.55429842940154384</v>
      </c>
      <c r="G73" s="20">
        <f>G72/Balance_Sheet!G74</f>
        <v>0.66221235904812992</v>
      </c>
      <c r="H73" s="27">
        <f>H72/Balance_Sheet!H74</f>
        <v>0.53343752767985997</v>
      </c>
      <c r="I73" s="27">
        <f>I72/Balance_Sheet!I74</f>
        <v>0.49422125382112531</v>
      </c>
      <c r="J73" s="27">
        <f>J72/Balance_Sheet!J74</f>
        <v>0.43379520379470515</v>
      </c>
      <c r="K73" s="27">
        <f>K72/Balance_Sheet!K74</f>
        <v>0.37166939652418318</v>
      </c>
      <c r="L73" s="27">
        <f>L72/Balance_Sheet!L74</f>
        <v>0.30245968400586021</v>
      </c>
    </row>
    <row r="74" spans="2:12" ht="18.75" x14ac:dyDescent="0.25">
      <c r="B74" s="9" t="s">
        <v>43</v>
      </c>
      <c r="C74" s="7">
        <f>C54+C72</f>
        <v>60248.400000000009</v>
      </c>
      <c r="D74" s="7">
        <f t="shared" ref="D74:G74" si="55">D54+D72</f>
        <v>76104.630848341447</v>
      </c>
      <c r="E74" s="7">
        <f t="shared" si="55"/>
        <v>90541.177350109792</v>
      </c>
      <c r="F74" s="7">
        <f t="shared" si="55"/>
        <v>111171.92145737444</v>
      </c>
      <c r="G74" s="7">
        <f t="shared" si="55"/>
        <v>137204.8422772332</v>
      </c>
      <c r="H74" s="29">
        <f>Income_Statement!H5/H80</f>
        <v>167549.45481454849</v>
      </c>
      <c r="I74" s="29">
        <f>Income_Statement!I5/I80</f>
        <v>203680.33932003003</v>
      </c>
      <c r="J74" s="29">
        <f>Income_Statement!J5/J80</f>
        <v>250822.63093428165</v>
      </c>
      <c r="K74" s="29">
        <f>Income_Statement!K5/K80</f>
        <v>306663.11670116003</v>
      </c>
      <c r="L74" s="29">
        <f>Income_Statement!L5/L80</f>
        <v>374490.09908935445</v>
      </c>
    </row>
    <row r="75" spans="2:12" x14ac:dyDescent="0.25">
      <c r="B75" s="19" t="s">
        <v>237</v>
      </c>
      <c r="C75" s="20">
        <f>C74/Balance_Sheet!C74</f>
        <v>1</v>
      </c>
      <c r="D75" s="20">
        <f>D74/Balance_Sheet!D74</f>
        <v>1</v>
      </c>
      <c r="E75" s="20">
        <f>E74/Balance_Sheet!E74</f>
        <v>1</v>
      </c>
      <c r="F75" s="20">
        <f>F74/Balance_Sheet!F74</f>
        <v>1</v>
      </c>
      <c r="G75" s="20">
        <f>G74/Balance_Sheet!G74</f>
        <v>1</v>
      </c>
      <c r="H75" s="27">
        <f>H74/Balance_Sheet!H74</f>
        <v>1</v>
      </c>
      <c r="I75" s="27">
        <f>I74/Balance_Sheet!I74</f>
        <v>1</v>
      </c>
      <c r="J75" s="27">
        <f>J74/Balance_Sheet!J74</f>
        <v>1</v>
      </c>
      <c r="K75" s="27">
        <f>K74/Balance_Sheet!K74</f>
        <v>1</v>
      </c>
      <c r="L75" s="27">
        <f>L74/Balance_Sheet!L74</f>
        <v>1</v>
      </c>
    </row>
    <row r="80" spans="2:12" x14ac:dyDescent="0.25">
      <c r="B80" t="s">
        <v>265</v>
      </c>
      <c r="C80">
        <f>Income_Statement!C5/C74</f>
        <v>1.333625457273554</v>
      </c>
      <c r="D80">
        <f>Income_Statement!D5/D74</f>
        <v>1.0911096877334063</v>
      </c>
      <c r="E80">
        <f>Income_Statement!E5/E74</f>
        <v>0.79195789251478133</v>
      </c>
      <c r="F80">
        <f>Income_Statement!F5/F74</f>
        <v>0.59881847077299077</v>
      </c>
      <c r="G80">
        <f>Income_Statement!G5/G74</f>
        <v>0.61076415824068297</v>
      </c>
      <c r="H80">
        <f>GROWTH(C80:G80,C4:G4,H4)</f>
        <v>0.43983162676838861</v>
      </c>
      <c r="I80">
        <f t="shared" ref="I80:L80" si="56">GROWTH(D80:H80,D4:H4,I4)</f>
        <v>0.36141602008809381</v>
      </c>
      <c r="J80">
        <f t="shared" si="56"/>
        <v>0.30761924367157117</v>
      </c>
      <c r="K80">
        <f t="shared" si="56"/>
        <v>0.25619247015945262</v>
      </c>
      <c r="L80">
        <f t="shared" si="56"/>
        <v>0.2012719508049238</v>
      </c>
    </row>
  </sheetData>
  <mergeCells count="2">
    <mergeCell ref="B3:G3"/>
    <mergeCell ref="H3:L3"/>
  </mergeCells>
  <hyperlinks>
    <hyperlink ref="F1" location="Index_Data!A1" tooltip="Hi click here To return Index page" display="Index_Data!A1" xr:uid="{1D831D8C-775B-439E-B255-6CA43F33E5BA}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18BA47-2945-4D77-A268-465F791F2659}">
  <dimension ref="B1:O48"/>
  <sheetViews>
    <sheetView showGridLines="0" topLeftCell="A37" workbookViewId="0">
      <selection activeCell="H48" sqref="H48:L48"/>
    </sheetView>
  </sheetViews>
  <sheetFormatPr defaultRowHeight="15" x14ac:dyDescent="0.25"/>
  <cols>
    <col min="2" max="2" width="70.5703125" bestFit="1" customWidth="1"/>
    <col min="3" max="3" width="8.140625" bestFit="1" customWidth="1"/>
    <col min="4" max="7" width="15.42578125" bestFit="1" customWidth="1"/>
    <col min="8" max="12" width="18.8554687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31" t="s">
        <v>143</v>
      </c>
      <c r="C3" s="32"/>
      <c r="D3" s="32"/>
      <c r="E3" s="32"/>
      <c r="F3" s="32"/>
      <c r="G3" s="32"/>
      <c r="H3" s="33" t="s">
        <v>264</v>
      </c>
      <c r="I3" s="34"/>
      <c r="J3" s="34"/>
      <c r="K3" s="34"/>
      <c r="L3" s="34"/>
    </row>
    <row r="4" spans="2:15" ht="18.75" x14ac:dyDescent="0.25">
      <c r="B4" s="10" t="s">
        <v>119</v>
      </c>
      <c r="C4" s="10">
        <v>2018</v>
      </c>
      <c r="D4" s="10">
        <v>2019</v>
      </c>
      <c r="E4" s="10">
        <v>2020</v>
      </c>
      <c r="F4" s="10">
        <v>2021</v>
      </c>
      <c r="G4" s="10">
        <v>2022</v>
      </c>
      <c r="H4" s="22">
        <v>2023</v>
      </c>
      <c r="I4" s="22">
        <v>2024</v>
      </c>
      <c r="J4" s="22">
        <v>2025</v>
      </c>
      <c r="K4" s="22">
        <v>2026</v>
      </c>
      <c r="L4" s="22">
        <v>2027</v>
      </c>
    </row>
    <row r="5" spans="2:15" ht="18.75" x14ac:dyDescent="0.25">
      <c r="B5" s="8" t="s">
        <v>129</v>
      </c>
      <c r="C5" s="4"/>
      <c r="D5" s="5">
        <f>Income_Statement!D45</f>
        <v>22555.230848341434</v>
      </c>
      <c r="E5" s="5">
        <f>Income_Statement!E45</f>
        <v>21437.046501768356</v>
      </c>
      <c r="F5" s="5">
        <f>Income_Statement!F45</f>
        <v>18807.744107264643</v>
      </c>
      <c r="G5" s="5">
        <f>Income_Statement!G45</f>
        <v>26310.720819858769</v>
      </c>
      <c r="H5" s="28">
        <f>Income_Statement!H45</f>
        <v>22170.75935805064</v>
      </c>
      <c r="I5" s="28">
        <f>Income_Statement!I45</f>
        <v>21205.720067697457</v>
      </c>
      <c r="J5" s="28">
        <f>Income_Statement!J45</f>
        <v>21259.358726959046</v>
      </c>
      <c r="K5" s="28">
        <f>Income_Statement!K45</f>
        <v>20318.616273287833</v>
      </c>
      <c r="L5" s="28">
        <f>Income_Statement!L45</f>
        <v>17413.412395662748</v>
      </c>
    </row>
    <row r="6" spans="2:15" ht="18.75" x14ac:dyDescent="0.25">
      <c r="B6" s="8" t="s">
        <v>130</v>
      </c>
      <c r="C6" s="4"/>
      <c r="D6" s="4"/>
      <c r="E6" s="4"/>
      <c r="F6" s="4"/>
      <c r="G6" s="4"/>
      <c r="H6" s="24"/>
      <c r="I6" s="24"/>
      <c r="J6" s="24"/>
      <c r="K6" s="24"/>
      <c r="L6" s="24"/>
    </row>
    <row r="7" spans="2:15" ht="18.75" x14ac:dyDescent="0.25">
      <c r="B7" s="8" t="s">
        <v>125</v>
      </c>
      <c r="C7" s="4"/>
      <c r="D7" s="5">
        <f>Income_Statement!D31</f>
        <v>3020.8</v>
      </c>
      <c r="E7" s="5">
        <f>Income_Statement!E31</f>
        <v>3528.4</v>
      </c>
      <c r="F7" s="5">
        <f>Income_Statement!F31</f>
        <v>3034.1</v>
      </c>
      <c r="G7" s="5">
        <f>Income_Statement!G31</f>
        <v>2789</v>
      </c>
      <c r="H7" s="28">
        <f>Income_Statement!H31</f>
        <v>4186.749750482576</v>
      </c>
      <c r="I7" s="28">
        <f>Income_Statement!I31</f>
        <v>5089.5940920451076</v>
      </c>
      <c r="J7" s="28">
        <f>Income_Statement!J31</f>
        <v>6267.5922278438138</v>
      </c>
      <c r="K7" s="28">
        <f>Income_Statement!K31</f>
        <v>7662.9432633682145</v>
      </c>
      <c r="L7" s="28">
        <f>Income_Statement!L31</f>
        <v>9357.8141899827278</v>
      </c>
    </row>
    <row r="8" spans="2:15" ht="18.75" x14ac:dyDescent="0.25">
      <c r="B8" s="8" t="s">
        <v>131</v>
      </c>
      <c r="C8" s="4"/>
      <c r="D8" s="4">
        <f>Income_Statement!D35</f>
        <v>75.900000000000006</v>
      </c>
      <c r="E8" s="4">
        <f>Income_Statement!E35</f>
        <v>134.19999999999999</v>
      </c>
      <c r="F8" s="4">
        <f>Income_Statement!F35</f>
        <v>101.8</v>
      </c>
      <c r="G8" s="4">
        <f>Income_Statement!G35</f>
        <v>126.6</v>
      </c>
      <c r="H8" s="24">
        <f>Income_Statement!H35</f>
        <v>154.59852317360566</v>
      </c>
      <c r="I8" s="24">
        <f>Income_Statement!I35</f>
        <v>187.93751767478395</v>
      </c>
      <c r="J8" s="24">
        <f>Income_Statement!J35</f>
        <v>231.43699921445403</v>
      </c>
      <c r="K8" s="24">
        <f>Income_Statement!K35</f>
        <v>282.96210526315792</v>
      </c>
      <c r="L8" s="24">
        <f>Income_Statement!L35</f>
        <v>345.54606441476824</v>
      </c>
    </row>
    <row r="9" spans="2:15" ht="18.75" x14ac:dyDescent="0.25">
      <c r="B9" s="8" t="s">
        <v>59</v>
      </c>
      <c r="C9" s="4"/>
      <c r="D9" s="5">
        <f>Income_Statement!D11</f>
        <v>2561.6</v>
      </c>
      <c r="E9" s="5">
        <f>Income_Statement!E11</f>
        <v>3334.4</v>
      </c>
      <c r="F9" s="5">
        <f>Income_Statement!F11</f>
        <v>2936.3</v>
      </c>
      <c r="G9" s="5">
        <f>Income_Statement!G11</f>
        <v>1744.7</v>
      </c>
      <c r="H9" s="28">
        <f>Income_Statement!H11</f>
        <v>2273.323769377499</v>
      </c>
      <c r="I9" s="28">
        <f>Income_Statement!I11</f>
        <v>2270.8493724561522</v>
      </c>
      <c r="J9" s="28">
        <f>Income_Statement!J11</f>
        <v>2380.1922569597764</v>
      </c>
      <c r="K9" s="28">
        <f>Income_Statement!K11</f>
        <v>2423.5932003689113</v>
      </c>
      <c r="L9" s="28">
        <f>Income_Statement!L11</f>
        <v>2325.1737704154207</v>
      </c>
    </row>
    <row r="10" spans="2:15" ht="18.75" x14ac:dyDescent="0.25">
      <c r="B10" s="9" t="s">
        <v>132</v>
      </c>
      <c r="C10" s="6"/>
      <c r="D10" s="7">
        <f>D7+D8-D9</f>
        <v>535.10000000000036</v>
      </c>
      <c r="E10" s="7">
        <f t="shared" ref="E10:L10" si="0">E7+E8-E9</f>
        <v>328.19999999999982</v>
      </c>
      <c r="F10" s="7">
        <f t="shared" si="0"/>
        <v>199.59999999999991</v>
      </c>
      <c r="G10" s="7">
        <f t="shared" si="0"/>
        <v>1170.8999999999999</v>
      </c>
      <c r="H10" s="29">
        <f t="shared" si="0"/>
        <v>2068.0245042786828</v>
      </c>
      <c r="I10" s="29">
        <f t="shared" si="0"/>
        <v>3006.6822372637389</v>
      </c>
      <c r="J10" s="29">
        <f t="shared" si="0"/>
        <v>4118.8369700984913</v>
      </c>
      <c r="K10" s="29">
        <f t="shared" si="0"/>
        <v>5522.3121682624615</v>
      </c>
      <c r="L10" s="29">
        <f t="shared" si="0"/>
        <v>7378.1864839820755</v>
      </c>
    </row>
    <row r="11" spans="2:15" ht="18.75" x14ac:dyDescent="0.25">
      <c r="B11" s="8" t="s">
        <v>133</v>
      </c>
      <c r="C11" s="4"/>
      <c r="D11" s="4"/>
      <c r="E11" s="4"/>
      <c r="F11" s="4"/>
      <c r="G11" s="4"/>
      <c r="H11" s="24"/>
      <c r="I11" s="24"/>
      <c r="J11" s="24"/>
      <c r="K11" s="24"/>
      <c r="L11" s="24"/>
    </row>
    <row r="12" spans="2:15" ht="18.75" x14ac:dyDescent="0.25">
      <c r="B12" s="8" t="str">
        <f>Balance_Sheet!B56</f>
        <v>Deferred Tax Assets [Net]</v>
      </c>
      <c r="C12" s="4"/>
      <c r="D12" s="4">
        <f>Balance_Sheet!C56-Balance_Sheet!D56</f>
        <v>0</v>
      </c>
      <c r="E12" s="4">
        <f>Balance_Sheet!D56-Balance_Sheet!E56</f>
        <v>0</v>
      </c>
      <c r="F12" s="4">
        <f>Balance_Sheet!E56-Balance_Sheet!F56</f>
        <v>0</v>
      </c>
      <c r="G12" s="4">
        <f>Balance_Sheet!F56-Balance_Sheet!G56</f>
        <v>-141.1</v>
      </c>
      <c r="H12" s="24">
        <f>Balance_Sheet!G56-Balance_Sheet!H56</f>
        <v>141.1</v>
      </c>
      <c r="I12" s="24">
        <f>Balance_Sheet!H56-Balance_Sheet!I56</f>
        <v>0</v>
      </c>
      <c r="J12" s="24">
        <f>Balance_Sheet!I56-Balance_Sheet!J56</f>
        <v>0</v>
      </c>
      <c r="K12" s="24">
        <f>Balance_Sheet!J56-Balance_Sheet!K56</f>
        <v>0</v>
      </c>
      <c r="L12" s="24">
        <f>Balance_Sheet!K56-Balance_Sheet!L56</f>
        <v>0</v>
      </c>
    </row>
    <row r="13" spans="2:15" ht="18.75" x14ac:dyDescent="0.25">
      <c r="B13" s="8" t="str">
        <f>Balance_Sheet!B58</f>
        <v>Long Term Loans And Advances</v>
      </c>
      <c r="C13" s="4"/>
      <c r="D13" s="4">
        <f>Balance_Sheet!C58-Balance_Sheet!D58</f>
        <v>0</v>
      </c>
      <c r="E13" s="4">
        <f>Balance_Sheet!D58-Balance_Sheet!E58</f>
        <v>0</v>
      </c>
      <c r="F13" s="4">
        <f>Balance_Sheet!E58-Balance_Sheet!F58</f>
        <v>0</v>
      </c>
      <c r="G13" s="4">
        <f>Balance_Sheet!F58-Balance_Sheet!G58</f>
        <v>0</v>
      </c>
      <c r="H13" s="24">
        <f>Balance_Sheet!G58-Balance_Sheet!H58</f>
        <v>-3.999999999999998E-2</v>
      </c>
      <c r="I13" s="24">
        <f>Balance_Sheet!H58-Balance_Sheet!I58</f>
        <v>-0.06</v>
      </c>
      <c r="J13" s="24">
        <f>Balance_Sheet!I58-Balance_Sheet!J58</f>
        <v>-7.0000000000000007E-2</v>
      </c>
      <c r="K13" s="24">
        <f>Balance_Sheet!J58-Balance_Sheet!K58</f>
        <v>-8.0000000000000016E-2</v>
      </c>
      <c r="L13" s="24">
        <f>Balance_Sheet!K58-Balance_Sheet!L58</f>
        <v>-0.10000000000000003</v>
      </c>
    </row>
    <row r="14" spans="2:15" ht="18.75" x14ac:dyDescent="0.25">
      <c r="B14" s="8" t="str">
        <f>Balance_Sheet!B60</f>
        <v>Other Non-Current Assets</v>
      </c>
      <c r="C14" s="4"/>
      <c r="D14" s="5">
        <f>Balance_Sheet!C60-Balance_Sheet!D60</f>
        <v>-202</v>
      </c>
      <c r="E14" s="5">
        <f>Balance_Sheet!D60-Balance_Sheet!E60</f>
        <v>335.40000000000009</v>
      </c>
      <c r="F14" s="5">
        <f>Balance_Sheet!E60-Balance_Sheet!F60</f>
        <v>34.5</v>
      </c>
      <c r="G14" s="5">
        <f>Balance_Sheet!F60-Balance_Sheet!G60</f>
        <v>-1378.9</v>
      </c>
      <c r="H14" s="28">
        <f>Balance_Sheet!G60-Balance_Sheet!H60</f>
        <v>3102.5</v>
      </c>
      <c r="I14" s="28">
        <f>Balance_Sheet!H60-Balance_Sheet!I60</f>
        <v>0</v>
      </c>
      <c r="J14" s="28">
        <f>Balance_Sheet!I60-Balance_Sheet!J60</f>
        <v>0</v>
      </c>
      <c r="K14" s="28">
        <f>Balance_Sheet!J60-Balance_Sheet!K60</f>
        <v>0</v>
      </c>
      <c r="L14" s="28">
        <f>Balance_Sheet!K60-Balance_Sheet!L60</f>
        <v>0</v>
      </c>
    </row>
    <row r="15" spans="2:15" ht="18.75" x14ac:dyDescent="0.25">
      <c r="B15" s="8" t="str">
        <f>Balance_Sheet!B62</f>
        <v>Short Term Loans And Advances</v>
      </c>
      <c r="C15" s="4"/>
      <c r="D15" s="4">
        <f>Balance_Sheet!C62-Balance_Sheet!D62</f>
        <v>-13.100000000000001</v>
      </c>
      <c r="E15" s="4">
        <f>Balance_Sheet!D62-Balance_Sheet!E62</f>
        <v>-0.89999999999999858</v>
      </c>
      <c r="F15" s="4">
        <f>Balance_Sheet!E62-Balance_Sheet!F62</f>
        <v>-6</v>
      </c>
      <c r="G15" s="4">
        <f>Balance_Sheet!F62-Balance_Sheet!G62</f>
        <v>-7.5</v>
      </c>
      <c r="H15" s="24">
        <f>Balance_Sheet!G62-Balance_Sheet!H62</f>
        <v>-6.75</v>
      </c>
      <c r="I15" s="24">
        <f>Balance_Sheet!H62-Balance_Sheet!I62</f>
        <v>-8.0300000000000011</v>
      </c>
      <c r="J15" s="24">
        <f>Balance_Sheet!I62-Balance_Sheet!J62</f>
        <v>-10.479999999999997</v>
      </c>
      <c r="K15" s="24">
        <f>Balance_Sheet!J62-Balance_Sheet!K62</f>
        <v>-12.410000000000004</v>
      </c>
      <c r="L15" s="24">
        <f>Balance_Sheet!K62-Balance_Sheet!L62</f>
        <v>-15.079999999999998</v>
      </c>
    </row>
    <row r="16" spans="2:15" ht="18.75" x14ac:dyDescent="0.25">
      <c r="B16" s="8" t="str">
        <f>Balance_Sheet!B64</f>
        <v>OtherCurrentAssets</v>
      </c>
      <c r="C16" s="4"/>
      <c r="D16" s="5">
        <f>Balance_Sheet!C64-Balance_Sheet!D64</f>
        <v>522.19999999999982</v>
      </c>
      <c r="E16" s="5">
        <f>Balance_Sheet!D64-Balance_Sheet!E64</f>
        <v>-496.29999999999995</v>
      </c>
      <c r="F16" s="5">
        <f>Balance_Sheet!E64-Balance_Sheet!F64</f>
        <v>-745.39999999999986</v>
      </c>
      <c r="G16" s="5">
        <f>Balance_Sheet!F64-Balance_Sheet!G64</f>
        <v>-1324.2000000000003</v>
      </c>
      <c r="H16" s="28">
        <f>Balance_Sheet!G64-Balance_Sheet!H64</f>
        <v>-60.035452930856081</v>
      </c>
      <c r="I16" s="28">
        <f>Balance_Sheet!H64-Balance_Sheet!I64</f>
        <v>-887.12024631126314</v>
      </c>
      <c r="J16" s="28">
        <f>Balance_Sheet!I64-Balance_Sheet!J64</f>
        <v>-1157.4829102832373</v>
      </c>
      <c r="K16" s="28">
        <f>Balance_Sheet!J64-Balance_Sheet!K64</f>
        <v>-1371.0493436754441</v>
      </c>
      <c r="L16" s="28">
        <f>Balance_Sheet!K64-Balance_Sheet!L64</f>
        <v>-1665.3533437199976</v>
      </c>
    </row>
    <row r="17" spans="2:12" ht="18.75" x14ac:dyDescent="0.25">
      <c r="B17" s="8" t="str">
        <f>Balance_Sheet!B66</f>
        <v>Inventories</v>
      </c>
      <c r="C17" s="4"/>
      <c r="D17" s="5">
        <f>Balance_Sheet!C66-Balance_Sheet!D66</f>
        <v>-162.40000000000009</v>
      </c>
      <c r="E17" s="5">
        <f>Balance_Sheet!D66-Balance_Sheet!E66</f>
        <v>108.69999999999982</v>
      </c>
      <c r="F17" s="5">
        <f>Balance_Sheet!E66-Balance_Sheet!F66</f>
        <v>164.90000000000009</v>
      </c>
      <c r="G17" s="5">
        <f>Balance_Sheet!F66-Balance_Sheet!G66</f>
        <v>-483.30000000000018</v>
      </c>
      <c r="H17" s="28">
        <f>Balance_Sheet!G66-Balance_Sheet!H66</f>
        <v>-2415.1286571978662</v>
      </c>
      <c r="I17" s="28">
        <f>Balance_Sheet!H66-Balance_Sheet!I66</f>
        <v>-1282.5219763063569</v>
      </c>
      <c r="J17" s="28">
        <f>Balance_Sheet!I66-Balance_Sheet!J66</f>
        <v>-1673.3890087730279</v>
      </c>
      <c r="K17" s="28">
        <f>Balance_Sheet!J66-Balance_Sheet!K66</f>
        <v>-1982.1449472895874</v>
      </c>
      <c r="L17" s="28">
        <f>Balance_Sheet!K66-Balance_Sheet!L66</f>
        <v>-2407.6242995436769</v>
      </c>
    </row>
    <row r="18" spans="2:12" ht="18.75" x14ac:dyDescent="0.25">
      <c r="B18" s="8" t="str">
        <f>Balance_Sheet!B68</f>
        <v>Trade Receivables</v>
      </c>
      <c r="C18" s="4"/>
      <c r="D18" s="5">
        <f>Balance_Sheet!C68-Balance_Sheet!D68</f>
        <v>-847.40000000000009</v>
      </c>
      <c r="E18" s="5">
        <f>Balance_Sheet!D68-Balance_Sheet!E68</f>
        <v>335.10000000000014</v>
      </c>
      <c r="F18" s="5">
        <f>Balance_Sheet!E68-Balance_Sheet!F68</f>
        <v>697.8</v>
      </c>
      <c r="G18" s="5">
        <f>Balance_Sheet!F68-Balance_Sheet!G68</f>
        <v>-754.59999999999991</v>
      </c>
      <c r="H18" s="28">
        <f>Balance_Sheet!G68-Balance_Sheet!H68</f>
        <v>228.19961354061525</v>
      </c>
      <c r="I18" s="28">
        <f>Balance_Sheet!H68-Balance_Sheet!I68</f>
        <v>-389.51622204684054</v>
      </c>
      <c r="J18" s="28">
        <f>Balance_Sheet!I68-Balance_Sheet!J68</f>
        <v>-508.22689728029945</v>
      </c>
      <c r="K18" s="28">
        <f>Balance_Sheet!J68-Balance_Sheet!K68</f>
        <v>-601.99951788821909</v>
      </c>
      <c r="L18" s="28">
        <f>Balance_Sheet!K68-Balance_Sheet!L68</f>
        <v>-731.22234050702082</v>
      </c>
    </row>
    <row r="19" spans="2:12" ht="18.75" x14ac:dyDescent="0.25">
      <c r="B19" s="8" t="s">
        <v>134</v>
      </c>
      <c r="C19" s="4"/>
      <c r="D19" s="4"/>
      <c r="E19" s="4"/>
      <c r="F19" s="4"/>
      <c r="G19" s="4"/>
      <c r="H19" s="24"/>
      <c r="I19" s="24"/>
      <c r="J19" s="24"/>
      <c r="K19" s="24"/>
      <c r="L19" s="24"/>
    </row>
    <row r="20" spans="2:12" ht="18.75" x14ac:dyDescent="0.25">
      <c r="B20" s="8" t="str">
        <f>Balance_Sheet!B23</f>
        <v>Long Term Provisions</v>
      </c>
      <c r="C20" s="4"/>
      <c r="D20" s="4">
        <f>Balance_Sheet!D23-Balance_Sheet!C23</f>
        <v>13</v>
      </c>
      <c r="E20" s="4">
        <f>Balance_Sheet!E23-Balance_Sheet!D23</f>
        <v>12.100000000000001</v>
      </c>
      <c r="F20" s="4">
        <f>Balance_Sheet!F23-Balance_Sheet!E23</f>
        <v>-6.8999999999999986</v>
      </c>
      <c r="G20" s="4">
        <f>Balance_Sheet!G23-Balance_Sheet!F23</f>
        <v>39.700000000000003</v>
      </c>
      <c r="H20" s="24">
        <f>Balance_Sheet!H23-Balance_Sheet!G23</f>
        <v>2.5619022049154978</v>
      </c>
      <c r="I20" s="24">
        <f>Balance_Sheet!I23-Balance_Sheet!H23</f>
        <v>18.75273451901414</v>
      </c>
      <c r="J20" s="24">
        <f>Balance_Sheet!J23-Balance_Sheet!I23</f>
        <v>24.467900284198279</v>
      </c>
      <c r="K20" s="24">
        <f>Balance_Sheet!K23-Balance_Sheet!J23</f>
        <v>28.982456957016637</v>
      </c>
      <c r="L20" s="24">
        <f>Balance_Sheet!L23-Balance_Sheet!K23</f>
        <v>35.203715916743931</v>
      </c>
    </row>
    <row r="21" spans="2:12" ht="18.75" x14ac:dyDescent="0.25">
      <c r="B21" s="8" t="str">
        <f>Balance_Sheet!B25</f>
        <v>Short Term Provisions</v>
      </c>
      <c r="C21" s="4"/>
      <c r="D21" s="4">
        <f>Balance_Sheet!D25-Balance_Sheet!C25</f>
        <v>64.5</v>
      </c>
      <c r="E21" s="4">
        <f>Balance_Sheet!E25-Balance_Sheet!D25</f>
        <v>55.300000000000068</v>
      </c>
      <c r="F21" s="4">
        <f>Balance_Sheet!F25-Balance_Sheet!E25</f>
        <v>62.099999999999909</v>
      </c>
      <c r="G21" s="4">
        <f>Balance_Sheet!G25-Balance_Sheet!F25</f>
        <v>118.5</v>
      </c>
      <c r="H21" s="24">
        <f>Balance_Sheet!H25-Balance_Sheet!G25</f>
        <v>398.35795045103714</v>
      </c>
      <c r="I21" s="24">
        <f>Balance_Sheet!I25-Balance_Sheet!H25</f>
        <v>271.63655038169736</v>
      </c>
      <c r="J21" s="24">
        <f>Balance_Sheet!J25-Balance_Sheet!I25</f>
        <v>354.42169895510165</v>
      </c>
      <c r="K21" s="24">
        <f>Balance_Sheet!K25-Balance_Sheet!J25</f>
        <v>419.81582053580405</v>
      </c>
      <c r="L21" s="24">
        <f>Balance_Sheet!L25-Balance_Sheet!K25</f>
        <v>509.93181514651405</v>
      </c>
    </row>
    <row r="22" spans="2:12" ht="18.75" x14ac:dyDescent="0.25">
      <c r="B22" s="8" t="str">
        <f>Balance_Sheet!B27</f>
        <v>Other Long Term Liabilities</v>
      </c>
      <c r="C22" s="4"/>
      <c r="D22" s="5">
        <f>Balance_Sheet!D27-Balance_Sheet!C27</f>
        <v>451.19999999999982</v>
      </c>
      <c r="E22" s="5">
        <f>Balance_Sheet!E27-Balance_Sheet!D27</f>
        <v>138.5</v>
      </c>
      <c r="F22" s="5">
        <f>Balance_Sheet!F27-Balance_Sheet!E27</f>
        <v>-6.9000000000000909</v>
      </c>
      <c r="G22" s="5">
        <f>Balance_Sheet!G27-Balance_Sheet!F27</f>
        <v>45.400000000000091</v>
      </c>
      <c r="H22" s="28">
        <f>Balance_Sheet!H27-Balance_Sheet!G27</f>
        <v>489.68000000000029</v>
      </c>
      <c r="I22" s="28">
        <f>Balance_Sheet!I27-Balance_Sheet!H27</f>
        <v>583.04999999999973</v>
      </c>
      <c r="J22" s="28">
        <f>Balance_Sheet!J27-Balance_Sheet!I27</f>
        <v>760.74000000000024</v>
      </c>
      <c r="K22" s="28">
        <f>Balance_Sheet!K27-Balance_Sheet!J27</f>
        <v>901.11000000000013</v>
      </c>
      <c r="L22" s="28">
        <f>Balance_Sheet!L27-Balance_Sheet!K27</f>
        <v>1094.54</v>
      </c>
    </row>
    <row r="23" spans="2:12" ht="18.75" x14ac:dyDescent="0.25">
      <c r="B23" s="8" t="str">
        <f>Balance_Sheet!B29</f>
        <v>Trade Payables</v>
      </c>
      <c r="C23" s="4"/>
      <c r="D23" s="5">
        <f>Balance_Sheet!D29-Balance_Sheet!C29</f>
        <v>-861.59999999999854</v>
      </c>
      <c r="E23" s="5">
        <f>Balance_Sheet!E29-Balance_Sheet!D29</f>
        <v>-2138.9000000000005</v>
      </c>
      <c r="F23" s="5">
        <f>Balance_Sheet!F29-Balance_Sheet!E29</f>
        <v>2669.3</v>
      </c>
      <c r="G23" s="5">
        <f>Balance_Sheet!G29-Balance_Sheet!F29</f>
        <v>-402.89999999999964</v>
      </c>
      <c r="H23" s="28">
        <f>Balance_Sheet!H29-Balance_Sheet!G29</f>
        <v>5559.3494830547461</v>
      </c>
      <c r="I23" s="28">
        <f>Balance_Sheet!I29-Balance_Sheet!H29</f>
        <v>3304.6334175401389</v>
      </c>
      <c r="J23" s="28">
        <f>Balance_Sheet!J29-Balance_Sheet!I29</f>
        <v>4311.7680173105873</v>
      </c>
      <c r="K23" s="28">
        <f>Balance_Sheet!K29-Balance_Sheet!J29</f>
        <v>5107.3295836116195</v>
      </c>
      <c r="L23" s="28">
        <f>Balance_Sheet!L29-Balance_Sheet!K29</f>
        <v>6203.648642394237</v>
      </c>
    </row>
    <row r="24" spans="2:12" ht="18.75" x14ac:dyDescent="0.25">
      <c r="B24" s="8" t="str">
        <f>Balance_Sheet!B31</f>
        <v>Other Current Liabilities</v>
      </c>
      <c r="C24" s="4"/>
      <c r="D24" s="5">
        <f>Balance_Sheet!D31-Balance_Sheet!C31</f>
        <v>-529.69999999999982</v>
      </c>
      <c r="E24" s="5">
        <f>Balance_Sheet!E31-Balance_Sheet!D31</f>
        <v>-728.20000000000027</v>
      </c>
      <c r="F24" s="5">
        <f>Balance_Sheet!F31-Balance_Sheet!E31</f>
        <v>1701.2000000000003</v>
      </c>
      <c r="G24" s="5">
        <f>Balance_Sheet!G31-Balance_Sheet!F31</f>
        <v>1294.3000000000002</v>
      </c>
      <c r="H24" s="28">
        <f>Balance_Sheet!H31-Balance_Sheet!G31</f>
        <v>1330.316597022118</v>
      </c>
      <c r="I24" s="28">
        <f>Balance_Sheet!I31-Balance_Sheet!H31</f>
        <v>1583.9884349692838</v>
      </c>
      <c r="J24" s="28">
        <f>Balance_Sheet!J31-Balance_Sheet!I31</f>
        <v>2066.7317099196716</v>
      </c>
      <c r="K24" s="28">
        <f>Balance_Sheet!K31-Balance_Sheet!J31</f>
        <v>2448.0630593027163</v>
      </c>
      <c r="L24" s="28">
        <f>Balance_Sheet!L31-Balance_Sheet!K31</f>
        <v>2973.5545407272166</v>
      </c>
    </row>
    <row r="25" spans="2:12" ht="18.75" x14ac:dyDescent="0.25">
      <c r="B25" s="8" t="s">
        <v>103</v>
      </c>
      <c r="C25" s="4"/>
      <c r="D25" s="4"/>
      <c r="E25" s="4"/>
      <c r="F25" s="4"/>
      <c r="G25" s="4"/>
      <c r="H25" s="24"/>
      <c r="I25" s="24"/>
      <c r="J25" s="24"/>
      <c r="K25" s="24"/>
      <c r="L25" s="24"/>
    </row>
    <row r="26" spans="2:12" ht="18.75" x14ac:dyDescent="0.25">
      <c r="B26" s="8" t="str">
        <f>Income_Statement!B47</f>
        <v>Total Tax Expenses</v>
      </c>
      <c r="C26" s="4"/>
      <c r="D26" s="4">
        <f>Income_Statement!D47</f>
        <v>2973.2</v>
      </c>
      <c r="E26" s="4">
        <f>Income_Statement!E47</f>
        <v>1425.2</v>
      </c>
      <c r="F26" s="4">
        <f>Income_Statement!F47</f>
        <v>931.9</v>
      </c>
      <c r="G26" s="4">
        <f>Income_Statement!G47</f>
        <v>817.7</v>
      </c>
      <c r="H26" s="24">
        <f>Income_Statement!H47</f>
        <v>689.03585162876288</v>
      </c>
      <c r="I26" s="24">
        <f>Income_Statement!I47</f>
        <v>659.04379503994483</v>
      </c>
      <c r="J26" s="24">
        <f>Income_Statement!J47</f>
        <v>660.71080872529762</v>
      </c>
      <c r="K26" s="24">
        <f>Income_Statement!K47</f>
        <v>631.47386346508483</v>
      </c>
      <c r="L26" s="24">
        <f>Income_Statement!L47</f>
        <v>541.1842348760805</v>
      </c>
    </row>
    <row r="27" spans="2:12" ht="18.75" x14ac:dyDescent="0.25">
      <c r="B27" s="9" t="s">
        <v>135</v>
      </c>
      <c r="C27" s="6"/>
      <c r="D27" s="7">
        <f>D12+D13+D14+D15+D16+D17+D18+D20+D21+D22+D23+D24-D26+D10+D5</f>
        <v>18551.830848341437</v>
      </c>
      <c r="E27" s="7">
        <f t="shared" ref="E27:L27" si="1">E12+E13+E14+E15+E16+E17+E18+E20+E21+E22+E23+E24-E26+E10+E5</f>
        <v>17960.846501768356</v>
      </c>
      <c r="F27" s="7">
        <f t="shared" si="1"/>
        <v>22640.044107264643</v>
      </c>
      <c r="G27" s="7">
        <f t="shared" si="1"/>
        <v>23669.320819858767</v>
      </c>
      <c r="H27" s="29">
        <f t="shared" si="1"/>
        <v>32319.859446845272</v>
      </c>
      <c r="I27" s="29">
        <f t="shared" si="1"/>
        <v>26748.171202666927</v>
      </c>
      <c r="J27" s="29">
        <f t="shared" si="1"/>
        <v>28885.965398465232</v>
      </c>
      <c r="K27" s="29">
        <f t="shared" si="1"/>
        <v>30147.071689639117</v>
      </c>
      <c r="L27" s="29">
        <f t="shared" si="1"/>
        <v>30247.913375182761</v>
      </c>
    </row>
    <row r="28" spans="2:12" ht="18.75" x14ac:dyDescent="0.25">
      <c r="B28" s="8" t="s">
        <v>136</v>
      </c>
      <c r="C28" s="4"/>
      <c r="D28" s="4"/>
      <c r="E28" s="4"/>
      <c r="F28" s="4"/>
      <c r="G28" s="4"/>
      <c r="H28" s="24"/>
      <c r="I28" s="24"/>
      <c r="J28" s="24"/>
      <c r="K28" s="24"/>
      <c r="L28" s="24"/>
    </row>
    <row r="29" spans="2:12" ht="18.75" x14ac:dyDescent="0.25">
      <c r="B29" s="8" t="str">
        <f>Balance_Sheet!B40</f>
        <v>Tangible Assets</v>
      </c>
      <c r="C29" s="4"/>
      <c r="D29" s="5">
        <f>Balance_Sheet!C40-Balance_Sheet!D40</f>
        <v>-1909.1000000000004</v>
      </c>
      <c r="E29" s="5">
        <f>Balance_Sheet!D40-Balance_Sheet!E40</f>
        <v>-422.39999999999964</v>
      </c>
      <c r="F29" s="5">
        <f>Balance_Sheet!E40-Balance_Sheet!F40</f>
        <v>644.10000000000036</v>
      </c>
      <c r="G29" s="5">
        <f>Balance_Sheet!F40-Balance_Sheet!G40</f>
        <v>-1919.2000000000007</v>
      </c>
      <c r="H29" s="28">
        <f>Balance_Sheet!G40-Balance_Sheet!H40</f>
        <v>-3689.8099999999977</v>
      </c>
      <c r="I29" s="28">
        <f>Balance_Sheet!H40-Balance_Sheet!I40</f>
        <v>-4393.41</v>
      </c>
      <c r="J29" s="28">
        <f>Balance_Sheet!I40-Balance_Sheet!J40</f>
        <v>-5732.3600000000006</v>
      </c>
      <c r="K29" s="28">
        <f>Balance_Sheet!J40-Balance_Sheet!K40</f>
        <v>-6790.0400000000009</v>
      </c>
      <c r="L29" s="28">
        <f>Balance_Sheet!K40-Balance_Sheet!L40</f>
        <v>-8247.5599999999977</v>
      </c>
    </row>
    <row r="30" spans="2:12" ht="18.75" x14ac:dyDescent="0.25">
      <c r="B30" s="8" t="str">
        <f>Balance_Sheet!B42</f>
        <v>Intangible Assets</v>
      </c>
      <c r="C30" s="4"/>
      <c r="D30" s="4">
        <f>Balance_Sheet!C42-Balance_Sheet!D42</f>
        <v>-139.40000000000003</v>
      </c>
      <c r="E30" s="4">
        <f>Balance_Sheet!D42-Balance_Sheet!E42</f>
        <v>115.30000000000001</v>
      </c>
      <c r="F30" s="4">
        <f>Balance_Sheet!E42-Balance_Sheet!F42</f>
        <v>111.60000000000002</v>
      </c>
      <c r="G30" s="4">
        <f>Balance_Sheet!F42-Balance_Sheet!G42</f>
        <v>224.2</v>
      </c>
      <c r="H30" s="24">
        <f>Balance_Sheet!G42-Balance_Sheet!H42</f>
        <v>0</v>
      </c>
      <c r="I30" s="24">
        <f>Balance_Sheet!H42-Balance_Sheet!I42</f>
        <v>0</v>
      </c>
      <c r="J30" s="24">
        <f>Balance_Sheet!I42-Balance_Sheet!J42</f>
        <v>0</v>
      </c>
      <c r="K30" s="24">
        <f>Balance_Sheet!J42-Balance_Sheet!K42</f>
        <v>0</v>
      </c>
      <c r="L30" s="24">
        <f>Balance_Sheet!K42-Balance_Sheet!L42</f>
        <v>0</v>
      </c>
    </row>
    <row r="31" spans="2:12" ht="18.75" x14ac:dyDescent="0.25">
      <c r="B31" s="8" t="str">
        <f>Balance_Sheet!B48</f>
        <v>Non-Current Investments</v>
      </c>
      <c r="C31" s="4"/>
      <c r="D31" s="5">
        <f>Balance_Sheet!C48-Balance_Sheet!D48</f>
        <v>2447.7000000000044</v>
      </c>
      <c r="E31" s="5">
        <f>Balance_Sheet!D48-Balance_Sheet!E48</f>
        <v>-3811.0999999999985</v>
      </c>
      <c r="F31" s="5">
        <f>Balance_Sheet!E48-Balance_Sheet!F48</f>
        <v>1740.0999999999985</v>
      </c>
      <c r="G31" s="5">
        <f>Balance_Sheet!F48-Balance_Sheet!G48</f>
        <v>-3405.5</v>
      </c>
      <c r="H31" s="28">
        <f>Balance_Sheet!G48-Balance_Sheet!H48</f>
        <v>-29182.758801966724</v>
      </c>
      <c r="I31" s="28">
        <f>Balance_Sheet!H48-Balance_Sheet!I48</f>
        <v>-14473.395582641184</v>
      </c>
      <c r="J31" s="28">
        <f>Balance_Sheet!I48-Balance_Sheet!J48</f>
        <v>-18884.371211609192</v>
      </c>
      <c r="K31" s="28">
        <f>Balance_Sheet!J48-Balance_Sheet!K48</f>
        <v>-22368.714497101784</v>
      </c>
      <c r="L31" s="28">
        <f>Balance_Sheet!K48-Balance_Sheet!L48</f>
        <v>-27170.293800370142</v>
      </c>
    </row>
    <row r="32" spans="2:12" ht="18.75" x14ac:dyDescent="0.25">
      <c r="B32" s="8" t="str">
        <f>Balance_Sheet!B50</f>
        <v>Current Investments</v>
      </c>
      <c r="C32" s="4"/>
      <c r="D32" s="5">
        <f>Balance_Sheet!C50-Balance_Sheet!D50</f>
        <v>-3828.2</v>
      </c>
      <c r="E32" s="5">
        <f>Balance_Sheet!D50-Balance_Sheet!E50</f>
        <v>3826.7</v>
      </c>
      <c r="F32" s="5">
        <f>Balance_Sheet!E50-Balance_Sheet!F50</f>
        <v>-7196.9000000000005</v>
      </c>
      <c r="G32" s="5">
        <f>Balance_Sheet!F50-Balance_Sheet!G50</f>
        <v>4315.6000000000004</v>
      </c>
      <c r="H32" s="28">
        <f>Balance_Sheet!G50-Balance_Sheet!H50</f>
        <v>-906.78975901487684</v>
      </c>
      <c r="I32" s="28">
        <f>Balance_Sheet!H50-Balance_Sheet!I50</f>
        <v>-1079.7012488932123</v>
      </c>
      <c r="J32" s="28">
        <f>Balance_Sheet!I50-Balance_Sheet!J50</f>
        <v>-1408.7557453478148</v>
      </c>
      <c r="K32" s="28">
        <f>Balance_Sheet!J50-Balance_Sheet!K50</f>
        <v>-1668.6843692452439</v>
      </c>
      <c r="L32" s="28">
        <f>Balance_Sheet!K50-Balance_Sheet!L50</f>
        <v>-2026.8775203131554</v>
      </c>
    </row>
    <row r="33" spans="2:12" ht="18.75" x14ac:dyDescent="0.25">
      <c r="B33" s="8" t="str">
        <f>Balance_Sheet!B52</f>
        <v>Capital Work-In-Progress</v>
      </c>
      <c r="C33" s="4"/>
      <c r="D33" s="5">
        <f>Balance_Sheet!C52-Balance_Sheet!D52</f>
        <v>525.19999999999982</v>
      </c>
      <c r="E33" s="5">
        <f>Balance_Sheet!D52-Balance_Sheet!E52</f>
        <v>262.60000000000014</v>
      </c>
      <c r="F33" s="5">
        <f>Balance_Sheet!E52-Balance_Sheet!F52</f>
        <v>145</v>
      </c>
      <c r="G33" s="5">
        <f>Balance_Sheet!F52-Balance_Sheet!G52</f>
        <v>1199.3</v>
      </c>
      <c r="H33" s="28">
        <f>Balance_Sheet!G52-Balance_Sheet!H52</f>
        <v>-2487.6717831516512</v>
      </c>
      <c r="I33" s="28">
        <f>Balance_Sheet!H52-Balance_Sheet!I52</f>
        <v>-536.44926498915174</v>
      </c>
      <c r="J33" s="28">
        <f>Balance_Sheet!I52-Balance_Sheet!J52</f>
        <v>-699.93989996377695</v>
      </c>
      <c r="K33" s="28">
        <f>Balance_Sheet!J52-Balance_Sheet!K52</f>
        <v>-829.0853643988271</v>
      </c>
      <c r="L33" s="28">
        <f>Balance_Sheet!K52-Balance_Sheet!L52</f>
        <v>-1007.0535318076381</v>
      </c>
    </row>
    <row r="34" spans="2:12" ht="18.75" x14ac:dyDescent="0.25">
      <c r="B34" s="8" t="s">
        <v>59</v>
      </c>
      <c r="C34" s="4"/>
      <c r="D34" s="5">
        <f>Income_Statement!D11</f>
        <v>2561.6</v>
      </c>
      <c r="E34" s="5">
        <f>Income_Statement!E11</f>
        <v>3334.4</v>
      </c>
      <c r="F34" s="5">
        <f>Income_Statement!F11</f>
        <v>2936.3</v>
      </c>
      <c r="G34" s="5">
        <f>Income_Statement!G11</f>
        <v>1744.7</v>
      </c>
      <c r="H34" s="28">
        <f>Income_Statement!H11</f>
        <v>2273.323769377499</v>
      </c>
      <c r="I34" s="28">
        <f>Income_Statement!I11</f>
        <v>2270.8493724561522</v>
      </c>
      <c r="J34" s="28">
        <f>Income_Statement!J11</f>
        <v>2380.1922569597764</v>
      </c>
      <c r="K34" s="28">
        <f>Income_Statement!K11</f>
        <v>2423.5932003689113</v>
      </c>
      <c r="L34" s="28">
        <f>Income_Statement!L11</f>
        <v>2325.1737704154207</v>
      </c>
    </row>
    <row r="35" spans="2:12" ht="18.75" x14ac:dyDescent="0.25">
      <c r="B35" s="9" t="s">
        <v>137</v>
      </c>
      <c r="C35" s="6"/>
      <c r="D35" s="7">
        <f>D29+D30+D31+D32+D33+D34</f>
        <v>-342.19999999999618</v>
      </c>
      <c r="E35" s="7">
        <f t="shared" ref="E35:L35" si="2">E29+E30+E31+E32+E33+E34</f>
        <v>3305.5000000000018</v>
      </c>
      <c r="F35" s="7">
        <f t="shared" si="2"/>
        <v>-1619.800000000002</v>
      </c>
      <c r="G35" s="7">
        <f t="shared" si="2"/>
        <v>2159.0999999999995</v>
      </c>
      <c r="H35" s="29">
        <f t="shared" si="2"/>
        <v>-33993.70657475575</v>
      </c>
      <c r="I35" s="29">
        <f t="shared" si="2"/>
        <v>-18212.106724067395</v>
      </c>
      <c r="J35" s="29">
        <f t="shared" si="2"/>
        <v>-24345.234599961008</v>
      </c>
      <c r="K35" s="29">
        <f t="shared" si="2"/>
        <v>-29232.931030376945</v>
      </c>
      <c r="L35" s="29">
        <f t="shared" si="2"/>
        <v>-36126.611082075506</v>
      </c>
    </row>
    <row r="36" spans="2:12" ht="18.75" x14ac:dyDescent="0.25">
      <c r="B36" s="8" t="s">
        <v>138</v>
      </c>
      <c r="C36" s="4"/>
      <c r="D36" s="4"/>
      <c r="E36" s="4"/>
      <c r="F36" s="4"/>
      <c r="G36" s="4"/>
      <c r="H36" s="24"/>
      <c r="I36" s="24"/>
      <c r="J36" s="24"/>
      <c r="K36" s="24"/>
      <c r="L36" s="24"/>
    </row>
    <row r="37" spans="2:12" ht="18.75" x14ac:dyDescent="0.25">
      <c r="B37" s="8" t="str">
        <f>Balance_Sheet!B5</f>
        <v>Equity Share Capital</v>
      </c>
      <c r="C37" s="4"/>
      <c r="D37" s="4">
        <f>Balance_Sheet!D5-Balance_Sheet!C5</f>
        <v>0</v>
      </c>
      <c r="E37" s="4">
        <f>Balance_Sheet!E5-Balance_Sheet!D5</f>
        <v>0</v>
      </c>
      <c r="F37" s="4">
        <f>Balance_Sheet!F5-Balance_Sheet!E5</f>
        <v>0</v>
      </c>
      <c r="G37" s="4">
        <f>Balance_Sheet!G5-Balance_Sheet!F5</f>
        <v>0</v>
      </c>
      <c r="H37" s="24">
        <f>Balance_Sheet!H5-Balance_Sheet!G5</f>
        <v>0</v>
      </c>
      <c r="I37" s="24">
        <f>Balance_Sheet!I5-Balance_Sheet!H5</f>
        <v>0</v>
      </c>
      <c r="J37" s="24">
        <f>Balance_Sheet!J5-Balance_Sheet!I5</f>
        <v>0</v>
      </c>
      <c r="K37" s="24">
        <f>Balance_Sheet!K5-Balance_Sheet!J5</f>
        <v>0</v>
      </c>
      <c r="L37" s="24">
        <f>Balance_Sheet!L5-Balance_Sheet!K5</f>
        <v>0</v>
      </c>
    </row>
    <row r="38" spans="2:12" ht="18.75" x14ac:dyDescent="0.25">
      <c r="B38" s="8" t="str">
        <f>Balance_Sheet!B7</f>
        <v>Preference Share Capital</v>
      </c>
      <c r="C38" s="4"/>
      <c r="D38" s="4">
        <f>Balance_Sheet!D7-Balance_Sheet!C7</f>
        <v>0</v>
      </c>
      <c r="E38" s="4">
        <f>Balance_Sheet!E7-Balance_Sheet!D7</f>
        <v>0</v>
      </c>
      <c r="F38" s="4">
        <f>Balance_Sheet!F7-Balance_Sheet!E7</f>
        <v>0</v>
      </c>
      <c r="G38" s="4">
        <f>Balance_Sheet!G7-Balance_Sheet!F7</f>
        <v>0</v>
      </c>
      <c r="H38" s="24">
        <f>Balance_Sheet!H7-Balance_Sheet!G7</f>
        <v>0</v>
      </c>
      <c r="I38" s="24">
        <f>Balance_Sheet!I7-Balance_Sheet!H7</f>
        <v>0</v>
      </c>
      <c r="J38" s="24">
        <f>Balance_Sheet!J7-Balance_Sheet!I7</f>
        <v>0</v>
      </c>
      <c r="K38" s="24">
        <f>Balance_Sheet!K7-Balance_Sheet!J7</f>
        <v>0</v>
      </c>
      <c r="L38" s="24">
        <f>Balance_Sheet!L7-Balance_Sheet!K7</f>
        <v>0</v>
      </c>
    </row>
    <row r="39" spans="2:12" ht="18.75" x14ac:dyDescent="0.25">
      <c r="B39" s="8" t="str">
        <f>Balance_Sheet!B15</f>
        <v>Long Term Borrowings</v>
      </c>
      <c r="C39" s="4"/>
      <c r="D39" s="4">
        <f>Balance_Sheet!D15-Balance_Sheet!C15</f>
        <v>-2</v>
      </c>
      <c r="E39" s="4">
        <f>Balance_Sheet!E15-Balance_Sheet!D15</f>
        <v>-2.5999999999999996</v>
      </c>
      <c r="F39" s="4">
        <f>Balance_Sheet!F15-Balance_Sheet!E15</f>
        <v>-2.6000000000000005</v>
      </c>
      <c r="G39" s="4">
        <f>Balance_Sheet!G15-Balance_Sheet!F15</f>
        <v>-2.8</v>
      </c>
      <c r="H39" s="24">
        <f>Balance_Sheet!H15-Balance_Sheet!G15</f>
        <v>0</v>
      </c>
      <c r="I39" s="24">
        <f>Balance_Sheet!I15-Balance_Sheet!H15</f>
        <v>0</v>
      </c>
      <c r="J39" s="24">
        <f>Balance_Sheet!J15-Balance_Sheet!I15</f>
        <v>0</v>
      </c>
      <c r="K39" s="24">
        <f>Balance_Sheet!K15-Balance_Sheet!J15</f>
        <v>0</v>
      </c>
      <c r="L39" s="24">
        <f>Balance_Sheet!L15-Balance_Sheet!K15</f>
        <v>0</v>
      </c>
    </row>
    <row r="40" spans="2:12" ht="18.75" x14ac:dyDescent="0.25">
      <c r="B40" s="8" t="str">
        <f>Balance_Sheet!B17</f>
        <v>Deferred Tax Liabilities [Net]</v>
      </c>
      <c r="C40" s="4"/>
      <c r="D40" s="4">
        <f>Balance_Sheet!D17-Balance_Sheet!C17</f>
        <v>11.899999999999977</v>
      </c>
      <c r="E40" s="4">
        <f>Balance_Sheet!E17-Balance_Sheet!D17</f>
        <v>43.600000000000023</v>
      </c>
      <c r="F40" s="4">
        <f>Balance_Sheet!F17-Balance_Sheet!E17</f>
        <v>-212.10000000000002</v>
      </c>
      <c r="G40" s="4">
        <f>Balance_Sheet!G17-Balance_Sheet!F17</f>
        <v>-445.4</v>
      </c>
      <c r="H40" s="24">
        <f>Balance_Sheet!H17-Balance_Sheet!G17</f>
        <v>1216.7255801697618</v>
      </c>
      <c r="I40" s="24">
        <f>Balance_Sheet!I17-Balance_Sheet!H17</f>
        <v>262.3784807932509</v>
      </c>
      <c r="J40" s="24">
        <f>Balance_Sheet!J17-Balance_Sheet!I17</f>
        <v>342.34209940205574</v>
      </c>
      <c r="K40" s="24">
        <f>Balance_Sheet!K17-Balance_Sheet!J17</f>
        <v>405.50742177507163</v>
      </c>
      <c r="L40" s="24">
        <f>Balance_Sheet!L17-Balance_Sheet!K17</f>
        <v>492.55203240610126</v>
      </c>
    </row>
    <row r="41" spans="2:12" ht="18.75" x14ac:dyDescent="0.25">
      <c r="B41" s="8" t="str">
        <f>Balance_Sheet!B19</f>
        <v>Short Term Borrowings</v>
      </c>
      <c r="C41" s="4"/>
      <c r="D41" s="4">
        <f>Balance_Sheet!D19-Balance_Sheet!C19</f>
        <v>38.799999999999997</v>
      </c>
      <c r="E41" s="4">
        <f>Balance_Sheet!E19-Balance_Sheet!D19</f>
        <v>-43.3</v>
      </c>
      <c r="F41" s="4">
        <f>Balance_Sheet!F19-Balance_Sheet!E19</f>
        <v>382.5</v>
      </c>
      <c r="G41" s="4">
        <f>Balance_Sheet!G19-Balance_Sheet!F19</f>
        <v>-106.90000000000003</v>
      </c>
      <c r="H41" s="24">
        <f>Balance_Sheet!H19-Balance_Sheet!G19</f>
        <v>84.460000000000036</v>
      </c>
      <c r="I41" s="24">
        <f>Balance_Sheet!I19-Balance_Sheet!H19</f>
        <v>100.56999999999994</v>
      </c>
      <c r="J41" s="24">
        <f>Balance_Sheet!J19-Balance_Sheet!I19</f>
        <v>131.22000000000003</v>
      </c>
      <c r="K41" s="24">
        <f>Balance_Sheet!K19-Balance_Sheet!J19</f>
        <v>155.43000000000006</v>
      </c>
      <c r="L41" s="24">
        <f>Balance_Sheet!L19-Balance_Sheet!K19</f>
        <v>188.78999999999985</v>
      </c>
    </row>
    <row r="42" spans="2:12" ht="18.75" x14ac:dyDescent="0.25">
      <c r="B42" s="8" t="str">
        <f>Balance_Sheet!B35:G35</f>
        <v>Minority Interest</v>
      </c>
      <c r="C42" s="4"/>
      <c r="D42" s="4">
        <f>Balance_Sheet!D35-Balance_Sheet!C35</f>
        <v>1.5</v>
      </c>
      <c r="E42" s="4">
        <f>Balance_Sheet!E35-Balance_Sheet!D35</f>
        <v>1.5999999999999979</v>
      </c>
      <c r="F42" s="4">
        <f>Balance_Sheet!F35-Balance_Sheet!E35</f>
        <v>-19.2</v>
      </c>
      <c r="G42" s="4">
        <f>Balance_Sheet!G35-Balance_Sheet!F35</f>
        <v>0</v>
      </c>
      <c r="H42" s="24">
        <f>Balance_Sheet!H35-Balance_Sheet!G35</f>
        <v>35.530237474158824</v>
      </c>
      <c r="I42" s="24">
        <f>Balance_Sheet!I35-Balance_Sheet!H35</f>
        <v>7.6618506938865707</v>
      </c>
      <c r="J42" s="24">
        <f>Balance_Sheet!J35-Balance_Sheet!I35</f>
        <v>9.9969099749345531</v>
      </c>
      <c r="K42" s="24">
        <f>Balance_Sheet!K35-Balance_Sheet!J35</f>
        <v>11.841433457157983</v>
      </c>
      <c r="L42" s="24">
        <f>Balance_Sheet!L35-Balance_Sheet!K35</f>
        <v>14.383268474824547</v>
      </c>
    </row>
    <row r="43" spans="2:12" ht="18.75" x14ac:dyDescent="0.25">
      <c r="B43" s="8" t="s">
        <v>139</v>
      </c>
      <c r="C43" s="4"/>
      <c r="D43" s="4"/>
      <c r="E43" s="4"/>
      <c r="F43" s="4"/>
      <c r="G43" s="4"/>
      <c r="H43" s="24"/>
      <c r="I43" s="24"/>
      <c r="J43" s="24"/>
      <c r="K43" s="24"/>
      <c r="L43" s="24"/>
    </row>
    <row r="44" spans="2:12" ht="18.75" x14ac:dyDescent="0.25">
      <c r="B44" s="8" t="str">
        <f>Income_Statement!B51</f>
        <v>Equity Share Dividend</v>
      </c>
      <c r="C44" s="4"/>
      <c r="D44" s="5">
        <f>Income_Statement!D51</f>
        <v>2416.6</v>
      </c>
      <c r="E44" s="5">
        <f>Income_Statement!E51</f>
        <v>2416.6</v>
      </c>
      <c r="F44" s="5">
        <f>Income_Statement!F51</f>
        <v>1812.5</v>
      </c>
      <c r="G44" s="5">
        <f>Income_Statement!G51</f>
        <v>0</v>
      </c>
      <c r="H44" s="28">
        <f>Income_Statement!H51</f>
        <v>0</v>
      </c>
      <c r="I44" s="28">
        <f>Income_Statement!I51</f>
        <v>0</v>
      </c>
      <c r="J44" s="28">
        <f>Income_Statement!J51</f>
        <v>0</v>
      </c>
      <c r="K44" s="28">
        <f>Income_Statement!K51</f>
        <v>0</v>
      </c>
      <c r="L44" s="28">
        <f>Income_Statement!L51</f>
        <v>0</v>
      </c>
    </row>
    <row r="45" spans="2:12" ht="18.75" x14ac:dyDescent="0.25">
      <c r="B45" s="8" t="str">
        <f>Income_Statement!B53</f>
        <v>Tax On Dividend</v>
      </c>
      <c r="C45" s="4"/>
      <c r="D45" s="4">
        <f>Income_Statement!D53</f>
        <v>496.8</v>
      </c>
      <c r="E45" s="4">
        <f>Income_Statement!E53</f>
        <v>496.8</v>
      </c>
      <c r="F45" s="4">
        <f>Income_Statement!F53</f>
        <v>0</v>
      </c>
      <c r="G45" s="4">
        <f>Income_Statement!G53</f>
        <v>0</v>
      </c>
      <c r="H45" s="24">
        <f>Income_Statement!H53</f>
        <v>0</v>
      </c>
      <c r="I45" s="24">
        <f>Income_Statement!I53</f>
        <v>0</v>
      </c>
      <c r="J45" s="24">
        <f>Income_Statement!J53</f>
        <v>0</v>
      </c>
      <c r="K45" s="24">
        <f>Income_Statement!K53</f>
        <v>0</v>
      </c>
      <c r="L45" s="24">
        <f>Income_Statement!L53</f>
        <v>0</v>
      </c>
    </row>
    <row r="46" spans="2:12" ht="18.75" x14ac:dyDescent="0.25">
      <c r="B46" s="8" t="s">
        <v>140</v>
      </c>
      <c r="C46" s="4"/>
      <c r="D46" s="4">
        <f>Income_Statement!D35</f>
        <v>75.900000000000006</v>
      </c>
      <c r="E46" s="4">
        <f>Income_Statement!E35</f>
        <v>134.19999999999999</v>
      </c>
      <c r="F46" s="4">
        <f>Income_Statement!F35</f>
        <v>101.8</v>
      </c>
      <c r="G46" s="4">
        <f>Income_Statement!G35</f>
        <v>126.6</v>
      </c>
      <c r="H46" s="24">
        <f>Income_Statement!H35</f>
        <v>154.59852317360566</v>
      </c>
      <c r="I46" s="24">
        <f>Income_Statement!I35</f>
        <v>187.93751767478395</v>
      </c>
      <c r="J46" s="24">
        <f>Income_Statement!J35</f>
        <v>231.43699921445403</v>
      </c>
      <c r="K46" s="24">
        <f>Income_Statement!K35</f>
        <v>282.96210526315792</v>
      </c>
      <c r="L46" s="24">
        <f>Income_Statement!L35</f>
        <v>345.54606441476824</v>
      </c>
    </row>
    <row r="47" spans="2:12" ht="18.75" x14ac:dyDescent="0.25">
      <c r="B47" s="9" t="s">
        <v>141</v>
      </c>
      <c r="C47" s="6"/>
      <c r="D47" s="7">
        <f>D37+D38+D39+D40+D41+D42-D44-D45-D46</f>
        <v>-2939.1000000000004</v>
      </c>
      <c r="E47" s="7">
        <f t="shared" ref="E47:L47" si="3">E37+E38+E39+E40+E41+E42-E44-E45-E46</f>
        <v>-3048.2999999999997</v>
      </c>
      <c r="F47" s="7">
        <f t="shared" si="3"/>
        <v>-1765.7</v>
      </c>
      <c r="G47" s="7">
        <f t="shared" si="3"/>
        <v>-681.7</v>
      </c>
      <c r="H47" s="29">
        <f t="shared" si="3"/>
        <v>1182.1172944703151</v>
      </c>
      <c r="I47" s="29">
        <f t="shared" si="3"/>
        <v>182.67281381235344</v>
      </c>
      <c r="J47" s="29">
        <f t="shared" si="3"/>
        <v>252.1220101625363</v>
      </c>
      <c r="K47" s="29">
        <f t="shared" si="3"/>
        <v>289.81674996907179</v>
      </c>
      <c r="L47" s="29">
        <f t="shared" si="3"/>
        <v>350.17923646615748</v>
      </c>
    </row>
    <row r="48" spans="2:12" ht="18.75" x14ac:dyDescent="0.25">
      <c r="B48" s="9" t="s">
        <v>142</v>
      </c>
      <c r="C48" s="6"/>
      <c r="D48" s="7">
        <f>D27+D35+D47</f>
        <v>15270.530848341439</v>
      </c>
      <c r="E48" s="7">
        <f t="shared" ref="E48:L48" si="4">E27+E35+E47</f>
        <v>18218.046501768356</v>
      </c>
      <c r="F48" s="7">
        <f t="shared" si="4"/>
        <v>19254.544107264639</v>
      </c>
      <c r="G48" s="7">
        <f t="shared" si="4"/>
        <v>25146.720819858765</v>
      </c>
      <c r="H48" s="29">
        <f t="shared" si="4"/>
        <v>-491.72983344016279</v>
      </c>
      <c r="I48" s="29">
        <f t="shared" si="4"/>
        <v>8718.7372924118845</v>
      </c>
      <c r="J48" s="29">
        <f t="shared" si="4"/>
        <v>4792.8528086667611</v>
      </c>
      <c r="K48" s="29">
        <f t="shared" si="4"/>
        <v>1203.9574092312432</v>
      </c>
      <c r="L48" s="29">
        <f t="shared" si="4"/>
        <v>-5528.5184704265866</v>
      </c>
    </row>
  </sheetData>
  <mergeCells count="2">
    <mergeCell ref="B3:G3"/>
    <mergeCell ref="H3:L3"/>
  </mergeCells>
  <hyperlinks>
    <hyperlink ref="F1" location="Index_Data!A1" tooltip="Hi click here To return Index page" display="Index_Data!A1" xr:uid="{85EE2F05-EEC2-4C18-96CD-D8D66801D9B4}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0BB096-CB45-45A1-B33D-46C591D87BFC}">
  <dimension ref="B1:O158"/>
  <sheetViews>
    <sheetView showGridLines="0" topLeftCell="A142" workbookViewId="0">
      <selection activeCell="I155" sqref="I155:L157"/>
    </sheetView>
  </sheetViews>
  <sheetFormatPr defaultRowHeight="15" x14ac:dyDescent="0.25"/>
  <cols>
    <col min="2" max="2" width="42.140625" bestFit="1" customWidth="1"/>
    <col min="3" max="6" width="15.140625" bestFit="1" customWidth="1"/>
    <col min="7" max="7" width="14.8554687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9.5" thickBot="1" x14ac:dyDescent="0.3">
      <c r="B5" s="44" t="s">
        <v>145</v>
      </c>
      <c r="C5" s="44"/>
      <c r="D5" s="44"/>
      <c r="E5" s="44"/>
      <c r="F5" s="44"/>
      <c r="G5" s="44"/>
    </row>
    <row r="6" spans="2:15" ht="19.5" thickTop="1" x14ac:dyDescent="0.25">
      <c r="B6" s="12" t="str">
        <f>Income_Statement!B49</f>
        <v>Reported Net Profit(PAT)</v>
      </c>
      <c r="C6" s="13">
        <f>Income_Statement!C49</f>
        <v>15969.897686337576</v>
      </c>
      <c r="D6" s="13">
        <f>Income_Statement!D49</f>
        <v>19582.030848341434</v>
      </c>
      <c r="E6" s="13">
        <f>Income_Statement!E49</f>
        <v>20011.846501768356</v>
      </c>
      <c r="F6" s="13">
        <f>Income_Statement!F49</f>
        <v>17875.844107264642</v>
      </c>
      <c r="G6" s="13">
        <f>Income_Statement!G49</f>
        <v>25493.020819858768</v>
      </c>
      <c r="I6" s="35"/>
      <c r="J6" s="36"/>
      <c r="K6" s="36"/>
      <c r="L6" s="37"/>
    </row>
    <row r="7" spans="2:15" ht="18.75" x14ac:dyDescent="0.25">
      <c r="B7" s="12" t="str">
        <f>Income_Statement!B61</f>
        <v>Total Shares Outstanding(cr)</v>
      </c>
      <c r="C7" s="13">
        <f>Income_Statement!C61</f>
        <v>61.187347457232093</v>
      </c>
      <c r="D7" s="13">
        <f>Income_Statement!D61</f>
        <v>77.399331416369307</v>
      </c>
      <c r="E7" s="13">
        <f>Income_Statement!E61</f>
        <v>106.44599203068275</v>
      </c>
      <c r="F7" s="13">
        <f>Income_Statement!F61</f>
        <v>123.28168349837684</v>
      </c>
      <c r="G7" s="13">
        <f>Income_Statement!G61</f>
        <v>199.16422515514662</v>
      </c>
      <c r="I7" s="38"/>
      <c r="J7" s="39"/>
      <c r="K7" s="39"/>
      <c r="L7" s="40"/>
    </row>
    <row r="8" spans="2:15" ht="19.5" thickBot="1" x14ac:dyDescent="0.3">
      <c r="B8" s="14" t="s">
        <v>146</v>
      </c>
      <c r="C8" s="14">
        <f>ROUND(C6/C7, 2)</f>
        <v>261</v>
      </c>
      <c r="D8" s="14">
        <f t="shared" ref="D8:G8" si="0">ROUND(D6/D7, 2)</f>
        <v>253</v>
      </c>
      <c r="E8" s="14">
        <f t="shared" si="0"/>
        <v>188</v>
      </c>
      <c r="F8" s="14">
        <f t="shared" si="0"/>
        <v>145</v>
      </c>
      <c r="G8" s="14">
        <f t="shared" si="0"/>
        <v>128</v>
      </c>
      <c r="I8" s="41"/>
      <c r="J8" s="42"/>
      <c r="K8" s="42"/>
      <c r="L8" s="43"/>
    </row>
    <row r="9" spans="2:15" ht="15.75" thickTop="1" x14ac:dyDescent="0.25"/>
    <row r="10" spans="2:15" ht="19.5" thickBot="1" x14ac:dyDescent="0.3">
      <c r="B10" s="44" t="s">
        <v>147</v>
      </c>
      <c r="C10" s="44"/>
      <c r="D10" s="44"/>
      <c r="E10" s="44"/>
      <c r="F10" s="44"/>
      <c r="G10" s="44"/>
    </row>
    <row r="11" spans="2:15" ht="19.5" thickTop="1" x14ac:dyDescent="0.25">
      <c r="B11" s="12" t="str">
        <f>Income_Statement!B51</f>
        <v>Equity Share Dividend</v>
      </c>
      <c r="C11" s="13">
        <f>Income_Statement!C51</f>
        <v>2265.6</v>
      </c>
      <c r="D11" s="13">
        <f>Income_Statement!D51</f>
        <v>2416.6</v>
      </c>
      <c r="E11" s="13">
        <f>Income_Statement!E51</f>
        <v>2416.6</v>
      </c>
      <c r="F11" s="13">
        <f>Income_Statement!F51</f>
        <v>1812.5</v>
      </c>
      <c r="G11" s="13">
        <f>Income_Statement!G51</f>
        <v>0</v>
      </c>
      <c r="I11" s="35"/>
      <c r="J11" s="36"/>
      <c r="K11" s="36"/>
      <c r="L11" s="37"/>
    </row>
    <row r="12" spans="2:15" ht="18.75" x14ac:dyDescent="0.25">
      <c r="B12" s="12" t="str">
        <f>Income_Statement!B61</f>
        <v>Total Shares Outstanding(cr)</v>
      </c>
      <c r="C12" s="13">
        <f>Income_Statement!C61</f>
        <v>61.187347457232093</v>
      </c>
      <c r="D12" s="13">
        <f>Income_Statement!D61</f>
        <v>77.399331416369307</v>
      </c>
      <c r="E12" s="13">
        <f>Income_Statement!E61</f>
        <v>106.44599203068275</v>
      </c>
      <c r="F12" s="13">
        <f>Income_Statement!F61</f>
        <v>123.28168349837684</v>
      </c>
      <c r="G12" s="13">
        <f>Income_Statement!G61</f>
        <v>199.16422515514662</v>
      </c>
      <c r="I12" s="38"/>
      <c r="J12" s="39"/>
      <c r="K12" s="39"/>
      <c r="L12" s="40"/>
    </row>
    <row r="13" spans="2:15" ht="19.5" thickBot="1" x14ac:dyDescent="0.3">
      <c r="B13" s="14" t="s">
        <v>148</v>
      </c>
      <c r="C13" s="14">
        <f>ROUND(C11/C12, 2)</f>
        <v>37.03</v>
      </c>
      <c r="D13" s="14">
        <f t="shared" ref="D13:G13" si="1">ROUND(D11/D12, 2)</f>
        <v>31.22</v>
      </c>
      <c r="E13" s="14">
        <f t="shared" si="1"/>
        <v>22.7</v>
      </c>
      <c r="F13" s="14">
        <f t="shared" si="1"/>
        <v>14.7</v>
      </c>
      <c r="G13" s="14">
        <f t="shared" si="1"/>
        <v>0</v>
      </c>
      <c r="I13" s="41"/>
      <c r="J13" s="42"/>
      <c r="K13" s="42"/>
      <c r="L13" s="43"/>
    </row>
    <row r="14" spans="2:15" ht="15.75" thickTop="1" x14ac:dyDescent="0.25"/>
    <row r="15" spans="2:15" ht="19.5" thickBot="1" x14ac:dyDescent="0.3">
      <c r="B15" s="44" t="s">
        <v>149</v>
      </c>
      <c r="C15" s="44"/>
      <c r="D15" s="44"/>
      <c r="E15" s="44"/>
      <c r="F15" s="44"/>
      <c r="G15" s="44"/>
    </row>
    <row r="16" spans="2:15" ht="19.5" thickTop="1" x14ac:dyDescent="0.25">
      <c r="B16" s="12" t="str">
        <f>Balance_Sheet!B13</f>
        <v>Net Worth</v>
      </c>
      <c r="C16" s="13">
        <f>Balance_Sheet!C13</f>
        <v>42559.4</v>
      </c>
      <c r="D16" s="13">
        <f>Balance_Sheet!D13</f>
        <v>59228.030848341441</v>
      </c>
      <c r="E16" s="13">
        <f>Balance_Sheet!E13</f>
        <v>76326.477350109795</v>
      </c>
      <c r="F16" s="13">
        <f>Balance_Sheet!F13</f>
        <v>92389.821457374434</v>
      </c>
      <c r="G16" s="13">
        <f>Balance_Sheet!G13</f>
        <v>117882.8422772332</v>
      </c>
      <c r="I16" s="35"/>
      <c r="J16" s="36"/>
      <c r="K16" s="36"/>
      <c r="L16" s="37"/>
    </row>
    <row r="17" spans="2:12" ht="18.75" x14ac:dyDescent="0.25">
      <c r="B17" s="12" t="str">
        <f>Income_Statement!B61</f>
        <v>Total Shares Outstanding(cr)</v>
      </c>
      <c r="C17" s="13">
        <f>Income_Statement!C61</f>
        <v>61.187347457232093</v>
      </c>
      <c r="D17" s="13">
        <f>Income_Statement!D61</f>
        <v>77.399331416369307</v>
      </c>
      <c r="E17" s="13">
        <f>Income_Statement!E61</f>
        <v>106.44599203068275</v>
      </c>
      <c r="F17" s="13">
        <f>Income_Statement!F61</f>
        <v>123.28168349837684</v>
      </c>
      <c r="G17" s="13">
        <f>Income_Statement!G61</f>
        <v>199.16422515514662</v>
      </c>
      <c r="I17" s="38"/>
      <c r="J17" s="39"/>
      <c r="K17" s="39"/>
      <c r="L17" s="40"/>
    </row>
    <row r="18" spans="2:12" ht="19.5" thickBot="1" x14ac:dyDescent="0.3">
      <c r="B18" s="14" t="s">
        <v>150</v>
      </c>
      <c r="C18" s="14">
        <f>ROUND(C16/C17, 2)</f>
        <v>695.56</v>
      </c>
      <c r="D18" s="14">
        <f t="shared" ref="D18:G18" si="2">ROUND(D16/D17, 2)</f>
        <v>765.23</v>
      </c>
      <c r="E18" s="14">
        <f t="shared" si="2"/>
        <v>717.04</v>
      </c>
      <c r="F18" s="14">
        <f t="shared" si="2"/>
        <v>749.42</v>
      </c>
      <c r="G18" s="14">
        <f t="shared" si="2"/>
        <v>591.89</v>
      </c>
      <c r="I18" s="41"/>
      <c r="J18" s="42"/>
      <c r="K18" s="42"/>
      <c r="L18" s="43"/>
    </row>
    <row r="19" spans="2:12" ht="15.75" thickTop="1" x14ac:dyDescent="0.25"/>
    <row r="20" spans="2:12" ht="18.75" x14ac:dyDescent="0.25">
      <c r="B20" s="44" t="s">
        <v>151</v>
      </c>
      <c r="C20" s="44"/>
      <c r="D20" s="44"/>
      <c r="E20" s="44"/>
      <c r="F20" s="44"/>
      <c r="G20" s="44"/>
    </row>
    <row r="21" spans="2:12" ht="18.75" x14ac:dyDescent="0.25">
      <c r="B21" s="12" t="str">
        <f>Income_Statement!B51</f>
        <v>Equity Share Dividend</v>
      </c>
      <c r="C21" s="13">
        <f>Income_Statement!C51</f>
        <v>2265.6</v>
      </c>
      <c r="D21" s="13">
        <f>Income_Statement!D51</f>
        <v>2416.6</v>
      </c>
      <c r="E21" s="13">
        <f>Income_Statement!E51</f>
        <v>2416.6</v>
      </c>
      <c r="F21" s="13">
        <f>Income_Statement!F51</f>
        <v>1812.5</v>
      </c>
      <c r="G21" s="13">
        <f>Income_Statement!G51</f>
        <v>0</v>
      </c>
    </row>
    <row r="22" spans="2:12" ht="18.75" x14ac:dyDescent="0.25">
      <c r="B22" s="12" t="str">
        <f>Income_Statement!B61</f>
        <v>Total Shares Outstanding(cr)</v>
      </c>
      <c r="C22" s="13">
        <f>Income_Statement!C61</f>
        <v>61.187347457232093</v>
      </c>
      <c r="D22" s="13">
        <f>Income_Statement!D61</f>
        <v>77.399331416369307</v>
      </c>
      <c r="E22" s="13">
        <f>Income_Statement!E61</f>
        <v>106.44599203068275</v>
      </c>
      <c r="F22" s="13">
        <f>Income_Statement!F61</f>
        <v>123.28168349837684</v>
      </c>
      <c r="G22" s="13">
        <f>Income_Statement!G61</f>
        <v>199.16422515514662</v>
      </c>
    </row>
    <row r="23" spans="2:12" ht="18.75" x14ac:dyDescent="0.25">
      <c r="B23" s="12" t="s">
        <v>148</v>
      </c>
      <c r="C23" s="13">
        <f>ROUND(C21/C22, 2)</f>
        <v>37.03</v>
      </c>
      <c r="D23" s="13">
        <f t="shared" ref="D23:G23" si="3">ROUND(D21/D22, 2)</f>
        <v>31.22</v>
      </c>
      <c r="E23" s="13">
        <f t="shared" si="3"/>
        <v>22.7</v>
      </c>
      <c r="F23" s="13">
        <f t="shared" si="3"/>
        <v>14.7</v>
      </c>
      <c r="G23" s="13">
        <f t="shared" si="3"/>
        <v>0</v>
      </c>
    </row>
    <row r="24" spans="2:12" ht="19.5" thickBot="1" x14ac:dyDescent="0.3">
      <c r="B24" s="12" t="str">
        <f>Income_Statement!B49</f>
        <v>Reported Net Profit(PAT)</v>
      </c>
      <c r="C24" s="13">
        <f>Income_Statement!C49</f>
        <v>15969.897686337576</v>
      </c>
      <c r="D24" s="13">
        <f>Income_Statement!D49</f>
        <v>19582.030848341434</v>
      </c>
      <c r="E24" s="13">
        <f>Income_Statement!E49</f>
        <v>20011.846501768356</v>
      </c>
      <c r="F24" s="13">
        <f>Income_Statement!F49</f>
        <v>17875.844107264642</v>
      </c>
      <c r="G24" s="13">
        <f>Income_Statement!G49</f>
        <v>25493.020819858768</v>
      </c>
    </row>
    <row r="25" spans="2:12" ht="19.5" thickTop="1" x14ac:dyDescent="0.25">
      <c r="B25" s="12" t="str">
        <f>Income_Statement!B61</f>
        <v>Total Shares Outstanding(cr)</v>
      </c>
      <c r="C25" s="13">
        <f>Income_Statement!C61</f>
        <v>61.187347457232093</v>
      </c>
      <c r="D25" s="13">
        <f>Income_Statement!D61</f>
        <v>77.399331416369307</v>
      </c>
      <c r="E25" s="13">
        <f>Income_Statement!E61</f>
        <v>106.44599203068275</v>
      </c>
      <c r="F25" s="13">
        <f>Income_Statement!F61</f>
        <v>123.28168349837684</v>
      </c>
      <c r="G25" s="13">
        <f>Income_Statement!G61</f>
        <v>199.16422515514662</v>
      </c>
      <c r="I25" s="35"/>
      <c r="J25" s="36"/>
      <c r="K25" s="36"/>
      <c r="L25" s="37"/>
    </row>
    <row r="26" spans="2:12" ht="18.75" x14ac:dyDescent="0.25">
      <c r="B26" s="12" t="s">
        <v>146</v>
      </c>
      <c r="C26" s="13">
        <f>C24/C25</f>
        <v>261</v>
      </c>
      <c r="D26" s="13">
        <f t="shared" ref="D26:G26" si="4">D24/D25</f>
        <v>253</v>
      </c>
      <c r="E26" s="13">
        <f t="shared" si="4"/>
        <v>188</v>
      </c>
      <c r="F26" s="13">
        <f t="shared" si="4"/>
        <v>145</v>
      </c>
      <c r="G26" s="13">
        <f t="shared" si="4"/>
        <v>128</v>
      </c>
      <c r="I26" s="38"/>
      <c r="J26" s="39"/>
      <c r="K26" s="39"/>
      <c r="L26" s="40"/>
    </row>
    <row r="27" spans="2:12" ht="19.5" thickBot="1" x14ac:dyDescent="0.3">
      <c r="B27" s="14" t="s">
        <v>152</v>
      </c>
      <c r="C27" s="14">
        <f>ROUND(C23/C26, 2)</f>
        <v>0.14000000000000001</v>
      </c>
      <c r="D27" s="14">
        <f t="shared" ref="D27:G27" si="5">ROUND(D23/D26, 2)</f>
        <v>0.12</v>
      </c>
      <c r="E27" s="14">
        <f t="shared" si="5"/>
        <v>0.12</v>
      </c>
      <c r="F27" s="14">
        <f t="shared" si="5"/>
        <v>0.1</v>
      </c>
      <c r="G27" s="14">
        <f t="shared" si="5"/>
        <v>0</v>
      </c>
      <c r="I27" s="41"/>
      <c r="J27" s="42"/>
      <c r="K27" s="42"/>
      <c r="L27" s="43"/>
    </row>
    <row r="28" spans="2:12" ht="15.75" thickTop="1" x14ac:dyDescent="0.25"/>
    <row r="29" spans="2:12" ht="18.75" x14ac:dyDescent="0.25">
      <c r="B29" s="44" t="s">
        <v>153</v>
      </c>
      <c r="C29" s="44"/>
      <c r="D29" s="44"/>
      <c r="E29" s="44"/>
      <c r="F29" s="44"/>
      <c r="G29" s="44"/>
    </row>
    <row r="30" spans="2:12" ht="19.5" thickBot="1" x14ac:dyDescent="0.3">
      <c r="B30" s="12" t="str">
        <f>Income_Statement!B51</f>
        <v>Equity Share Dividend</v>
      </c>
      <c r="C30" s="13">
        <f>Income_Statement!C51</f>
        <v>2265.6</v>
      </c>
      <c r="D30" s="13">
        <f>Income_Statement!D51</f>
        <v>2416.6</v>
      </c>
      <c r="E30" s="13">
        <f>Income_Statement!E51</f>
        <v>2416.6</v>
      </c>
      <c r="F30" s="13">
        <f>Income_Statement!F51</f>
        <v>1812.5</v>
      </c>
      <c r="G30" s="13">
        <f>Income_Statement!G51</f>
        <v>0</v>
      </c>
    </row>
    <row r="31" spans="2:12" ht="19.5" thickTop="1" x14ac:dyDescent="0.25">
      <c r="B31" s="12" t="str">
        <f>Income_Statement!B61</f>
        <v>Total Shares Outstanding(cr)</v>
      </c>
      <c r="C31" s="13">
        <f>Income_Statement!C61</f>
        <v>61.187347457232093</v>
      </c>
      <c r="D31" s="13">
        <f>Income_Statement!D61</f>
        <v>77.399331416369307</v>
      </c>
      <c r="E31" s="13">
        <f>Income_Statement!E61</f>
        <v>106.44599203068275</v>
      </c>
      <c r="F31" s="13">
        <f>Income_Statement!F61</f>
        <v>123.28168349837684</v>
      </c>
      <c r="G31" s="13">
        <f>Income_Statement!G61</f>
        <v>199.16422515514662</v>
      </c>
      <c r="I31" s="35"/>
      <c r="J31" s="36"/>
      <c r="K31" s="36"/>
      <c r="L31" s="37"/>
    </row>
    <row r="32" spans="2:12" ht="18.75" x14ac:dyDescent="0.25">
      <c r="B32" s="12" t="s">
        <v>154</v>
      </c>
      <c r="C32" s="13">
        <f>ROUND(C30/C31, 2)</f>
        <v>37.03</v>
      </c>
      <c r="D32" s="13">
        <f t="shared" ref="D32:G32" si="6">ROUND(D30/D31, 2)</f>
        <v>31.22</v>
      </c>
      <c r="E32" s="13">
        <f t="shared" si="6"/>
        <v>22.7</v>
      </c>
      <c r="F32" s="13">
        <f t="shared" si="6"/>
        <v>14.7</v>
      </c>
      <c r="G32" s="13">
        <f t="shared" si="6"/>
        <v>0</v>
      </c>
      <c r="I32" s="38"/>
      <c r="J32" s="39"/>
      <c r="K32" s="39"/>
      <c r="L32" s="40"/>
    </row>
    <row r="33" spans="2:12" ht="19.5" thickBot="1" x14ac:dyDescent="0.3">
      <c r="B33" s="14" t="s">
        <v>155</v>
      </c>
      <c r="C33" s="15">
        <f>1-C32</f>
        <v>-36.03</v>
      </c>
      <c r="D33" s="15">
        <f t="shared" ref="D33:G33" si="7">1-D32</f>
        <v>-30.22</v>
      </c>
      <c r="E33" s="15">
        <f t="shared" si="7"/>
        <v>-21.7</v>
      </c>
      <c r="F33" s="15">
        <f t="shared" si="7"/>
        <v>-13.7</v>
      </c>
      <c r="G33" s="15">
        <f t="shared" si="7"/>
        <v>1</v>
      </c>
      <c r="I33" s="41"/>
      <c r="J33" s="42"/>
      <c r="K33" s="42"/>
      <c r="L33" s="43"/>
    </row>
    <row r="34" spans="2:12" ht="15.75" thickTop="1" x14ac:dyDescent="0.25"/>
    <row r="35" spans="2:12" ht="19.5" thickBot="1" x14ac:dyDescent="0.3">
      <c r="B35" s="44" t="s">
        <v>156</v>
      </c>
      <c r="C35" s="44"/>
      <c r="D35" s="44"/>
      <c r="E35" s="44"/>
      <c r="F35" s="44"/>
      <c r="G35" s="44"/>
    </row>
    <row r="36" spans="2:12" ht="19.5" thickTop="1" x14ac:dyDescent="0.25">
      <c r="B36" s="12" t="str">
        <f>Income_Statement!B5</f>
        <v>Gross Sales</v>
      </c>
      <c r="C36" s="13">
        <f>Income_Statement!C5</f>
        <v>80348.800000000003</v>
      </c>
      <c r="D36" s="13">
        <f>Income_Statement!D5</f>
        <v>83038.5</v>
      </c>
      <c r="E36" s="13">
        <f>Income_Statement!E5</f>
        <v>71704.800000000003</v>
      </c>
      <c r="F36" s="13">
        <f>Income_Statement!F5</f>
        <v>66571.8</v>
      </c>
      <c r="G36" s="13">
        <f>Income_Statement!G5</f>
        <v>83799.8</v>
      </c>
      <c r="I36" s="35"/>
      <c r="J36" s="36"/>
      <c r="K36" s="36"/>
      <c r="L36" s="37"/>
    </row>
    <row r="37" spans="2:12" ht="18.75" x14ac:dyDescent="0.25">
      <c r="B37" s="12" t="str">
        <f>Income_Statement!B17</f>
        <v>Cost Of Materials Consumed</v>
      </c>
      <c r="C37" s="13">
        <f>Income_Statement!C17</f>
        <v>44943.199999999997</v>
      </c>
      <c r="D37" s="13">
        <f>Income_Statement!D17</f>
        <v>45025.7</v>
      </c>
      <c r="E37" s="13">
        <f>Income_Statement!E17</f>
        <v>34634.800000000003</v>
      </c>
      <c r="F37" s="13">
        <f>Income_Statement!F17</f>
        <v>33296.400000000001</v>
      </c>
      <c r="G37" s="13">
        <f>Income_Statement!G17</f>
        <v>39739.599999999999</v>
      </c>
      <c r="I37" s="38"/>
      <c r="J37" s="39"/>
      <c r="K37" s="39"/>
      <c r="L37" s="40"/>
    </row>
    <row r="38" spans="2:12" ht="19.5" thickBot="1" x14ac:dyDescent="0.3">
      <c r="B38" s="14" t="s">
        <v>157</v>
      </c>
      <c r="C38" s="16">
        <f>ROUND(C36- C37, 2)</f>
        <v>35405.599999999999</v>
      </c>
      <c r="D38" s="16">
        <f t="shared" ref="D38:G38" si="8">ROUND(D36- D37, 2)</f>
        <v>38012.800000000003</v>
      </c>
      <c r="E38" s="16">
        <f t="shared" si="8"/>
        <v>37070</v>
      </c>
      <c r="F38" s="16">
        <f t="shared" si="8"/>
        <v>33275.4</v>
      </c>
      <c r="G38" s="16">
        <f t="shared" si="8"/>
        <v>44060.2</v>
      </c>
      <c r="I38" s="41"/>
      <c r="J38" s="42"/>
      <c r="K38" s="42"/>
      <c r="L38" s="43"/>
    </row>
    <row r="39" spans="2:12" ht="15.75" thickTop="1" x14ac:dyDescent="0.25"/>
    <row r="40" spans="2:12" ht="19.5" thickBot="1" x14ac:dyDescent="0.3">
      <c r="B40" s="44" t="s">
        <v>158</v>
      </c>
      <c r="C40" s="44"/>
      <c r="D40" s="44"/>
      <c r="E40" s="44"/>
      <c r="F40" s="44"/>
      <c r="G40" s="44"/>
    </row>
    <row r="41" spans="2:12" ht="19.5" thickTop="1" x14ac:dyDescent="0.25">
      <c r="B41" s="12" t="str">
        <f>Income_Statement!B5</f>
        <v>Gross Sales</v>
      </c>
      <c r="C41" s="13">
        <f>Income_Statement!C5</f>
        <v>80348.800000000003</v>
      </c>
      <c r="D41" s="13">
        <f>Income_Statement!D5</f>
        <v>83038.5</v>
      </c>
      <c r="E41" s="13">
        <f>Income_Statement!E5</f>
        <v>71704.800000000003</v>
      </c>
      <c r="F41" s="13">
        <f>Income_Statement!F5</f>
        <v>66571.8</v>
      </c>
      <c r="G41" s="13">
        <f>Income_Statement!G5</f>
        <v>83799.8</v>
      </c>
      <c r="I41" s="35"/>
      <c r="J41" s="36"/>
      <c r="K41" s="36"/>
      <c r="L41" s="37"/>
    </row>
    <row r="42" spans="2:12" ht="18.75" x14ac:dyDescent="0.25">
      <c r="B42" s="12" t="str">
        <f>Income_Statement!B25</f>
        <v>Total Expenditure</v>
      </c>
      <c r="C42" s="13">
        <f>Income_Statement!C25</f>
        <v>57802.2</v>
      </c>
      <c r="D42" s="13">
        <f>Income_Statement!D25</f>
        <v>59949.2</v>
      </c>
      <c r="E42" s="13">
        <f>Income_Statement!E25</f>
        <v>49940.6</v>
      </c>
      <c r="F42" s="13">
        <f>Income_Statement!F25</f>
        <v>47565.5</v>
      </c>
      <c r="G42" s="13">
        <f>Income_Statement!G25</f>
        <v>56319.199999999997</v>
      </c>
      <c r="I42" s="38"/>
      <c r="J42" s="39"/>
      <c r="K42" s="39"/>
      <c r="L42" s="40"/>
    </row>
    <row r="43" spans="2:12" ht="19.5" thickBot="1" x14ac:dyDescent="0.3">
      <c r="B43" s="14" t="s">
        <v>159</v>
      </c>
      <c r="C43" s="16">
        <f>ROUND(C41- C42, 2)</f>
        <v>22546.6</v>
      </c>
      <c r="D43" s="16">
        <f t="shared" ref="D43:G43" si="9">ROUND(D41- D42, 2)</f>
        <v>23089.3</v>
      </c>
      <c r="E43" s="16">
        <f t="shared" si="9"/>
        <v>21764.2</v>
      </c>
      <c r="F43" s="16">
        <f t="shared" si="9"/>
        <v>19006.3</v>
      </c>
      <c r="G43" s="16">
        <f t="shared" si="9"/>
        <v>27480.6</v>
      </c>
      <c r="I43" s="41"/>
      <c r="J43" s="42"/>
      <c r="K43" s="42"/>
      <c r="L43" s="43"/>
    </row>
    <row r="44" spans="2:12" ht="15.75" thickTop="1" x14ac:dyDescent="0.25"/>
    <row r="45" spans="2:12" ht="19.5" thickBot="1" x14ac:dyDescent="0.3">
      <c r="B45" s="44" t="s">
        <v>160</v>
      </c>
      <c r="C45" s="44"/>
      <c r="D45" s="44"/>
      <c r="E45" s="44"/>
      <c r="F45" s="44"/>
      <c r="G45" s="44"/>
    </row>
    <row r="46" spans="2:12" ht="19.5" thickTop="1" x14ac:dyDescent="0.25">
      <c r="B46" s="12" t="str">
        <f>Income_Statement!B49</f>
        <v>Reported Net Profit(PAT)</v>
      </c>
      <c r="C46" s="13">
        <f>Income_Statement!C49</f>
        <v>15969.897686337576</v>
      </c>
      <c r="D46" s="13">
        <f>Income_Statement!D49</f>
        <v>19582.030848341434</v>
      </c>
      <c r="E46" s="13">
        <f>Income_Statement!E49</f>
        <v>20011.846501768356</v>
      </c>
      <c r="F46" s="13">
        <f>Income_Statement!F49</f>
        <v>17875.844107264642</v>
      </c>
      <c r="G46" s="13">
        <f>Income_Statement!G49</f>
        <v>25493.020819858768</v>
      </c>
      <c r="I46" s="35"/>
      <c r="J46" s="36"/>
      <c r="K46" s="36"/>
      <c r="L46" s="37"/>
    </row>
    <row r="47" spans="2:12" ht="18.75" x14ac:dyDescent="0.25">
      <c r="B47" s="12" t="str">
        <f>Balance_Sheet!B74</f>
        <v>Total Assets</v>
      </c>
      <c r="C47" s="13">
        <f>Balance_Sheet!C74</f>
        <v>60248.400000000009</v>
      </c>
      <c r="D47" s="13">
        <f>Balance_Sheet!D74</f>
        <v>76104.630848341447</v>
      </c>
      <c r="E47" s="13">
        <f>Balance_Sheet!E74</f>
        <v>90541.177350109792</v>
      </c>
      <c r="F47" s="13">
        <f>Balance_Sheet!F74</f>
        <v>111171.92145737444</v>
      </c>
      <c r="G47" s="13">
        <f>Balance_Sheet!G74</f>
        <v>137204.8422772332</v>
      </c>
      <c r="I47" s="38"/>
      <c r="J47" s="39"/>
      <c r="K47" s="39"/>
      <c r="L47" s="40"/>
    </row>
    <row r="48" spans="2:12" ht="19.5" thickBot="1" x14ac:dyDescent="0.3">
      <c r="B48" s="14" t="s">
        <v>161</v>
      </c>
      <c r="C48" s="15">
        <f>ROUND(C46/ C47, 2)</f>
        <v>0.27</v>
      </c>
      <c r="D48" s="15">
        <f t="shared" ref="D48:G48" si="10">ROUND(D46/ D47, 2)</f>
        <v>0.26</v>
      </c>
      <c r="E48" s="15">
        <f t="shared" si="10"/>
        <v>0.22</v>
      </c>
      <c r="F48" s="15">
        <f t="shared" si="10"/>
        <v>0.16</v>
      </c>
      <c r="G48" s="15">
        <f t="shared" si="10"/>
        <v>0.19</v>
      </c>
      <c r="I48" s="41"/>
      <c r="J48" s="42"/>
      <c r="K48" s="42"/>
      <c r="L48" s="43"/>
    </row>
    <row r="49" spans="2:12" ht="15.75" thickTop="1" x14ac:dyDescent="0.25"/>
    <row r="50" spans="2:12" ht="18.75" x14ac:dyDescent="0.25">
      <c r="B50" s="44" t="s">
        <v>162</v>
      </c>
      <c r="C50" s="44"/>
      <c r="D50" s="44"/>
      <c r="E50" s="44"/>
      <c r="F50" s="44"/>
      <c r="G50" s="44"/>
    </row>
    <row r="51" spans="2:12" ht="19.5" thickBot="1" x14ac:dyDescent="0.3">
      <c r="B51" s="12" t="str">
        <f>Income_Statement!B33</f>
        <v>PBIT</v>
      </c>
      <c r="C51" s="13">
        <f>Income_Statement!C33</f>
        <v>19601.897686337576</v>
      </c>
      <c r="D51" s="13">
        <f>Income_Statement!D33</f>
        <v>22631.130848341436</v>
      </c>
      <c r="E51" s="13">
        <f>Income_Statement!E33</f>
        <v>21571.246501768357</v>
      </c>
      <c r="F51" s="13">
        <f>Income_Statement!F33</f>
        <v>18909.544107264643</v>
      </c>
      <c r="G51" s="13">
        <f>Income_Statement!G33</f>
        <v>26437.320819858767</v>
      </c>
    </row>
    <row r="52" spans="2:12" ht="19.5" thickTop="1" x14ac:dyDescent="0.25">
      <c r="B52" s="12" t="str">
        <f>Balance_Sheet!B21</f>
        <v>Total Debt</v>
      </c>
      <c r="C52" s="13">
        <f>Balance_Sheet!C21</f>
        <v>722.8</v>
      </c>
      <c r="D52" s="13">
        <f>Balance_Sheet!D21</f>
        <v>771.5</v>
      </c>
      <c r="E52" s="13">
        <f>Balance_Sheet!E21</f>
        <v>769.19999999999993</v>
      </c>
      <c r="F52" s="13">
        <f>Balance_Sheet!F21</f>
        <v>937</v>
      </c>
      <c r="G52" s="13">
        <f>Balance_Sheet!G21</f>
        <v>381.9</v>
      </c>
      <c r="I52" s="35"/>
      <c r="J52" s="36"/>
      <c r="K52" s="36"/>
      <c r="L52" s="37"/>
    </row>
    <row r="53" spans="2:12" ht="18.75" x14ac:dyDescent="0.25">
      <c r="B53" s="12" t="str">
        <f>Balance_Sheet!B13</f>
        <v>Net Worth</v>
      </c>
      <c r="C53" s="13">
        <f>Balance_Sheet!C13</f>
        <v>42559.4</v>
      </c>
      <c r="D53" s="13">
        <f>Balance_Sheet!D13</f>
        <v>59228.030848341441</v>
      </c>
      <c r="E53" s="13">
        <f>Balance_Sheet!E13</f>
        <v>76326.477350109795</v>
      </c>
      <c r="F53" s="13">
        <f>Balance_Sheet!F13</f>
        <v>92389.821457374434</v>
      </c>
      <c r="G53" s="13">
        <f>Balance_Sheet!G13</f>
        <v>117882.8422772332</v>
      </c>
      <c r="I53" s="38"/>
      <c r="J53" s="39"/>
      <c r="K53" s="39"/>
      <c r="L53" s="40"/>
    </row>
    <row r="54" spans="2:12" ht="19.5" thickBot="1" x14ac:dyDescent="0.3">
      <c r="B54" s="14" t="s">
        <v>163</v>
      </c>
      <c r="C54" s="15">
        <f>ROUND(C51/ (C52+ C52), 2)</f>
        <v>13.56</v>
      </c>
      <c r="D54" s="15">
        <f t="shared" ref="D54:G54" si="11">ROUND(D51/ (D52+ D52), 2)</f>
        <v>14.67</v>
      </c>
      <c r="E54" s="15">
        <f t="shared" si="11"/>
        <v>14.02</v>
      </c>
      <c r="F54" s="15">
        <f t="shared" si="11"/>
        <v>10.09</v>
      </c>
      <c r="G54" s="15">
        <f t="shared" si="11"/>
        <v>34.61</v>
      </c>
      <c r="I54" s="41"/>
      <c r="J54" s="42"/>
      <c r="K54" s="42"/>
      <c r="L54" s="43"/>
    </row>
    <row r="55" spans="2:12" ht="15.75" thickTop="1" x14ac:dyDescent="0.25"/>
    <row r="56" spans="2:12" ht="19.5" thickBot="1" x14ac:dyDescent="0.3">
      <c r="B56" s="44" t="s">
        <v>164</v>
      </c>
      <c r="C56" s="44"/>
      <c r="D56" s="44"/>
      <c r="E56" s="44"/>
      <c r="F56" s="44"/>
      <c r="G56" s="44"/>
    </row>
    <row r="57" spans="2:12" ht="19.5" thickTop="1" x14ac:dyDescent="0.25">
      <c r="B57" s="12" t="str">
        <f>Income_Statement!B49</f>
        <v>Reported Net Profit(PAT)</v>
      </c>
      <c r="C57" s="13">
        <f>Income_Statement!C49</f>
        <v>15969.897686337576</v>
      </c>
      <c r="D57" s="13">
        <f>Income_Statement!D49</f>
        <v>19582.030848341434</v>
      </c>
      <c r="E57" s="13">
        <f>Income_Statement!E49</f>
        <v>20011.846501768356</v>
      </c>
      <c r="F57" s="13">
        <f>Income_Statement!F49</f>
        <v>17875.844107264642</v>
      </c>
      <c r="G57" s="13">
        <f>Income_Statement!G49</f>
        <v>25493.020819858768</v>
      </c>
      <c r="I57" s="35"/>
      <c r="J57" s="36"/>
      <c r="K57" s="36"/>
      <c r="L57" s="37"/>
    </row>
    <row r="58" spans="2:12" ht="18.75" x14ac:dyDescent="0.25">
      <c r="B58" s="12" t="str">
        <f>Balance_Sheet!B13</f>
        <v>Net Worth</v>
      </c>
      <c r="C58" s="13">
        <f>Balance_Sheet!C13</f>
        <v>42559.4</v>
      </c>
      <c r="D58" s="13">
        <f>Balance_Sheet!D13</f>
        <v>59228.030848341441</v>
      </c>
      <c r="E58" s="13">
        <f>Balance_Sheet!E13</f>
        <v>76326.477350109795</v>
      </c>
      <c r="F58" s="13">
        <f>Balance_Sheet!F13</f>
        <v>92389.821457374434</v>
      </c>
      <c r="G58" s="13">
        <f>Balance_Sheet!G13</f>
        <v>117882.8422772332</v>
      </c>
      <c r="I58" s="38"/>
      <c r="J58" s="39"/>
      <c r="K58" s="39"/>
      <c r="L58" s="40"/>
    </row>
    <row r="59" spans="2:12" ht="19.5" thickBot="1" x14ac:dyDescent="0.3">
      <c r="B59" s="14" t="s">
        <v>165</v>
      </c>
      <c r="C59" s="15">
        <f>ROUND(C57/ (C58+ C58), 2)</f>
        <v>0.19</v>
      </c>
      <c r="D59" s="15">
        <f t="shared" ref="D59:G59" si="12">ROUND(D57/ (D58+ D58), 2)</f>
        <v>0.17</v>
      </c>
      <c r="E59" s="15">
        <f t="shared" si="12"/>
        <v>0.13</v>
      </c>
      <c r="F59" s="15">
        <f t="shared" si="12"/>
        <v>0.1</v>
      </c>
      <c r="G59" s="15">
        <f t="shared" si="12"/>
        <v>0.11</v>
      </c>
      <c r="I59" s="41"/>
      <c r="J59" s="42"/>
      <c r="K59" s="42"/>
      <c r="L59" s="43"/>
    </row>
    <row r="60" spans="2:12" ht="15.75" thickTop="1" x14ac:dyDescent="0.25"/>
    <row r="61" spans="2:12" ht="19.5" thickBot="1" x14ac:dyDescent="0.3">
      <c r="B61" s="44" t="s">
        <v>166</v>
      </c>
      <c r="C61" s="44"/>
      <c r="D61" s="44"/>
      <c r="E61" s="44"/>
      <c r="F61" s="44"/>
      <c r="G61" s="44"/>
    </row>
    <row r="62" spans="2:12" ht="19.5" thickTop="1" x14ac:dyDescent="0.25">
      <c r="B62" s="12" t="str">
        <f>Balance_Sheet!B21</f>
        <v>Total Debt</v>
      </c>
      <c r="C62" s="13">
        <f>Balance_Sheet!C21</f>
        <v>722.8</v>
      </c>
      <c r="D62" s="13">
        <f>Balance_Sheet!D21</f>
        <v>771.5</v>
      </c>
      <c r="E62" s="13">
        <f>Balance_Sheet!E21</f>
        <v>769.19999999999993</v>
      </c>
      <c r="F62" s="13">
        <f>Balance_Sheet!F21</f>
        <v>937</v>
      </c>
      <c r="G62" s="13">
        <f>Balance_Sheet!G21</f>
        <v>381.9</v>
      </c>
      <c r="I62" s="35"/>
      <c r="J62" s="36"/>
      <c r="K62" s="36"/>
      <c r="L62" s="37"/>
    </row>
    <row r="63" spans="2:12" ht="18.75" x14ac:dyDescent="0.25">
      <c r="B63" s="12" t="str">
        <f>Balance_Sheet!B13</f>
        <v>Net Worth</v>
      </c>
      <c r="C63" s="13">
        <f>Balance_Sheet!C13</f>
        <v>42559.4</v>
      </c>
      <c r="D63" s="13">
        <f>Balance_Sheet!D13</f>
        <v>59228.030848341441</v>
      </c>
      <c r="E63" s="13">
        <f>Balance_Sheet!E13</f>
        <v>76326.477350109795</v>
      </c>
      <c r="F63" s="13">
        <f>Balance_Sheet!F13</f>
        <v>92389.821457374434</v>
      </c>
      <c r="G63" s="13">
        <f>Balance_Sheet!G13</f>
        <v>117882.8422772332</v>
      </c>
      <c r="I63" s="38"/>
      <c r="J63" s="39"/>
      <c r="K63" s="39"/>
      <c r="L63" s="40"/>
    </row>
    <row r="64" spans="2:12" ht="19.5" thickBot="1" x14ac:dyDescent="0.3">
      <c r="B64" s="14" t="s">
        <v>167</v>
      </c>
      <c r="C64" s="14">
        <f>ROUND(C62/ C63, 2)</f>
        <v>0.02</v>
      </c>
      <c r="D64" s="14">
        <f t="shared" ref="D64:G64" si="13">ROUND(D62/ D63, 2)</f>
        <v>0.01</v>
      </c>
      <c r="E64" s="14">
        <f t="shared" si="13"/>
        <v>0.01</v>
      </c>
      <c r="F64" s="14">
        <f t="shared" si="13"/>
        <v>0.01</v>
      </c>
      <c r="G64" s="14">
        <f t="shared" si="13"/>
        <v>0</v>
      </c>
      <c r="I64" s="41"/>
      <c r="J64" s="42"/>
      <c r="K64" s="42"/>
      <c r="L64" s="43"/>
    </row>
    <row r="65" spans="2:12" ht="15.75" thickTop="1" x14ac:dyDescent="0.25"/>
    <row r="66" spans="2:12" ht="19.5" thickBot="1" x14ac:dyDescent="0.3">
      <c r="B66" s="44" t="s">
        <v>168</v>
      </c>
      <c r="C66" s="44"/>
      <c r="D66" s="44"/>
      <c r="E66" s="44"/>
      <c r="F66" s="44"/>
      <c r="G66" s="44"/>
    </row>
    <row r="67" spans="2:12" ht="19.5" thickTop="1" x14ac:dyDescent="0.25">
      <c r="B67" s="12" t="str">
        <f>Balance_Sheet!B72</f>
        <v>Total Current Assets</v>
      </c>
      <c r="C67" s="13">
        <f>Balance_Sheet!C72</f>
        <v>8604.4</v>
      </c>
      <c r="D67" s="13">
        <f>Balance_Sheet!D72</f>
        <v>24577.63084834144</v>
      </c>
      <c r="E67" s="13">
        <f>Balance_Sheet!E72</f>
        <v>42513.677350109792</v>
      </c>
      <c r="F67" s="13">
        <f>Balance_Sheet!F72</f>
        <v>61622.421457374439</v>
      </c>
      <c r="G67" s="13">
        <f>Balance_Sheet!G72</f>
        <v>90858.742277233192</v>
      </c>
      <c r="I67" s="35"/>
      <c r="J67" s="36"/>
      <c r="K67" s="36"/>
      <c r="L67" s="37"/>
    </row>
    <row r="68" spans="2:12" ht="18.75" x14ac:dyDescent="0.25">
      <c r="B68" s="12" t="str">
        <f>Balance_Sheet!B33</f>
        <v>Total Current Liabilities</v>
      </c>
      <c r="C68" s="13">
        <f>Balance_Sheet!C33</f>
        <v>16950.099999999999</v>
      </c>
      <c r="D68" s="13">
        <f>Balance_Sheet!D33</f>
        <v>16087.5</v>
      </c>
      <c r="E68" s="13">
        <f>Balance_Sheet!E33</f>
        <v>13426.300000000001</v>
      </c>
      <c r="F68" s="13">
        <f>Balance_Sheet!F33</f>
        <v>17845.099999999999</v>
      </c>
      <c r="G68" s="13">
        <f>Balance_Sheet!G33</f>
        <v>18940.099999999999</v>
      </c>
      <c r="I68" s="38"/>
      <c r="J68" s="39"/>
      <c r="K68" s="39"/>
      <c r="L68" s="40"/>
    </row>
    <row r="69" spans="2:12" ht="19.5" thickBot="1" x14ac:dyDescent="0.3">
      <c r="B69" s="14" t="s">
        <v>169</v>
      </c>
      <c r="C69" s="14">
        <f>ROUND(C67/ C68, 2)</f>
        <v>0.51</v>
      </c>
      <c r="D69" s="14">
        <f t="shared" ref="D69:G69" si="14">ROUND(D67/ D68, 2)</f>
        <v>1.53</v>
      </c>
      <c r="E69" s="14">
        <f t="shared" si="14"/>
        <v>3.17</v>
      </c>
      <c r="F69" s="14">
        <f t="shared" si="14"/>
        <v>3.45</v>
      </c>
      <c r="G69" s="14">
        <f t="shared" si="14"/>
        <v>4.8</v>
      </c>
      <c r="I69" s="41"/>
      <c r="J69" s="42"/>
      <c r="K69" s="42"/>
      <c r="L69" s="43"/>
    </row>
    <row r="70" spans="2:12" ht="15.75" thickTop="1" x14ac:dyDescent="0.25"/>
    <row r="71" spans="2:12" ht="18.75" x14ac:dyDescent="0.25">
      <c r="B71" s="44" t="s">
        <v>170</v>
      </c>
      <c r="C71" s="44"/>
      <c r="D71" s="44"/>
      <c r="E71" s="44"/>
      <c r="F71" s="44"/>
      <c r="G71" s="44"/>
    </row>
    <row r="72" spans="2:12" ht="19.5" thickBot="1" x14ac:dyDescent="0.3">
      <c r="B72" s="12" t="str">
        <f>Balance_Sheet!B72</f>
        <v>Total Current Assets</v>
      </c>
      <c r="C72" s="13">
        <f>Balance_Sheet!C72</f>
        <v>8604.4</v>
      </c>
      <c r="D72" s="13">
        <f>Balance_Sheet!D72</f>
        <v>24577.63084834144</v>
      </c>
      <c r="E72" s="13">
        <f>Balance_Sheet!E72</f>
        <v>42513.677350109792</v>
      </c>
      <c r="F72" s="13">
        <f>Balance_Sheet!F72</f>
        <v>61622.421457374439</v>
      </c>
      <c r="G72" s="13">
        <f>Balance_Sheet!G72</f>
        <v>90858.742277233192</v>
      </c>
    </row>
    <row r="73" spans="2:12" ht="19.5" thickTop="1" x14ac:dyDescent="0.25">
      <c r="B73" s="12" t="str">
        <f>Balance_Sheet!B66</f>
        <v>Inventories</v>
      </c>
      <c r="C73" s="13">
        <f>Balance_Sheet!C66</f>
        <v>3160.2</v>
      </c>
      <c r="D73" s="13">
        <f>Balance_Sheet!D66</f>
        <v>3322.6</v>
      </c>
      <c r="E73" s="13">
        <f>Balance_Sheet!E66</f>
        <v>3213.9</v>
      </c>
      <c r="F73" s="13">
        <f>Balance_Sheet!F66</f>
        <v>3049</v>
      </c>
      <c r="G73" s="13">
        <f>Balance_Sheet!G66</f>
        <v>3532.3</v>
      </c>
      <c r="I73" s="35"/>
      <c r="J73" s="36"/>
      <c r="K73" s="36"/>
      <c r="L73" s="37"/>
    </row>
    <row r="74" spans="2:12" ht="18.75" x14ac:dyDescent="0.25">
      <c r="B74" s="12" t="str">
        <f>Balance_Sheet!B33</f>
        <v>Total Current Liabilities</v>
      </c>
      <c r="C74" s="13">
        <f>Balance_Sheet!C33</f>
        <v>16950.099999999999</v>
      </c>
      <c r="D74" s="13">
        <f>Balance_Sheet!D33</f>
        <v>16087.5</v>
      </c>
      <c r="E74" s="13">
        <f>Balance_Sheet!E33</f>
        <v>13426.300000000001</v>
      </c>
      <c r="F74" s="13">
        <f>Balance_Sheet!F33</f>
        <v>17845.099999999999</v>
      </c>
      <c r="G74" s="13">
        <f>Balance_Sheet!G33</f>
        <v>18940.099999999999</v>
      </c>
      <c r="I74" s="38"/>
      <c r="J74" s="39"/>
      <c r="K74" s="39"/>
      <c r="L74" s="40"/>
    </row>
    <row r="75" spans="2:12" ht="19.5" thickBot="1" x14ac:dyDescent="0.3">
      <c r="B75" s="14" t="s">
        <v>171</v>
      </c>
      <c r="C75" s="14">
        <f>ROUND((C72-C73)/ C74, 2)</f>
        <v>0.32</v>
      </c>
      <c r="D75" s="14">
        <f t="shared" ref="D75:G75" si="15">ROUND((D72-D73)/ D74, 2)</f>
        <v>1.32</v>
      </c>
      <c r="E75" s="14">
        <f t="shared" si="15"/>
        <v>2.93</v>
      </c>
      <c r="F75" s="14">
        <f t="shared" si="15"/>
        <v>3.28</v>
      </c>
      <c r="G75" s="14">
        <f t="shared" si="15"/>
        <v>4.6100000000000003</v>
      </c>
      <c r="I75" s="41"/>
      <c r="J75" s="42"/>
      <c r="K75" s="42"/>
      <c r="L75" s="43"/>
    </row>
    <row r="76" spans="2:12" ht="15.75" thickTop="1" x14ac:dyDescent="0.25"/>
    <row r="77" spans="2:12" ht="19.5" thickBot="1" x14ac:dyDescent="0.3">
      <c r="B77" s="44" t="s">
        <v>172</v>
      </c>
      <c r="C77" s="44"/>
      <c r="D77" s="44"/>
      <c r="E77" s="44"/>
      <c r="F77" s="44"/>
      <c r="G77" s="44"/>
    </row>
    <row r="78" spans="2:12" ht="19.5" thickTop="1" x14ac:dyDescent="0.25">
      <c r="B78" s="12" t="str">
        <f>Income_Statement!B33</f>
        <v>PBIT</v>
      </c>
      <c r="C78" s="13">
        <f>Income_Statement!C33</f>
        <v>19601.897686337576</v>
      </c>
      <c r="D78" s="13">
        <f>Income_Statement!D33</f>
        <v>22631.130848341436</v>
      </c>
      <c r="E78" s="13">
        <f>Income_Statement!E33</f>
        <v>21571.246501768357</v>
      </c>
      <c r="F78" s="13">
        <f>Income_Statement!F33</f>
        <v>18909.544107264643</v>
      </c>
      <c r="G78" s="13">
        <f>Income_Statement!G33</f>
        <v>26437.320819858767</v>
      </c>
      <c r="I78" s="35"/>
      <c r="J78" s="36"/>
      <c r="K78" s="36"/>
      <c r="L78" s="37"/>
    </row>
    <row r="79" spans="2:12" ht="18.75" x14ac:dyDescent="0.25">
      <c r="B79" s="12" t="str">
        <f>Income_Statement!B35</f>
        <v>Finance Costs</v>
      </c>
      <c r="C79" s="13">
        <f>Income_Statement!C35</f>
        <v>345.8</v>
      </c>
      <c r="D79" s="13">
        <f>Income_Statement!D35</f>
        <v>75.900000000000006</v>
      </c>
      <c r="E79" s="13">
        <f>Income_Statement!E35</f>
        <v>134.19999999999999</v>
      </c>
      <c r="F79" s="13">
        <f>Income_Statement!F35</f>
        <v>101.8</v>
      </c>
      <c r="G79" s="13">
        <f>Income_Statement!G35</f>
        <v>126.6</v>
      </c>
      <c r="I79" s="38"/>
      <c r="J79" s="39"/>
      <c r="K79" s="39"/>
      <c r="L79" s="40"/>
    </row>
    <row r="80" spans="2:12" ht="19.5" thickBot="1" x14ac:dyDescent="0.3">
      <c r="B80" s="14" t="s">
        <v>173</v>
      </c>
      <c r="C80" s="14">
        <f>ROUND(C78/C79, 2)</f>
        <v>56.69</v>
      </c>
      <c r="D80" s="14">
        <f t="shared" ref="D80:G80" si="16">ROUND(D78/D79, 2)</f>
        <v>298.17</v>
      </c>
      <c r="E80" s="14">
        <f t="shared" si="16"/>
        <v>160.74</v>
      </c>
      <c r="F80" s="14">
        <f t="shared" si="16"/>
        <v>185.75</v>
      </c>
      <c r="G80" s="14">
        <f t="shared" si="16"/>
        <v>208.83</v>
      </c>
      <c r="I80" s="41"/>
      <c r="J80" s="42"/>
      <c r="K80" s="42"/>
      <c r="L80" s="43"/>
    </row>
    <row r="81" spans="2:12" ht="15.75" thickTop="1" x14ac:dyDescent="0.25"/>
    <row r="82" spans="2:12" ht="19.5" thickBot="1" x14ac:dyDescent="0.3">
      <c r="B82" s="44" t="s">
        <v>174</v>
      </c>
      <c r="C82" s="44"/>
      <c r="D82" s="44"/>
      <c r="E82" s="44"/>
      <c r="F82" s="44"/>
      <c r="G82" s="44"/>
    </row>
    <row r="83" spans="2:12" ht="19.5" thickTop="1" x14ac:dyDescent="0.25">
      <c r="B83" s="12" t="str">
        <f>Income_Statement!B17</f>
        <v>Cost Of Materials Consumed</v>
      </c>
      <c r="C83" s="13">
        <f>Income_Statement!C17</f>
        <v>44943.199999999997</v>
      </c>
      <c r="D83" s="13">
        <f>Income_Statement!D17</f>
        <v>45025.7</v>
      </c>
      <c r="E83" s="13">
        <f>Income_Statement!E17</f>
        <v>34634.800000000003</v>
      </c>
      <c r="F83" s="13">
        <f>Income_Statement!F17</f>
        <v>33296.400000000001</v>
      </c>
      <c r="G83" s="13">
        <f>Income_Statement!G17</f>
        <v>39739.599999999999</v>
      </c>
      <c r="I83" s="35"/>
      <c r="J83" s="36"/>
      <c r="K83" s="36"/>
      <c r="L83" s="37"/>
    </row>
    <row r="84" spans="2:12" ht="18.75" x14ac:dyDescent="0.25">
      <c r="B84" s="12" t="str">
        <f>Income_Statement!B9</f>
        <v>Net Sales</v>
      </c>
      <c r="C84" s="13">
        <f>Income_Statement!C9</f>
        <v>78117.100000000006</v>
      </c>
      <c r="D84" s="13">
        <f>Income_Statement!D9</f>
        <v>83038.5</v>
      </c>
      <c r="E84" s="13">
        <f>Income_Statement!E9</f>
        <v>71704.800000000003</v>
      </c>
      <c r="F84" s="13">
        <f>Income_Statement!F9</f>
        <v>66571.8</v>
      </c>
      <c r="G84" s="13">
        <f>Income_Statement!G9</f>
        <v>83799.8</v>
      </c>
      <c r="I84" s="38"/>
      <c r="J84" s="39"/>
      <c r="K84" s="39"/>
      <c r="L84" s="40"/>
    </row>
    <row r="85" spans="2:12" ht="19.5" thickBot="1" x14ac:dyDescent="0.3">
      <c r="B85" s="14" t="s">
        <v>175</v>
      </c>
      <c r="C85" s="14">
        <f>ROUND(C83/C84, 2)</f>
        <v>0.57999999999999996</v>
      </c>
      <c r="D85" s="14">
        <f t="shared" ref="D85:G85" si="17">ROUND(D83/D84, 2)</f>
        <v>0.54</v>
      </c>
      <c r="E85" s="14">
        <f t="shared" si="17"/>
        <v>0.48</v>
      </c>
      <c r="F85" s="14">
        <f t="shared" si="17"/>
        <v>0.5</v>
      </c>
      <c r="G85" s="14">
        <f t="shared" si="17"/>
        <v>0.47</v>
      </c>
      <c r="I85" s="41"/>
      <c r="J85" s="42"/>
      <c r="K85" s="42"/>
      <c r="L85" s="43"/>
    </row>
    <row r="86" spans="2:12" ht="15.75" thickTop="1" x14ac:dyDescent="0.25"/>
    <row r="87" spans="2:12" ht="19.5" thickBot="1" x14ac:dyDescent="0.3">
      <c r="B87" s="44" t="s">
        <v>176</v>
      </c>
      <c r="C87" s="44"/>
      <c r="D87" s="44"/>
      <c r="E87" s="44"/>
      <c r="F87" s="44"/>
      <c r="G87" s="44"/>
    </row>
    <row r="88" spans="2:12" ht="19.5" thickTop="1" x14ac:dyDescent="0.25">
      <c r="B88" s="12" t="str">
        <f>Balance_Sheet!B70</f>
        <v>Cash And Cash Equivalents</v>
      </c>
      <c r="C88" s="13">
        <f>Balance_Sheet!C70</f>
        <v>74</v>
      </c>
      <c r="D88" s="13">
        <f>Balance_Sheet!D70</f>
        <v>15344.530848341439</v>
      </c>
      <c r="E88" s="13">
        <f>Balance_Sheet!E70</f>
        <v>33562.577350109794</v>
      </c>
      <c r="F88" s="13">
        <f>Balance_Sheet!F70</f>
        <v>52817.121457374436</v>
      </c>
      <c r="G88" s="13">
        <f>Balance_Sheet!G70</f>
        <v>77963.842277233198</v>
      </c>
      <c r="I88" s="35"/>
      <c r="J88" s="36"/>
      <c r="K88" s="36"/>
      <c r="L88" s="37"/>
    </row>
    <row r="89" spans="2:12" ht="18.75" x14ac:dyDescent="0.25">
      <c r="B89" s="12" t="str">
        <f>Income_Statement!B17</f>
        <v>Cost Of Materials Consumed</v>
      </c>
      <c r="C89" s="13">
        <f>Income_Statement!C17</f>
        <v>44943.199999999997</v>
      </c>
      <c r="D89" s="13">
        <f>Income_Statement!D17</f>
        <v>45025.7</v>
      </c>
      <c r="E89" s="13">
        <f>Income_Statement!E17</f>
        <v>34634.800000000003</v>
      </c>
      <c r="F89" s="13">
        <f>Income_Statement!F17</f>
        <v>33296.400000000001</v>
      </c>
      <c r="G89" s="13">
        <f>Income_Statement!G17</f>
        <v>39739.599999999999</v>
      </c>
      <c r="I89" s="38"/>
      <c r="J89" s="39"/>
      <c r="K89" s="39"/>
      <c r="L89" s="40"/>
    </row>
    <row r="90" spans="2:12" ht="19.5" thickBot="1" x14ac:dyDescent="0.3">
      <c r="B90" s="14" t="s">
        <v>177</v>
      </c>
      <c r="C90" s="14">
        <f>ROUND(C88/C89*365, 2)</f>
        <v>0.6</v>
      </c>
      <c r="D90" s="14">
        <f t="shared" ref="D90:G90" si="18">ROUND(D88/D89*365, 2)</f>
        <v>124.39</v>
      </c>
      <c r="E90" s="14">
        <f t="shared" si="18"/>
        <v>353.7</v>
      </c>
      <c r="F90" s="14">
        <f t="shared" si="18"/>
        <v>578.99</v>
      </c>
      <c r="G90" s="14">
        <f t="shared" si="18"/>
        <v>716.08</v>
      </c>
      <c r="I90" s="41"/>
      <c r="J90" s="42"/>
      <c r="K90" s="42"/>
      <c r="L90" s="43"/>
    </row>
    <row r="91" spans="2:12" ht="15.75" thickTop="1" x14ac:dyDescent="0.25"/>
    <row r="92" spans="2:12" ht="19.5" thickBot="1" x14ac:dyDescent="0.3">
      <c r="B92" s="44" t="s">
        <v>178</v>
      </c>
      <c r="C92" s="44"/>
      <c r="D92" s="44"/>
      <c r="E92" s="44"/>
      <c r="F92" s="44"/>
      <c r="G92" s="44"/>
    </row>
    <row r="93" spans="2:12" ht="19.5" thickTop="1" x14ac:dyDescent="0.25">
      <c r="B93" s="12" t="str">
        <f>Balance_Sheet!B70</f>
        <v>Cash And Cash Equivalents</v>
      </c>
      <c r="C93" s="13">
        <f>Balance_Sheet!C70</f>
        <v>74</v>
      </c>
      <c r="D93" s="13">
        <f>Balance_Sheet!D70</f>
        <v>15344.530848341439</v>
      </c>
      <c r="E93" s="13">
        <f>Balance_Sheet!E70</f>
        <v>33562.577350109794</v>
      </c>
      <c r="F93" s="13">
        <f>Balance_Sheet!F70</f>
        <v>52817.121457374436</v>
      </c>
      <c r="G93" s="13">
        <f>Balance_Sheet!G70</f>
        <v>77963.842277233198</v>
      </c>
      <c r="I93" s="35"/>
      <c r="J93" s="36"/>
      <c r="K93" s="36"/>
      <c r="L93" s="37"/>
    </row>
    <row r="94" spans="2:12" ht="18.75" x14ac:dyDescent="0.25">
      <c r="B94" s="12" t="s">
        <v>179</v>
      </c>
      <c r="C94" s="13">
        <v>365</v>
      </c>
      <c r="D94" s="13">
        <v>365</v>
      </c>
      <c r="E94" s="13">
        <v>365</v>
      </c>
      <c r="F94" s="13">
        <v>365</v>
      </c>
      <c r="G94" s="13">
        <v>365</v>
      </c>
      <c r="I94" s="38"/>
      <c r="J94" s="39"/>
      <c r="K94" s="39"/>
      <c r="L94" s="40"/>
    </row>
    <row r="95" spans="2:12" ht="19.5" thickBot="1" x14ac:dyDescent="0.3">
      <c r="B95" s="14" t="s">
        <v>180</v>
      </c>
      <c r="C95" s="14">
        <f>ROUND(C93/C94*365, 2)</f>
        <v>74</v>
      </c>
      <c r="D95" s="14">
        <f t="shared" ref="D95:G95" si="19">ROUND(D93/D94*365, 2)</f>
        <v>15344.53</v>
      </c>
      <c r="E95" s="14">
        <f t="shared" si="19"/>
        <v>33562.58</v>
      </c>
      <c r="F95" s="14">
        <f t="shared" si="19"/>
        <v>52817.120000000003</v>
      </c>
      <c r="G95" s="14">
        <f t="shared" si="19"/>
        <v>77963.839999999997</v>
      </c>
      <c r="I95" s="41"/>
      <c r="J95" s="42"/>
      <c r="K95" s="42"/>
      <c r="L95" s="43"/>
    </row>
    <row r="96" spans="2:12" ht="15.75" thickTop="1" x14ac:dyDescent="0.25"/>
    <row r="97" spans="2:12" ht="19.5" thickBot="1" x14ac:dyDescent="0.3">
      <c r="B97" s="44" t="s">
        <v>181</v>
      </c>
      <c r="C97" s="44"/>
      <c r="D97" s="44"/>
      <c r="E97" s="44"/>
      <c r="F97" s="44"/>
      <c r="G97" s="44"/>
    </row>
    <row r="98" spans="2:12" ht="19.5" thickTop="1" x14ac:dyDescent="0.25">
      <c r="B98" s="12" t="str">
        <f>Income_Statement!B5</f>
        <v>Gross Sales</v>
      </c>
      <c r="C98" s="13">
        <f>Income_Statement!C5</f>
        <v>80348.800000000003</v>
      </c>
      <c r="D98" s="13">
        <f>Income_Statement!D5</f>
        <v>83038.5</v>
      </c>
      <c r="E98" s="13">
        <f>Income_Statement!E5</f>
        <v>71704.800000000003</v>
      </c>
      <c r="F98" s="13">
        <f>Income_Statement!F5</f>
        <v>66571.8</v>
      </c>
      <c r="G98" s="13">
        <f>Income_Statement!G5</f>
        <v>83799.8</v>
      </c>
      <c r="I98" s="35"/>
      <c r="J98" s="36"/>
      <c r="K98" s="36"/>
      <c r="L98" s="37"/>
    </row>
    <row r="99" spans="2:12" ht="18.75" x14ac:dyDescent="0.25">
      <c r="B99" s="12" t="str">
        <f>Balance_Sheet!B74</f>
        <v>Total Assets</v>
      </c>
      <c r="C99" s="13">
        <f>Balance_Sheet!C74</f>
        <v>60248.400000000009</v>
      </c>
      <c r="D99" s="13">
        <f>Balance_Sheet!D74</f>
        <v>76104.630848341447</v>
      </c>
      <c r="E99" s="13">
        <f>Balance_Sheet!E74</f>
        <v>90541.177350109792</v>
      </c>
      <c r="F99" s="13">
        <f>Balance_Sheet!F74</f>
        <v>111171.92145737444</v>
      </c>
      <c r="G99" s="13">
        <f>Balance_Sheet!G74</f>
        <v>137204.8422772332</v>
      </c>
      <c r="I99" s="38"/>
      <c r="J99" s="39"/>
      <c r="K99" s="39"/>
      <c r="L99" s="40"/>
    </row>
    <row r="100" spans="2:12" ht="19.5" thickBot="1" x14ac:dyDescent="0.3">
      <c r="B100" s="14" t="s">
        <v>182</v>
      </c>
      <c r="C100" s="14">
        <f>ROUND(C98/C99, 2)</f>
        <v>1.33</v>
      </c>
      <c r="D100" s="14">
        <f t="shared" ref="D100:G100" si="20">ROUND(D98/D99, 2)</f>
        <v>1.0900000000000001</v>
      </c>
      <c r="E100" s="14">
        <f t="shared" si="20"/>
        <v>0.79</v>
      </c>
      <c r="F100" s="14">
        <f t="shared" si="20"/>
        <v>0.6</v>
      </c>
      <c r="G100" s="14">
        <f t="shared" si="20"/>
        <v>0.61</v>
      </c>
      <c r="I100" s="41"/>
      <c r="J100" s="42"/>
      <c r="K100" s="42"/>
      <c r="L100" s="43"/>
    </row>
    <row r="101" spans="2:12" ht="15.75" thickTop="1" x14ac:dyDescent="0.25"/>
    <row r="102" spans="2:12" ht="19.5" thickBot="1" x14ac:dyDescent="0.3">
      <c r="B102" s="44" t="s">
        <v>183</v>
      </c>
      <c r="C102" s="44"/>
      <c r="D102" s="44"/>
      <c r="E102" s="44"/>
      <c r="F102" s="44"/>
      <c r="G102" s="44"/>
    </row>
    <row r="103" spans="2:12" ht="19.5" thickTop="1" x14ac:dyDescent="0.25">
      <c r="B103" s="12" t="str">
        <f>Income_Statement!B5</f>
        <v>Gross Sales</v>
      </c>
      <c r="C103" s="13">
        <f>Income_Statement!C5</f>
        <v>80348.800000000003</v>
      </c>
      <c r="D103" s="13">
        <f>Income_Statement!D5</f>
        <v>83038.5</v>
      </c>
      <c r="E103" s="13">
        <f>Income_Statement!E5</f>
        <v>71704.800000000003</v>
      </c>
      <c r="F103" s="13">
        <f>Income_Statement!F5</f>
        <v>66571.8</v>
      </c>
      <c r="G103" s="13">
        <f>Income_Statement!G5</f>
        <v>83799.8</v>
      </c>
      <c r="I103" s="35"/>
      <c r="J103" s="36"/>
      <c r="K103" s="36"/>
      <c r="L103" s="37"/>
    </row>
    <row r="104" spans="2:12" ht="18.75" x14ac:dyDescent="0.25">
      <c r="B104" s="12" t="str">
        <f>Balance_Sheet!B66</f>
        <v>Inventories</v>
      </c>
      <c r="C104" s="13">
        <f>Balance_Sheet!C66</f>
        <v>3160.2</v>
      </c>
      <c r="D104" s="13">
        <f>Balance_Sheet!D66</f>
        <v>3322.6</v>
      </c>
      <c r="E104" s="13">
        <f>Balance_Sheet!E66</f>
        <v>3213.9</v>
      </c>
      <c r="F104" s="13">
        <f>Balance_Sheet!F66</f>
        <v>3049</v>
      </c>
      <c r="G104" s="13">
        <f>Balance_Sheet!G66</f>
        <v>3532.3</v>
      </c>
      <c r="I104" s="38"/>
      <c r="J104" s="39"/>
      <c r="K104" s="39"/>
      <c r="L104" s="40"/>
    </row>
    <row r="105" spans="2:12" ht="19.5" thickBot="1" x14ac:dyDescent="0.3">
      <c r="B105" s="14" t="s">
        <v>184</v>
      </c>
      <c r="C105" s="14">
        <f>ROUND(C103/C104, 2)</f>
        <v>25.43</v>
      </c>
      <c r="D105" s="14">
        <f t="shared" ref="D105:G105" si="21">ROUND(D103/D104, 2)</f>
        <v>24.99</v>
      </c>
      <c r="E105" s="14">
        <f t="shared" si="21"/>
        <v>22.31</v>
      </c>
      <c r="F105" s="14">
        <f t="shared" si="21"/>
        <v>21.83</v>
      </c>
      <c r="G105" s="14">
        <f t="shared" si="21"/>
        <v>23.72</v>
      </c>
      <c r="I105" s="41"/>
      <c r="J105" s="42"/>
      <c r="K105" s="42"/>
      <c r="L105" s="43"/>
    </row>
    <row r="106" spans="2:12" ht="15.75" thickTop="1" x14ac:dyDescent="0.25"/>
    <row r="107" spans="2:12" ht="19.5" thickBot="1" x14ac:dyDescent="0.3">
      <c r="B107" s="44" t="s">
        <v>185</v>
      </c>
      <c r="C107" s="44"/>
      <c r="D107" s="44"/>
      <c r="E107" s="44"/>
      <c r="F107" s="44"/>
      <c r="G107" s="44"/>
    </row>
    <row r="108" spans="2:12" ht="19.5" thickTop="1" x14ac:dyDescent="0.25">
      <c r="B108" s="12" t="str">
        <f>Income_Statement!B5</f>
        <v>Gross Sales</v>
      </c>
      <c r="C108" s="13">
        <f>Income_Statement!C5</f>
        <v>80348.800000000003</v>
      </c>
      <c r="D108" s="13">
        <f>Income_Statement!D5</f>
        <v>83038.5</v>
      </c>
      <c r="E108" s="13">
        <f>Income_Statement!E5</f>
        <v>71704.800000000003</v>
      </c>
      <c r="F108" s="13">
        <f>Income_Statement!F5</f>
        <v>66571.8</v>
      </c>
      <c r="G108" s="13">
        <f>Income_Statement!G5</f>
        <v>83799.8</v>
      </c>
      <c r="I108" s="35"/>
      <c r="J108" s="36"/>
      <c r="K108" s="36"/>
      <c r="L108" s="37"/>
    </row>
    <row r="109" spans="2:12" ht="18.75" x14ac:dyDescent="0.25">
      <c r="B109" s="12" t="str">
        <f>Balance_Sheet!B68</f>
        <v>Trade Receivables</v>
      </c>
      <c r="C109" s="13">
        <f>Balance_Sheet!C68</f>
        <v>1465.4</v>
      </c>
      <c r="D109" s="13">
        <f>Balance_Sheet!D68</f>
        <v>2312.8000000000002</v>
      </c>
      <c r="E109" s="13">
        <f>Balance_Sheet!E68</f>
        <v>1977.7</v>
      </c>
      <c r="F109" s="13">
        <f>Balance_Sheet!F68</f>
        <v>1279.9000000000001</v>
      </c>
      <c r="G109" s="13">
        <f>Balance_Sheet!G68</f>
        <v>2034.5</v>
      </c>
      <c r="I109" s="38"/>
      <c r="J109" s="39"/>
      <c r="K109" s="39"/>
      <c r="L109" s="40"/>
    </row>
    <row r="110" spans="2:12" ht="19.5" thickBot="1" x14ac:dyDescent="0.3">
      <c r="B110" s="14" t="s">
        <v>186</v>
      </c>
      <c r="C110" s="14">
        <f>ROUND(C108/C109, 2)</f>
        <v>54.83</v>
      </c>
      <c r="D110" s="14">
        <f t="shared" ref="D110:G110" si="22">ROUND(D108/D109, 2)</f>
        <v>35.9</v>
      </c>
      <c r="E110" s="14">
        <f t="shared" si="22"/>
        <v>36.26</v>
      </c>
      <c r="F110" s="14">
        <f t="shared" si="22"/>
        <v>52.01</v>
      </c>
      <c r="G110" s="14">
        <f t="shared" si="22"/>
        <v>41.19</v>
      </c>
      <c r="I110" s="41"/>
      <c r="J110" s="42"/>
      <c r="K110" s="42"/>
      <c r="L110" s="43"/>
    </row>
    <row r="111" spans="2:12" ht="15.75" thickTop="1" x14ac:dyDescent="0.25"/>
    <row r="112" spans="2:12" ht="19.5" thickBot="1" x14ac:dyDescent="0.3">
      <c r="B112" s="44" t="s">
        <v>187</v>
      </c>
      <c r="C112" s="44"/>
      <c r="D112" s="44"/>
      <c r="E112" s="44"/>
      <c r="F112" s="44"/>
      <c r="G112" s="44"/>
    </row>
    <row r="113" spans="2:12" ht="19.5" thickTop="1" x14ac:dyDescent="0.25">
      <c r="B113" s="12" t="str">
        <f>Income_Statement!B5</f>
        <v>Gross Sales</v>
      </c>
      <c r="C113" s="13">
        <f>Income_Statement!C5</f>
        <v>80348.800000000003</v>
      </c>
      <c r="D113" s="13">
        <f>Income_Statement!D5</f>
        <v>83038.5</v>
      </c>
      <c r="E113" s="13">
        <f>Income_Statement!E5</f>
        <v>71704.800000000003</v>
      </c>
      <c r="F113" s="13">
        <f>Income_Statement!F5</f>
        <v>66571.8</v>
      </c>
      <c r="G113" s="13">
        <f>Income_Statement!G5</f>
        <v>83799.8</v>
      </c>
      <c r="I113" s="35"/>
      <c r="J113" s="36"/>
      <c r="K113" s="36"/>
      <c r="L113" s="37"/>
    </row>
    <row r="114" spans="2:12" ht="18.75" x14ac:dyDescent="0.25">
      <c r="B114" s="12" t="str">
        <f>Balance_Sheet!B40</f>
        <v>Tangible Assets</v>
      </c>
      <c r="C114" s="13">
        <f>Balance_Sheet!C40</f>
        <v>13077.1</v>
      </c>
      <c r="D114" s="13">
        <f>Balance_Sheet!D40</f>
        <v>14986.2</v>
      </c>
      <c r="E114" s="13">
        <f>Balance_Sheet!E40</f>
        <v>15408.6</v>
      </c>
      <c r="F114" s="13">
        <f>Balance_Sheet!F40</f>
        <v>14764.5</v>
      </c>
      <c r="G114" s="13">
        <f>Balance_Sheet!G40</f>
        <v>16683.7</v>
      </c>
      <c r="I114" s="38"/>
      <c r="J114" s="39"/>
      <c r="K114" s="39"/>
      <c r="L114" s="40"/>
    </row>
    <row r="115" spans="2:12" ht="19.5" thickBot="1" x14ac:dyDescent="0.3">
      <c r="B115" s="14" t="s">
        <v>188</v>
      </c>
      <c r="C115" s="14">
        <f>ROUND(C113/C114, 2)</f>
        <v>6.14</v>
      </c>
      <c r="D115" s="14">
        <f t="shared" ref="D115:G115" si="23">ROUND(D113/D114, 2)</f>
        <v>5.54</v>
      </c>
      <c r="E115" s="14">
        <f t="shared" si="23"/>
        <v>4.6500000000000004</v>
      </c>
      <c r="F115" s="14">
        <f t="shared" si="23"/>
        <v>4.51</v>
      </c>
      <c r="G115" s="14">
        <f t="shared" si="23"/>
        <v>5.0199999999999996</v>
      </c>
      <c r="I115" s="41"/>
      <c r="J115" s="42"/>
      <c r="K115" s="42"/>
      <c r="L115" s="43"/>
    </row>
    <row r="116" spans="2:12" ht="15.75" thickTop="1" x14ac:dyDescent="0.25"/>
    <row r="117" spans="2:12" ht="19.5" thickBot="1" x14ac:dyDescent="0.3">
      <c r="B117" s="44" t="s">
        <v>189</v>
      </c>
      <c r="C117" s="44"/>
      <c r="D117" s="44"/>
      <c r="E117" s="44"/>
      <c r="F117" s="44"/>
      <c r="G117" s="44"/>
    </row>
    <row r="118" spans="2:12" ht="19.5" thickTop="1" x14ac:dyDescent="0.25">
      <c r="B118" s="12" t="str">
        <f>Income_Statement!B17</f>
        <v>Cost Of Materials Consumed</v>
      </c>
      <c r="C118" s="13">
        <f>Income_Statement!C17</f>
        <v>44943.199999999997</v>
      </c>
      <c r="D118" s="13">
        <f>Income_Statement!D17</f>
        <v>45025.7</v>
      </c>
      <c r="E118" s="13">
        <f>Income_Statement!E17</f>
        <v>34634.800000000003</v>
      </c>
      <c r="F118" s="13">
        <f>Income_Statement!F17</f>
        <v>33296.400000000001</v>
      </c>
      <c r="G118" s="13">
        <f>Income_Statement!G17</f>
        <v>39739.599999999999</v>
      </c>
      <c r="I118" s="35"/>
      <c r="J118" s="36"/>
      <c r="K118" s="36"/>
      <c r="L118" s="37"/>
    </row>
    <row r="119" spans="2:12" ht="18.75" x14ac:dyDescent="0.25">
      <c r="B119" s="12" t="str">
        <f>Balance_Sheet!B33</f>
        <v>Total Current Liabilities</v>
      </c>
      <c r="C119" s="13">
        <f>Balance_Sheet!C33</f>
        <v>16950.099999999999</v>
      </c>
      <c r="D119" s="13">
        <f>Balance_Sheet!D33</f>
        <v>16087.5</v>
      </c>
      <c r="E119" s="13">
        <f>Balance_Sheet!E33</f>
        <v>13426.300000000001</v>
      </c>
      <c r="F119" s="13">
        <f>Balance_Sheet!F33</f>
        <v>17845.099999999999</v>
      </c>
      <c r="G119" s="13">
        <f>Balance_Sheet!G33</f>
        <v>18940.099999999999</v>
      </c>
      <c r="I119" s="38"/>
      <c r="J119" s="39"/>
      <c r="K119" s="39"/>
      <c r="L119" s="40"/>
    </row>
    <row r="120" spans="2:12" ht="19.5" thickBot="1" x14ac:dyDescent="0.3">
      <c r="B120" s="14" t="s">
        <v>190</v>
      </c>
      <c r="C120" s="14">
        <f>ROUND(C118/C119, 2)</f>
        <v>2.65</v>
      </c>
      <c r="D120" s="14">
        <f t="shared" ref="D120:G120" si="24">ROUND(D118/D119, 2)</f>
        <v>2.8</v>
      </c>
      <c r="E120" s="14">
        <f t="shared" si="24"/>
        <v>2.58</v>
      </c>
      <c r="F120" s="14">
        <f t="shared" si="24"/>
        <v>1.87</v>
      </c>
      <c r="G120" s="14">
        <f t="shared" si="24"/>
        <v>2.1</v>
      </c>
      <c r="I120" s="41"/>
      <c r="J120" s="42"/>
      <c r="K120" s="42"/>
      <c r="L120" s="43"/>
    </row>
    <row r="121" spans="2:12" ht="15.75" thickTop="1" x14ac:dyDescent="0.25"/>
    <row r="122" spans="2:12" ht="19.5" thickBot="1" x14ac:dyDescent="0.3">
      <c r="B122" s="44" t="s">
        <v>191</v>
      </c>
      <c r="C122" s="44"/>
      <c r="D122" s="44"/>
      <c r="E122" s="44"/>
      <c r="F122" s="44"/>
      <c r="G122" s="44"/>
    </row>
    <row r="123" spans="2:12" ht="19.5" thickTop="1" x14ac:dyDescent="0.25">
      <c r="B123" s="12" t="str">
        <f>Income_Statement!B5</f>
        <v>Gross Sales</v>
      </c>
      <c r="C123" s="13">
        <f>Income_Statement!C5</f>
        <v>80348.800000000003</v>
      </c>
      <c r="D123" s="13">
        <f>Income_Statement!D5</f>
        <v>83038.5</v>
      </c>
      <c r="E123" s="13">
        <f>Income_Statement!E5</f>
        <v>71704.800000000003</v>
      </c>
      <c r="F123" s="13">
        <f>Income_Statement!F5</f>
        <v>66571.8</v>
      </c>
      <c r="G123" s="13">
        <f>Income_Statement!G5</f>
        <v>83799.8</v>
      </c>
      <c r="I123" s="35"/>
      <c r="J123" s="36"/>
      <c r="K123" s="36"/>
      <c r="L123" s="37"/>
    </row>
    <row r="124" spans="2:12" ht="18.75" x14ac:dyDescent="0.25">
      <c r="B124" s="12" t="str">
        <f>Balance_Sheet!B66</f>
        <v>Inventories</v>
      </c>
      <c r="C124" s="13">
        <f>Balance_Sheet!C66</f>
        <v>3160.2</v>
      </c>
      <c r="D124" s="13">
        <f>Balance_Sheet!D66</f>
        <v>3322.6</v>
      </c>
      <c r="E124" s="13">
        <f>Balance_Sheet!E66</f>
        <v>3213.9</v>
      </c>
      <c r="F124" s="13">
        <f>Balance_Sheet!F66</f>
        <v>3049</v>
      </c>
      <c r="G124" s="13">
        <f>Balance_Sheet!G66</f>
        <v>3532.3</v>
      </c>
      <c r="I124" s="38"/>
      <c r="J124" s="39"/>
      <c r="K124" s="39"/>
      <c r="L124" s="40"/>
    </row>
    <row r="125" spans="2:12" ht="19.5" thickBot="1" x14ac:dyDescent="0.3">
      <c r="B125" s="14" t="s">
        <v>192</v>
      </c>
      <c r="C125" s="14">
        <f>ROUND(365/C123*C124, 2)</f>
        <v>14.36</v>
      </c>
      <c r="D125" s="14">
        <f t="shared" ref="D125:G125" si="25">ROUND(365/D123*D124, 2)</f>
        <v>14.6</v>
      </c>
      <c r="E125" s="14">
        <f t="shared" si="25"/>
        <v>16.36</v>
      </c>
      <c r="F125" s="14">
        <f t="shared" si="25"/>
        <v>16.72</v>
      </c>
      <c r="G125" s="14">
        <f t="shared" si="25"/>
        <v>15.39</v>
      </c>
      <c r="I125" s="41"/>
      <c r="J125" s="42"/>
      <c r="K125" s="42"/>
      <c r="L125" s="43"/>
    </row>
    <row r="126" spans="2:12" ht="15.75" thickTop="1" x14ac:dyDescent="0.25"/>
    <row r="127" spans="2:12" ht="19.5" thickBot="1" x14ac:dyDescent="0.3">
      <c r="B127" s="44" t="s">
        <v>193</v>
      </c>
      <c r="C127" s="44"/>
      <c r="D127" s="44"/>
      <c r="E127" s="44"/>
      <c r="F127" s="44"/>
      <c r="G127" s="44"/>
    </row>
    <row r="128" spans="2:12" ht="19.5" thickTop="1" x14ac:dyDescent="0.25">
      <c r="B128" s="12" t="str">
        <f>Income_Statement!B17</f>
        <v>Cost Of Materials Consumed</v>
      </c>
      <c r="C128" s="13">
        <f>Income_Statement!C17</f>
        <v>44943.199999999997</v>
      </c>
      <c r="D128" s="13">
        <f>Income_Statement!D17</f>
        <v>45025.7</v>
      </c>
      <c r="E128" s="13">
        <f>Income_Statement!E17</f>
        <v>34634.800000000003</v>
      </c>
      <c r="F128" s="13">
        <f>Income_Statement!F17</f>
        <v>33296.400000000001</v>
      </c>
      <c r="G128" s="13">
        <f>Income_Statement!G17</f>
        <v>39739.599999999999</v>
      </c>
      <c r="I128" s="35"/>
      <c r="J128" s="36"/>
      <c r="K128" s="36"/>
      <c r="L128" s="37"/>
    </row>
    <row r="129" spans="2:12" ht="18.75" x14ac:dyDescent="0.25">
      <c r="B129" s="12" t="str">
        <f>Balance_Sheet!B33</f>
        <v>Total Current Liabilities</v>
      </c>
      <c r="C129" s="13">
        <f>Balance_Sheet!C33</f>
        <v>16950.099999999999</v>
      </c>
      <c r="D129" s="13">
        <f>Balance_Sheet!D33</f>
        <v>16087.5</v>
      </c>
      <c r="E129" s="13">
        <f>Balance_Sheet!E33</f>
        <v>13426.300000000001</v>
      </c>
      <c r="F129" s="13">
        <f>Balance_Sheet!F33</f>
        <v>17845.099999999999</v>
      </c>
      <c r="G129" s="13">
        <f>Balance_Sheet!G33</f>
        <v>18940.099999999999</v>
      </c>
      <c r="I129" s="38"/>
      <c r="J129" s="39"/>
      <c r="K129" s="39"/>
      <c r="L129" s="40"/>
    </row>
    <row r="130" spans="2:12" ht="19.5" thickBot="1" x14ac:dyDescent="0.3">
      <c r="B130" s="14" t="s">
        <v>194</v>
      </c>
      <c r="C130" s="14">
        <f>ROUND(365/C128*C129, 2)</f>
        <v>137.66</v>
      </c>
      <c r="D130" s="14">
        <f t="shared" ref="D130:G130" si="26">ROUND(365/D128*D129, 2)</f>
        <v>130.41</v>
      </c>
      <c r="E130" s="14">
        <f t="shared" si="26"/>
        <v>141.49</v>
      </c>
      <c r="F130" s="14">
        <f t="shared" si="26"/>
        <v>195.62</v>
      </c>
      <c r="G130" s="14">
        <f t="shared" si="26"/>
        <v>173.96</v>
      </c>
      <c r="I130" s="41"/>
      <c r="J130" s="42"/>
      <c r="K130" s="42"/>
      <c r="L130" s="43"/>
    </row>
    <row r="131" spans="2:12" ht="15.75" thickTop="1" x14ac:dyDescent="0.25"/>
    <row r="132" spans="2:12" ht="19.5" thickBot="1" x14ac:dyDescent="0.3">
      <c r="B132" s="44" t="s">
        <v>195</v>
      </c>
      <c r="C132" s="44"/>
      <c r="D132" s="44"/>
      <c r="E132" s="44"/>
      <c r="F132" s="44"/>
      <c r="G132" s="44"/>
    </row>
    <row r="133" spans="2:12" ht="19.5" thickTop="1" x14ac:dyDescent="0.25">
      <c r="B133" s="12" t="str">
        <f>Income_Statement!B5</f>
        <v>Gross Sales</v>
      </c>
      <c r="C133" s="13">
        <f>Income_Statement!C5</f>
        <v>80348.800000000003</v>
      </c>
      <c r="D133" s="13">
        <f>Income_Statement!D5</f>
        <v>83038.5</v>
      </c>
      <c r="E133" s="13">
        <f>Income_Statement!E5</f>
        <v>71704.800000000003</v>
      </c>
      <c r="F133" s="13">
        <f>Income_Statement!F5</f>
        <v>66571.8</v>
      </c>
      <c r="G133" s="13">
        <f>Income_Statement!G5</f>
        <v>83799.8</v>
      </c>
      <c r="I133" s="35"/>
      <c r="J133" s="36"/>
      <c r="K133" s="36"/>
      <c r="L133" s="37"/>
    </row>
    <row r="134" spans="2:12" ht="18.75" x14ac:dyDescent="0.25">
      <c r="B134" s="12" t="str">
        <f>Balance_Sheet!B68</f>
        <v>Trade Receivables</v>
      </c>
      <c r="C134" s="13">
        <f>Balance_Sheet!C68</f>
        <v>1465.4</v>
      </c>
      <c r="D134" s="13">
        <f>Balance_Sheet!D68</f>
        <v>2312.8000000000002</v>
      </c>
      <c r="E134" s="13">
        <f>Balance_Sheet!E68</f>
        <v>1977.7</v>
      </c>
      <c r="F134" s="13">
        <f>Balance_Sheet!F68</f>
        <v>1279.9000000000001</v>
      </c>
      <c r="G134" s="13">
        <f>Balance_Sheet!G68</f>
        <v>2034.5</v>
      </c>
      <c r="I134" s="38"/>
      <c r="J134" s="39"/>
      <c r="K134" s="39"/>
      <c r="L134" s="40"/>
    </row>
    <row r="135" spans="2:12" ht="19.5" thickBot="1" x14ac:dyDescent="0.3">
      <c r="B135" s="14" t="s">
        <v>196</v>
      </c>
      <c r="C135" s="14">
        <f>ROUND(365/C133*C134, 2)</f>
        <v>6.66</v>
      </c>
      <c r="D135" s="14">
        <f t="shared" ref="D135:G135" si="27">ROUND(365/D133*D134, 2)</f>
        <v>10.17</v>
      </c>
      <c r="E135" s="14">
        <f t="shared" si="27"/>
        <v>10.07</v>
      </c>
      <c r="F135" s="14">
        <f t="shared" si="27"/>
        <v>7.02</v>
      </c>
      <c r="G135" s="14">
        <f t="shared" si="27"/>
        <v>8.86</v>
      </c>
      <c r="I135" s="41"/>
      <c r="J135" s="42"/>
      <c r="K135" s="42"/>
      <c r="L135" s="43"/>
    </row>
    <row r="136" spans="2:12" ht="15.75" thickTop="1" x14ac:dyDescent="0.25"/>
    <row r="137" spans="2:12" ht="18.75" x14ac:dyDescent="0.25">
      <c r="B137" s="44" t="s">
        <v>197</v>
      </c>
      <c r="C137" s="44"/>
      <c r="D137" s="44"/>
      <c r="E137" s="44"/>
      <c r="F137" s="44"/>
      <c r="G137" s="44"/>
    </row>
    <row r="138" spans="2:12" ht="18.75" x14ac:dyDescent="0.25">
      <c r="B138" s="12" t="str">
        <f>Income_Statement!B5</f>
        <v>Gross Sales</v>
      </c>
      <c r="C138" s="13">
        <f>Income_Statement!C5</f>
        <v>80348.800000000003</v>
      </c>
      <c r="D138" s="13">
        <f>Income_Statement!D5</f>
        <v>83038.5</v>
      </c>
      <c r="E138" s="13">
        <f>Income_Statement!E5</f>
        <v>71704.800000000003</v>
      </c>
      <c r="F138" s="13">
        <f>Income_Statement!F5</f>
        <v>66571.8</v>
      </c>
      <c r="G138" s="13">
        <f>Income_Statement!G5</f>
        <v>83799.8</v>
      </c>
    </row>
    <row r="139" spans="2:12" ht="18.75" x14ac:dyDescent="0.25">
      <c r="B139" s="12" t="str">
        <f>Balance_Sheet!B66</f>
        <v>Inventories</v>
      </c>
      <c r="C139" s="13">
        <f>Balance_Sheet!C66</f>
        <v>3160.2</v>
      </c>
      <c r="D139" s="13">
        <f>Balance_Sheet!D66</f>
        <v>3322.6</v>
      </c>
      <c r="E139" s="13">
        <f>Balance_Sheet!E66</f>
        <v>3213.9</v>
      </c>
      <c r="F139" s="13">
        <f>Balance_Sheet!F66</f>
        <v>3049</v>
      </c>
      <c r="G139" s="13">
        <f>Balance_Sheet!G66</f>
        <v>3532.3</v>
      </c>
    </row>
    <row r="140" spans="2:12" ht="18.75" x14ac:dyDescent="0.25">
      <c r="B140" s="12" t="s">
        <v>192</v>
      </c>
      <c r="C140" s="13">
        <f>ROUND(365/C138*C139, 2)</f>
        <v>14.36</v>
      </c>
      <c r="D140" s="13">
        <f t="shared" ref="D140:G140" si="28">ROUND(365/D138*D139, 2)</f>
        <v>14.6</v>
      </c>
      <c r="E140" s="13">
        <f t="shared" si="28"/>
        <v>16.36</v>
      </c>
      <c r="F140" s="13">
        <f t="shared" si="28"/>
        <v>16.72</v>
      </c>
      <c r="G140" s="13">
        <f t="shared" si="28"/>
        <v>15.39</v>
      </c>
    </row>
    <row r="141" spans="2:12" ht="19.5" thickBot="1" x14ac:dyDescent="0.3">
      <c r="B141" s="12" t="str">
        <f>Income_Statement!B17</f>
        <v>Cost Of Materials Consumed</v>
      </c>
      <c r="C141" s="13">
        <f>Income_Statement!C17</f>
        <v>44943.199999999997</v>
      </c>
      <c r="D141" s="13">
        <f>Income_Statement!D17</f>
        <v>45025.7</v>
      </c>
      <c r="E141" s="13">
        <f>Income_Statement!E17</f>
        <v>34634.800000000003</v>
      </c>
      <c r="F141" s="13">
        <f>Income_Statement!F17</f>
        <v>33296.400000000001</v>
      </c>
      <c r="G141" s="13">
        <f>Income_Statement!G17</f>
        <v>39739.599999999999</v>
      </c>
    </row>
    <row r="142" spans="2:12" ht="19.5" thickTop="1" x14ac:dyDescent="0.25">
      <c r="B142" s="12" t="str">
        <f>Balance_Sheet!B33</f>
        <v>Total Current Liabilities</v>
      </c>
      <c r="C142" s="13">
        <f>Balance_Sheet!C33</f>
        <v>16950.099999999999</v>
      </c>
      <c r="D142" s="13">
        <f>Balance_Sheet!D33</f>
        <v>16087.5</v>
      </c>
      <c r="E142" s="13">
        <f>Balance_Sheet!E33</f>
        <v>13426.300000000001</v>
      </c>
      <c r="F142" s="13">
        <f>Balance_Sheet!F33</f>
        <v>17845.099999999999</v>
      </c>
      <c r="G142" s="13">
        <f>Balance_Sheet!G33</f>
        <v>18940.099999999999</v>
      </c>
      <c r="I142" s="35"/>
      <c r="J142" s="36"/>
      <c r="K142" s="36"/>
      <c r="L142" s="37"/>
    </row>
    <row r="143" spans="2:12" ht="18.75" x14ac:dyDescent="0.25">
      <c r="B143" s="12" t="s">
        <v>194</v>
      </c>
      <c r="C143" s="13">
        <f>ROUND(365/C141*C142, 2)</f>
        <v>137.66</v>
      </c>
      <c r="D143" s="13">
        <f t="shared" ref="D143:G143" si="29">ROUND(365/D141*D142, 2)</f>
        <v>130.41</v>
      </c>
      <c r="E143" s="13">
        <f t="shared" si="29"/>
        <v>141.49</v>
      </c>
      <c r="F143" s="13">
        <f t="shared" si="29"/>
        <v>195.62</v>
      </c>
      <c r="G143" s="13">
        <f t="shared" si="29"/>
        <v>173.96</v>
      </c>
      <c r="I143" s="38"/>
      <c r="J143" s="39"/>
      <c r="K143" s="39"/>
      <c r="L143" s="40"/>
    </row>
    <row r="144" spans="2:12" ht="19.5" thickBot="1" x14ac:dyDescent="0.3">
      <c r="B144" s="14" t="s">
        <v>198</v>
      </c>
      <c r="C144" s="16">
        <f>ROUND(C143+C140, 2)</f>
        <v>152.02000000000001</v>
      </c>
      <c r="D144" s="16">
        <f t="shared" ref="D144:G144" si="30">ROUND(D143+D140, 2)</f>
        <v>145.01</v>
      </c>
      <c r="E144" s="16">
        <f t="shared" si="30"/>
        <v>157.85</v>
      </c>
      <c r="F144" s="16">
        <f t="shared" si="30"/>
        <v>212.34</v>
      </c>
      <c r="G144" s="16">
        <f t="shared" si="30"/>
        <v>189.35</v>
      </c>
      <c r="I144" s="41"/>
      <c r="J144" s="42"/>
      <c r="K144" s="42"/>
      <c r="L144" s="43"/>
    </row>
    <row r="145" spans="2:12" ht="15.75" thickTop="1" x14ac:dyDescent="0.25"/>
    <row r="146" spans="2:12" ht="18.75" x14ac:dyDescent="0.25">
      <c r="B146" s="44" t="s">
        <v>199</v>
      </c>
      <c r="C146" s="44"/>
      <c r="D146" s="44"/>
      <c r="E146" s="44"/>
      <c r="F146" s="44"/>
      <c r="G146" s="44"/>
    </row>
    <row r="147" spans="2:12" ht="18.75" x14ac:dyDescent="0.25">
      <c r="B147" s="12" t="str">
        <f>Income_Statement!B5</f>
        <v>Gross Sales</v>
      </c>
      <c r="C147" s="13">
        <f>Income_Statement!C5</f>
        <v>80348.800000000003</v>
      </c>
      <c r="D147" s="13">
        <f>Income_Statement!D5</f>
        <v>83038.5</v>
      </c>
      <c r="E147" s="13">
        <f>Income_Statement!E5</f>
        <v>71704.800000000003</v>
      </c>
      <c r="F147" s="13">
        <f>Income_Statement!F5</f>
        <v>66571.8</v>
      </c>
      <c r="G147" s="13">
        <f>Income_Statement!G5</f>
        <v>83799.8</v>
      </c>
    </row>
    <row r="148" spans="2:12" ht="18.75" x14ac:dyDescent="0.25">
      <c r="B148" s="12" t="str">
        <f>Balance_Sheet!B66</f>
        <v>Inventories</v>
      </c>
      <c r="C148" s="13">
        <f>Balance_Sheet!C66</f>
        <v>3160.2</v>
      </c>
      <c r="D148" s="13">
        <f>Balance_Sheet!D66</f>
        <v>3322.6</v>
      </c>
      <c r="E148" s="13">
        <f>Balance_Sheet!E66</f>
        <v>3213.9</v>
      </c>
      <c r="F148" s="13">
        <f>Balance_Sheet!F66</f>
        <v>3049</v>
      </c>
      <c r="G148" s="13">
        <f>Balance_Sheet!G66</f>
        <v>3532.3</v>
      </c>
    </row>
    <row r="149" spans="2:12" ht="18.75" x14ac:dyDescent="0.25">
      <c r="B149" s="12" t="s">
        <v>192</v>
      </c>
      <c r="C149" s="13">
        <f>ROUND(365/C147*C148, 2)</f>
        <v>14.36</v>
      </c>
      <c r="D149" s="13">
        <f t="shared" ref="D149:G149" si="31">ROUND(365/D147*D148, 2)</f>
        <v>14.6</v>
      </c>
      <c r="E149" s="13">
        <f t="shared" si="31"/>
        <v>16.36</v>
      </c>
      <c r="F149" s="13">
        <f t="shared" si="31"/>
        <v>16.72</v>
      </c>
      <c r="G149" s="13">
        <f t="shared" si="31"/>
        <v>15.39</v>
      </c>
    </row>
    <row r="150" spans="2:12" ht="18.75" x14ac:dyDescent="0.25">
      <c r="B150" s="12" t="str">
        <f>Income_Statement!B17</f>
        <v>Cost Of Materials Consumed</v>
      </c>
      <c r="C150" s="13">
        <f>Income_Statement!C17</f>
        <v>44943.199999999997</v>
      </c>
      <c r="D150" s="13">
        <f>Income_Statement!D17</f>
        <v>45025.7</v>
      </c>
      <c r="E150" s="13">
        <f>Income_Statement!E17</f>
        <v>34634.800000000003</v>
      </c>
      <c r="F150" s="13">
        <f>Income_Statement!F17</f>
        <v>33296.400000000001</v>
      </c>
      <c r="G150" s="13">
        <f>Income_Statement!G17</f>
        <v>39739.599999999999</v>
      </c>
    </row>
    <row r="151" spans="2:12" ht="18.75" x14ac:dyDescent="0.25">
      <c r="B151" s="12" t="str">
        <f>Balance_Sheet!B33</f>
        <v>Total Current Liabilities</v>
      </c>
      <c r="C151" s="13">
        <f>Balance_Sheet!C33</f>
        <v>16950.099999999999</v>
      </c>
      <c r="D151" s="13">
        <f>Balance_Sheet!D33</f>
        <v>16087.5</v>
      </c>
      <c r="E151" s="13">
        <f>Balance_Sheet!E33</f>
        <v>13426.300000000001</v>
      </c>
      <c r="F151" s="13">
        <f>Balance_Sheet!F33</f>
        <v>17845.099999999999</v>
      </c>
      <c r="G151" s="13">
        <f>Balance_Sheet!G33</f>
        <v>18940.099999999999</v>
      </c>
    </row>
    <row r="152" spans="2:12" ht="18.75" x14ac:dyDescent="0.25">
      <c r="B152" s="12" t="s">
        <v>194</v>
      </c>
      <c r="C152" s="13">
        <f>ROUND(365/C150*C151, 2)</f>
        <v>137.66</v>
      </c>
      <c r="D152" s="13">
        <f t="shared" ref="D152:G152" si="32">ROUND(365/D150*D151, 2)</f>
        <v>130.41</v>
      </c>
      <c r="E152" s="13">
        <f t="shared" si="32"/>
        <v>141.49</v>
      </c>
      <c r="F152" s="13">
        <f t="shared" si="32"/>
        <v>195.62</v>
      </c>
      <c r="G152" s="13">
        <f t="shared" si="32"/>
        <v>173.96</v>
      </c>
    </row>
    <row r="153" spans="2:12" ht="18.75" x14ac:dyDescent="0.25">
      <c r="B153" s="12" t="s">
        <v>200</v>
      </c>
      <c r="C153" s="13">
        <f>ROUND(C152+C149, 2)</f>
        <v>152.02000000000001</v>
      </c>
      <c r="D153" s="13">
        <f t="shared" ref="D153:G153" si="33">ROUND(D152+D149, 2)</f>
        <v>145.01</v>
      </c>
      <c r="E153" s="13">
        <f t="shared" si="33"/>
        <v>157.85</v>
      </c>
      <c r="F153" s="13">
        <f t="shared" si="33"/>
        <v>212.34</v>
      </c>
      <c r="G153" s="13">
        <f t="shared" si="33"/>
        <v>189.35</v>
      </c>
    </row>
    <row r="154" spans="2:12" ht="19.5" thickBot="1" x14ac:dyDescent="0.3">
      <c r="B154" s="12" t="str">
        <f>Income_Statement!B17</f>
        <v>Cost Of Materials Consumed</v>
      </c>
      <c r="C154" s="13">
        <f>Income_Statement!C17</f>
        <v>44943.199999999997</v>
      </c>
      <c r="D154" s="13">
        <f>Income_Statement!D17</f>
        <v>45025.7</v>
      </c>
      <c r="E154" s="13">
        <f>Income_Statement!E17</f>
        <v>34634.800000000003</v>
      </c>
      <c r="F154" s="13">
        <f>Income_Statement!F17</f>
        <v>33296.400000000001</v>
      </c>
      <c r="G154" s="13">
        <f>Income_Statement!G17</f>
        <v>39739.599999999999</v>
      </c>
    </row>
    <row r="155" spans="2:12" ht="19.5" thickTop="1" x14ac:dyDescent="0.25">
      <c r="B155" s="12" t="str">
        <f>Balance_Sheet!B33</f>
        <v>Total Current Liabilities</v>
      </c>
      <c r="C155" s="13">
        <f>Balance_Sheet!C33</f>
        <v>16950.099999999999</v>
      </c>
      <c r="D155" s="13">
        <f>Balance_Sheet!D33</f>
        <v>16087.5</v>
      </c>
      <c r="E155" s="13">
        <f>Balance_Sheet!E33</f>
        <v>13426.300000000001</v>
      </c>
      <c r="F155" s="13">
        <f>Balance_Sheet!F33</f>
        <v>17845.099999999999</v>
      </c>
      <c r="G155" s="13">
        <f>Balance_Sheet!G33</f>
        <v>18940.099999999999</v>
      </c>
      <c r="I155" s="35"/>
      <c r="J155" s="36"/>
      <c r="K155" s="36"/>
      <c r="L155" s="37"/>
    </row>
    <row r="156" spans="2:12" ht="18.75" x14ac:dyDescent="0.25">
      <c r="B156" s="12" t="s">
        <v>194</v>
      </c>
      <c r="C156" s="13">
        <f>ROUND(365/C154*C155, 2)</f>
        <v>137.66</v>
      </c>
      <c r="D156" s="13">
        <f t="shared" ref="D156:G156" si="34">ROUND(365/D154*D155, 2)</f>
        <v>130.41</v>
      </c>
      <c r="E156" s="13">
        <f t="shared" si="34"/>
        <v>141.49</v>
      </c>
      <c r="F156" s="13">
        <f t="shared" si="34"/>
        <v>195.62</v>
      </c>
      <c r="G156" s="13">
        <f t="shared" si="34"/>
        <v>173.96</v>
      </c>
      <c r="I156" s="38"/>
      <c r="J156" s="39"/>
      <c r="K156" s="39"/>
      <c r="L156" s="40"/>
    </row>
    <row r="157" spans="2:12" ht="19.5" thickBot="1" x14ac:dyDescent="0.3">
      <c r="B157" s="14" t="s">
        <v>201</v>
      </c>
      <c r="C157" s="16">
        <f>ROUND(C156-C153, 2)</f>
        <v>-14.36</v>
      </c>
      <c r="D157" s="16">
        <f t="shared" ref="D157:G157" si="35">ROUND(D156-D153, 2)</f>
        <v>-14.6</v>
      </c>
      <c r="E157" s="16">
        <f t="shared" si="35"/>
        <v>-16.36</v>
      </c>
      <c r="F157" s="16">
        <f t="shared" si="35"/>
        <v>-16.72</v>
      </c>
      <c r="G157" s="16">
        <f t="shared" si="35"/>
        <v>-15.39</v>
      </c>
      <c r="I157" s="41"/>
      <c r="J157" s="42"/>
      <c r="K157" s="42"/>
      <c r="L157" s="43"/>
    </row>
    <row r="158" spans="2:12" ht="15.75" thickTop="1" x14ac:dyDescent="0.25"/>
  </sheetData>
  <mergeCells count="54">
    <mergeCell ref="I16:L18"/>
    <mergeCell ref="B5:G5"/>
    <mergeCell ref="I6:L8"/>
    <mergeCell ref="B10:G10"/>
    <mergeCell ref="I11:L13"/>
    <mergeCell ref="B15:G15"/>
    <mergeCell ref="I52:L54"/>
    <mergeCell ref="B20:G20"/>
    <mergeCell ref="I25:L27"/>
    <mergeCell ref="B29:G29"/>
    <mergeCell ref="I31:L33"/>
    <mergeCell ref="B35:G35"/>
    <mergeCell ref="I36:L38"/>
    <mergeCell ref="B40:G40"/>
    <mergeCell ref="I41:L43"/>
    <mergeCell ref="B45:G45"/>
    <mergeCell ref="I46:L48"/>
    <mergeCell ref="B50:G50"/>
    <mergeCell ref="I83:L85"/>
    <mergeCell ref="B56:G56"/>
    <mergeCell ref="I57:L59"/>
    <mergeCell ref="B61:G61"/>
    <mergeCell ref="I62:L64"/>
    <mergeCell ref="B66:G66"/>
    <mergeCell ref="I67:L69"/>
    <mergeCell ref="B71:G71"/>
    <mergeCell ref="I73:L75"/>
    <mergeCell ref="B77:G77"/>
    <mergeCell ref="I78:L80"/>
    <mergeCell ref="B82:G82"/>
    <mergeCell ref="I113:L115"/>
    <mergeCell ref="B87:G87"/>
    <mergeCell ref="I88:L90"/>
    <mergeCell ref="B92:G92"/>
    <mergeCell ref="I93:L95"/>
    <mergeCell ref="B97:G97"/>
    <mergeCell ref="I98:L100"/>
    <mergeCell ref="B102:G102"/>
    <mergeCell ref="I103:L105"/>
    <mergeCell ref="B107:G107"/>
    <mergeCell ref="I108:L110"/>
    <mergeCell ref="B112:G112"/>
    <mergeCell ref="I155:L157"/>
    <mergeCell ref="B117:G117"/>
    <mergeCell ref="I118:L120"/>
    <mergeCell ref="B122:G122"/>
    <mergeCell ref="I123:L125"/>
    <mergeCell ref="B127:G127"/>
    <mergeCell ref="I128:L130"/>
    <mergeCell ref="B132:G132"/>
    <mergeCell ref="I133:L135"/>
    <mergeCell ref="B137:G137"/>
    <mergeCell ref="I142:L144"/>
    <mergeCell ref="B146:G146"/>
  </mergeCells>
  <hyperlinks>
    <hyperlink ref="F1" location="Index_Data!A1" tooltip="Hi click here To return Index page" display="Index_Data!A1" xr:uid="{5839D0DD-96A2-4D9C-8242-78DC642A60A2}"/>
  </hyperlinks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high="1" xr2:uid="{3A0F6451-9980-4F69-8AC1-CCDC0787A847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Ratios!$C$8:$G$8</xm:f>
              <xm:sqref>I6</xm:sqref>
            </x14:sparkline>
          </x14:sparklines>
        </x14:sparklineGroup>
        <x14:sparklineGroup type="column" displayEmptyCellsAs="gap" high="1" xr2:uid="{0FBFD542-3FD7-499C-9809-1A4451185A3F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Ratios!$C$13:$G$13</xm:f>
              <xm:sqref>I11</xm:sqref>
            </x14:sparkline>
          </x14:sparklines>
        </x14:sparklineGroup>
        <x14:sparklineGroup type="column" displayEmptyCellsAs="gap" high="1" xr2:uid="{9F64903E-AC9B-418F-BBD1-0D97ECC71BF7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Ratios!$C$18:$G$18</xm:f>
              <xm:sqref>I16</xm:sqref>
            </x14:sparkline>
          </x14:sparklines>
        </x14:sparklineGroup>
        <x14:sparklineGroup type="column" displayEmptyCellsAs="gap" high="1" xr2:uid="{A5FBE6A7-EDAE-4014-88CD-4EB4C27CF574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Ratios!$C$27:$G$27</xm:f>
              <xm:sqref>I25</xm:sqref>
            </x14:sparkline>
          </x14:sparklines>
        </x14:sparklineGroup>
        <x14:sparklineGroup type="column" displayEmptyCellsAs="gap" high="1" xr2:uid="{258EC682-F01B-488D-BB4C-48FA1BF30F06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Ratios!$C$33:$G$33</xm:f>
              <xm:sqref>I31</xm:sqref>
            </x14:sparkline>
          </x14:sparklines>
        </x14:sparklineGroup>
        <x14:sparklineGroup type="column" displayEmptyCellsAs="gap" high="1" xr2:uid="{84FADE72-492C-4440-A1B9-529237270228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Ratios!$C$38:$G$38</xm:f>
              <xm:sqref>I36</xm:sqref>
            </x14:sparkline>
          </x14:sparklines>
        </x14:sparklineGroup>
        <x14:sparklineGroup type="column" displayEmptyCellsAs="gap" high="1" xr2:uid="{A767B001-5BD7-4E9F-9F37-AF59AF3AAA29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Ratios!$C$43:$G$43</xm:f>
              <xm:sqref>I41</xm:sqref>
            </x14:sparkline>
          </x14:sparklines>
        </x14:sparklineGroup>
        <x14:sparklineGroup type="column" displayEmptyCellsAs="gap" high="1" xr2:uid="{0631CDA6-562F-40E5-8314-CC064AD9ED43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Ratios!$C$48:$G$48</xm:f>
              <xm:sqref>I46</xm:sqref>
            </x14:sparkline>
          </x14:sparklines>
        </x14:sparklineGroup>
        <x14:sparklineGroup type="column" displayEmptyCellsAs="gap" high="1" xr2:uid="{15CF09F7-6F78-4F58-AAC0-DD55CC3F411C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Ratios!$C$54:$G$54</xm:f>
              <xm:sqref>I52</xm:sqref>
            </x14:sparkline>
          </x14:sparklines>
        </x14:sparklineGroup>
        <x14:sparklineGroup type="column" displayEmptyCellsAs="gap" high="1" xr2:uid="{589EC426-6282-4E89-8232-6E1C35008D1E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Ratios!$C$59:$G$59</xm:f>
              <xm:sqref>I57</xm:sqref>
            </x14:sparkline>
          </x14:sparklines>
        </x14:sparklineGroup>
        <x14:sparklineGroup type="column" displayEmptyCellsAs="gap" high="1" xr2:uid="{B9BB05FD-3DC9-4F57-912F-C60CF03B56E1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Ratios!$C$64:$G$64</xm:f>
              <xm:sqref>I62</xm:sqref>
            </x14:sparkline>
          </x14:sparklines>
        </x14:sparklineGroup>
        <x14:sparklineGroup type="column" displayEmptyCellsAs="gap" high="1" xr2:uid="{566D9AD3-DC93-416A-8157-F31301989101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Ratios!$C$69:$G$69</xm:f>
              <xm:sqref>I67</xm:sqref>
            </x14:sparkline>
          </x14:sparklines>
        </x14:sparklineGroup>
        <x14:sparklineGroup type="column" displayEmptyCellsAs="gap" high="1" xr2:uid="{7E84959D-3DF0-4C17-8203-1A5CFC9A5189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Ratios!$C$75:$G$75</xm:f>
              <xm:sqref>I73</xm:sqref>
            </x14:sparkline>
          </x14:sparklines>
        </x14:sparklineGroup>
        <x14:sparklineGroup type="column" displayEmptyCellsAs="gap" high="1" xr2:uid="{06E2184C-106B-4C55-AD25-26EECD244282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Ratios!$C$80:$G$80</xm:f>
              <xm:sqref>I78</xm:sqref>
            </x14:sparkline>
          </x14:sparklines>
        </x14:sparklineGroup>
        <x14:sparklineGroup type="column" displayEmptyCellsAs="gap" high="1" xr2:uid="{1596138F-7746-4E73-BACE-05C0CFB53097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Ratios!$C$85:$G$85</xm:f>
              <xm:sqref>I83</xm:sqref>
            </x14:sparkline>
          </x14:sparklines>
        </x14:sparklineGroup>
        <x14:sparklineGroup type="column" displayEmptyCellsAs="gap" high="1" xr2:uid="{550E4FD0-7BB0-4F5A-8EB6-2D4B3E6D1364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Ratios!$C$90:$G$90</xm:f>
              <xm:sqref>I88</xm:sqref>
            </x14:sparkline>
          </x14:sparklines>
        </x14:sparklineGroup>
        <x14:sparklineGroup type="column" displayEmptyCellsAs="gap" high="1" xr2:uid="{F7ED4314-FD87-4C4B-9A8B-7A105F7A2D62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Ratios!$C$95:$G$95</xm:f>
              <xm:sqref>I93</xm:sqref>
            </x14:sparkline>
          </x14:sparklines>
        </x14:sparklineGroup>
        <x14:sparklineGroup type="column" displayEmptyCellsAs="gap" high="1" xr2:uid="{DFE736D5-49B9-436C-9764-E257FD2658F5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Ratios!$C$100:$G$100</xm:f>
              <xm:sqref>I98</xm:sqref>
            </x14:sparkline>
          </x14:sparklines>
        </x14:sparklineGroup>
        <x14:sparklineGroup type="column" displayEmptyCellsAs="gap" high="1" xr2:uid="{188E0823-AED5-424F-AC74-D2F4C89DC0D3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Ratios!$C$105:$G$105</xm:f>
              <xm:sqref>I103</xm:sqref>
            </x14:sparkline>
          </x14:sparklines>
        </x14:sparklineGroup>
        <x14:sparklineGroup type="column" displayEmptyCellsAs="gap" high="1" xr2:uid="{B4611E78-8B7B-4AEE-A23E-13133E1216B5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Ratios!$C$110:$G$110</xm:f>
              <xm:sqref>I108</xm:sqref>
            </x14:sparkline>
          </x14:sparklines>
        </x14:sparklineGroup>
        <x14:sparklineGroup type="column" displayEmptyCellsAs="gap" high="1" xr2:uid="{0AB49850-24BD-483A-8B72-AF2ED45FD89A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Ratios!$C$115:$G$115</xm:f>
              <xm:sqref>I113</xm:sqref>
            </x14:sparkline>
          </x14:sparklines>
        </x14:sparklineGroup>
        <x14:sparklineGroup type="column" displayEmptyCellsAs="gap" high="1" xr2:uid="{F1235390-EFF8-4661-AD44-DFFCD9AC8781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Ratios!$C$120:$G$120</xm:f>
              <xm:sqref>I118</xm:sqref>
            </x14:sparkline>
          </x14:sparklines>
        </x14:sparklineGroup>
        <x14:sparklineGroup type="column" displayEmptyCellsAs="gap" high="1" xr2:uid="{BAD00B7E-5A3E-4AF9-8047-09FDFD99F817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Ratios!$C$125:$G$125</xm:f>
              <xm:sqref>I123</xm:sqref>
            </x14:sparkline>
          </x14:sparklines>
        </x14:sparklineGroup>
        <x14:sparklineGroup type="column" displayEmptyCellsAs="gap" high="1" xr2:uid="{4ACB4B5B-9366-43CF-8DB6-65A68BD30898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Ratios!$C$130:$G$130</xm:f>
              <xm:sqref>I128</xm:sqref>
            </x14:sparkline>
          </x14:sparklines>
        </x14:sparklineGroup>
        <x14:sparklineGroup type="column" displayEmptyCellsAs="gap" high="1" xr2:uid="{CF46534B-C801-4832-99E3-7E9C8BB072FC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Ratios!$C$135:$G$135</xm:f>
              <xm:sqref>I133</xm:sqref>
            </x14:sparkline>
          </x14:sparklines>
        </x14:sparklineGroup>
        <x14:sparklineGroup type="column" displayEmptyCellsAs="gap" high="1" xr2:uid="{DD0E94A2-31E7-4883-B696-F5C292B4A261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Ratios!$C$144:$G$144</xm:f>
              <xm:sqref>I142</xm:sqref>
            </x14:sparkline>
          </x14:sparklines>
        </x14:sparklineGroup>
        <x14:sparklineGroup type="column" displayEmptyCellsAs="gap" high="1" xr2:uid="{C1417207-8403-424B-95D9-16694B84884B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Ratios!$C$157:$G$157</xm:f>
              <xm:sqref>I155</xm:sqref>
            </x14:sparkline>
          </x14:sparklines>
        </x14:sparklineGroup>
      </x14:sparklineGroup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AC7F1A-BC09-4915-BFD5-A3597AEB84BF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41.140625" bestFit="1" customWidth="1"/>
    <col min="3" max="7" width="13.1406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145</v>
      </c>
      <c r="C5" s="44"/>
      <c r="D5" s="44"/>
      <c r="E5" s="44"/>
      <c r="F5" s="44"/>
      <c r="G5" s="44"/>
    </row>
    <row r="6" spans="2:15" ht="18.75" x14ac:dyDescent="0.25">
      <c r="B6" s="12" t="str">
        <f>Income_Statement!B49</f>
        <v>Reported Net Profit(PAT)</v>
      </c>
      <c r="C6" s="13">
        <f>Income_Statement!C49</f>
        <v>15969.897686337576</v>
      </c>
      <c r="D6" s="13">
        <f>Income_Statement!D49</f>
        <v>19582.030848341434</v>
      </c>
      <c r="E6" s="13">
        <f>Income_Statement!E49</f>
        <v>20011.846501768356</v>
      </c>
      <c r="F6" s="13">
        <f>Income_Statement!F49</f>
        <v>17875.844107264642</v>
      </c>
      <c r="G6" s="13">
        <f>Income_Statement!G49</f>
        <v>25493.020819858768</v>
      </c>
    </row>
    <row r="7" spans="2:15" ht="18.75" x14ac:dyDescent="0.25">
      <c r="B7" s="12" t="str">
        <f>Income_Statement!B61</f>
        <v>Total Shares Outstanding(cr)</v>
      </c>
      <c r="C7" s="13">
        <f>Income_Statement!C61</f>
        <v>61.187347457232093</v>
      </c>
      <c r="D7" s="13">
        <f>Income_Statement!D61</f>
        <v>77.399331416369307</v>
      </c>
      <c r="E7" s="13">
        <f>Income_Statement!E61</f>
        <v>106.44599203068275</v>
      </c>
      <c r="F7" s="13">
        <f>Income_Statement!F61</f>
        <v>123.28168349837684</v>
      </c>
      <c r="G7" s="13">
        <f>Income_Statement!G61</f>
        <v>199.16422515514662</v>
      </c>
    </row>
    <row r="8" spans="2:15" ht="18.75" x14ac:dyDescent="0.25">
      <c r="B8" s="14" t="s">
        <v>146</v>
      </c>
      <c r="C8" s="14">
        <f>ROUND(C6/C7, 2)</f>
        <v>261</v>
      </c>
      <c r="D8" s="14">
        <f t="shared" ref="D8:G8" si="0">ROUND(D6/D7, 2)</f>
        <v>253</v>
      </c>
      <c r="E8" s="14">
        <f t="shared" si="0"/>
        <v>188</v>
      </c>
      <c r="F8" s="14">
        <f t="shared" si="0"/>
        <v>145</v>
      </c>
      <c r="G8" s="14">
        <f t="shared" si="0"/>
        <v>128</v>
      </c>
    </row>
  </sheetData>
  <mergeCells count="1">
    <mergeCell ref="B5:G5"/>
  </mergeCells>
  <hyperlinks>
    <hyperlink ref="F1" location="Index_Data!A1" tooltip="Hi click here To return Index page" display="Index_Data!A1" xr:uid="{72CB7F18-E1C3-468F-AD9C-49082A0D50C1}"/>
  </hyperlink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26B2CE-8ECD-4645-976E-A0C4AC9B9592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41.140625" bestFit="1" customWidth="1"/>
    <col min="3" max="6" width="11.5703125" bestFit="1" customWidth="1"/>
    <col min="7" max="7" width="10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147</v>
      </c>
      <c r="C5" s="44"/>
      <c r="D5" s="44"/>
      <c r="E5" s="44"/>
      <c r="F5" s="44"/>
      <c r="G5" s="44"/>
    </row>
    <row r="6" spans="2:15" ht="18.75" x14ac:dyDescent="0.25">
      <c r="B6" s="12" t="str">
        <f>Income_Statement!B51</f>
        <v>Equity Share Dividend</v>
      </c>
      <c r="C6" s="13">
        <f>Income_Statement!C51</f>
        <v>2265.6</v>
      </c>
      <c r="D6" s="13">
        <f>Income_Statement!D51</f>
        <v>2416.6</v>
      </c>
      <c r="E6" s="13">
        <f>Income_Statement!E51</f>
        <v>2416.6</v>
      </c>
      <c r="F6" s="13">
        <f>Income_Statement!F51</f>
        <v>1812.5</v>
      </c>
      <c r="G6" s="13">
        <f>Income_Statement!G51</f>
        <v>0</v>
      </c>
    </row>
    <row r="7" spans="2:15" ht="18.75" x14ac:dyDescent="0.25">
      <c r="B7" s="12" t="str">
        <f>Income_Statement!B61</f>
        <v>Total Shares Outstanding(cr)</v>
      </c>
      <c r="C7" s="13">
        <f>Income_Statement!C61</f>
        <v>61.187347457232093</v>
      </c>
      <c r="D7" s="13">
        <f>Income_Statement!D61</f>
        <v>77.399331416369307</v>
      </c>
      <c r="E7" s="13">
        <f>Income_Statement!E61</f>
        <v>106.44599203068275</v>
      </c>
      <c r="F7" s="13">
        <f>Income_Statement!F61</f>
        <v>123.28168349837684</v>
      </c>
      <c r="G7" s="13">
        <f>Income_Statement!G61</f>
        <v>199.16422515514662</v>
      </c>
    </row>
    <row r="8" spans="2:15" ht="18.75" x14ac:dyDescent="0.25">
      <c r="B8" s="14" t="s">
        <v>148</v>
      </c>
      <c r="C8" s="14">
        <f>ROUND(C6/C7, 2)</f>
        <v>37.03</v>
      </c>
      <c r="D8" s="14">
        <f t="shared" ref="D8:G8" si="0">ROUND(D6/D7, 2)</f>
        <v>31.22</v>
      </c>
      <c r="E8" s="14">
        <f t="shared" si="0"/>
        <v>22.7</v>
      </c>
      <c r="F8" s="14">
        <f t="shared" si="0"/>
        <v>14.7</v>
      </c>
      <c r="G8" s="14">
        <f t="shared" si="0"/>
        <v>0</v>
      </c>
    </row>
  </sheetData>
  <mergeCells count="1">
    <mergeCell ref="B5:G5"/>
  </mergeCells>
  <hyperlinks>
    <hyperlink ref="F1" location="Index_Data!A1" tooltip="Hi click here To return Index page" display="Index_Data!A1" xr:uid="{89B3C769-6987-4234-A16B-7B3D3F816438}"/>
  </hyperlink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48</vt:i4>
      </vt:variant>
      <vt:variant>
        <vt:lpstr>Named Ranges</vt:lpstr>
      </vt:variant>
      <vt:variant>
        <vt:i4>84</vt:i4>
      </vt:variant>
    </vt:vector>
  </HeadingPairs>
  <TitlesOfParts>
    <vt:vector size="132" baseType="lpstr">
      <vt:lpstr>BSInput</vt:lpstr>
      <vt:lpstr>ISMInput</vt:lpstr>
      <vt:lpstr>Index_Data</vt:lpstr>
      <vt:lpstr>Income_Statement</vt:lpstr>
      <vt:lpstr>Balance_Sheet</vt:lpstr>
      <vt:lpstr>CashFlow_Statement</vt:lpstr>
      <vt:lpstr>Ratios</vt:lpstr>
      <vt:lpstr>Earning__Per_Share</vt:lpstr>
      <vt:lpstr>Equity_Dividend_Per_Share</vt:lpstr>
      <vt:lpstr>Book_Value__Per_Share</vt:lpstr>
      <vt:lpstr>Dividend_Pay_Out_Ratio</vt:lpstr>
      <vt:lpstr>Dividend_Retention_Ratio</vt:lpstr>
      <vt:lpstr>Gross_Profit</vt:lpstr>
      <vt:lpstr>Net_Profit</vt:lpstr>
      <vt:lpstr>Return_On_Assets</vt:lpstr>
      <vt:lpstr>Return_On_Capital_Employeed</vt:lpstr>
      <vt:lpstr>Return_On_Equity</vt:lpstr>
      <vt:lpstr>Debt_Equity_Ratio</vt:lpstr>
      <vt:lpstr>Current_Ratio</vt:lpstr>
      <vt:lpstr>Quick_Ratio</vt:lpstr>
      <vt:lpstr>Interest_Coverage_Ratio</vt:lpstr>
      <vt:lpstr>Material_Consumed</vt:lpstr>
      <vt:lpstr>Defensive_Interval_Ratio</vt:lpstr>
      <vt:lpstr>Purchases_Per_Day</vt:lpstr>
      <vt:lpstr>Asset_TurnOver_Ratio</vt:lpstr>
      <vt:lpstr>Inventory_TurnOver_Ratio</vt:lpstr>
      <vt:lpstr>Debtors_TurnOver_Ratio</vt:lpstr>
      <vt:lpstr>Fixed_Assets_TurnOver_Ratio</vt:lpstr>
      <vt:lpstr>Payable_TurnOver_Ratio</vt:lpstr>
      <vt:lpstr>Inventory_Days</vt:lpstr>
      <vt:lpstr>Payable_Days</vt:lpstr>
      <vt:lpstr>Receivable_Days</vt:lpstr>
      <vt:lpstr>Operating_Cycle</vt:lpstr>
      <vt:lpstr>Cash_Conversion_Cycle_Days</vt:lpstr>
      <vt:lpstr>NetWorthVsTotalLiabilties</vt:lpstr>
      <vt:lpstr>PBDITvsPBIT</vt:lpstr>
      <vt:lpstr>CAvsCL</vt:lpstr>
      <vt:lpstr>Long_And_Short_Term_Provisions</vt:lpstr>
      <vt:lpstr>MaterialConsumed_DirectExpenses</vt:lpstr>
      <vt:lpstr>Gross_Sales_In_Total_Income</vt:lpstr>
      <vt:lpstr>Total_Debt_In_Liabilities</vt:lpstr>
      <vt:lpstr>Total_CL_In_Liabilities</vt:lpstr>
      <vt:lpstr>Total_NCA_In_Assets</vt:lpstr>
      <vt:lpstr>Total_CA_In_Assets</vt:lpstr>
      <vt:lpstr>TotalExpenditureVsTotalIncome</vt:lpstr>
      <vt:lpstr>Net_Profit_CF_To_Balance_Sheet</vt:lpstr>
      <vt:lpstr>BS_Backup</vt:lpstr>
      <vt:lpstr>ISM_Backup</vt:lpstr>
      <vt:lpstr>AmountCFtoBalanceSheet</vt:lpstr>
      <vt:lpstr>AssetTurnOverRatio</vt:lpstr>
      <vt:lpstr>BookValuePerShare</vt:lpstr>
      <vt:lpstr>CapitalWorkInProgress</vt:lpstr>
      <vt:lpstr>CashAndCashEquivalents</vt:lpstr>
      <vt:lpstr>CashCFtoBalanceSheet</vt:lpstr>
      <vt:lpstr>CostOfMaterialsConsumed</vt:lpstr>
      <vt:lpstr>CurrentInvestments</vt:lpstr>
      <vt:lpstr>CurrentRatio</vt:lpstr>
      <vt:lpstr>DebtEquityRatio</vt:lpstr>
      <vt:lpstr>DebtorsTurnOverRatio</vt:lpstr>
      <vt:lpstr>DefensiveIntervalRatio</vt:lpstr>
      <vt:lpstr>DeferredTaxAssetsNet</vt:lpstr>
      <vt:lpstr>DeferredTaxLiabilitiesNet</vt:lpstr>
      <vt:lpstr>Depreciation</vt:lpstr>
      <vt:lpstr>DepreciationAndAmortisationExpenses</vt:lpstr>
      <vt:lpstr>EarningPerShare</vt:lpstr>
      <vt:lpstr>EmployeeBenefitExpenses</vt:lpstr>
      <vt:lpstr>EquityDividendPerShare</vt:lpstr>
      <vt:lpstr>EquityShareCapital</vt:lpstr>
      <vt:lpstr>EquityShareDividend</vt:lpstr>
      <vt:lpstr>ExceptionalItems</vt:lpstr>
      <vt:lpstr>ExciseDuty</vt:lpstr>
      <vt:lpstr>FinanceCosts</vt:lpstr>
      <vt:lpstr>GrossProfit</vt:lpstr>
      <vt:lpstr>GrossSales</vt:lpstr>
      <vt:lpstr>IntangibleAssets</vt:lpstr>
      <vt:lpstr>InterestCoverageRatio</vt:lpstr>
      <vt:lpstr>Inventories</vt:lpstr>
      <vt:lpstr>InventoryTurnOverRatio</vt:lpstr>
      <vt:lpstr>LongTermBorrowings</vt:lpstr>
      <vt:lpstr>LongTermLoansAndAdvances</vt:lpstr>
      <vt:lpstr>LongTermProvisions</vt:lpstr>
      <vt:lpstr>MaterialConsumed</vt:lpstr>
      <vt:lpstr>MinorityInterest</vt:lpstr>
      <vt:lpstr>NetAssets</vt:lpstr>
      <vt:lpstr>NetProfit</vt:lpstr>
      <vt:lpstr>NetSales</vt:lpstr>
      <vt:lpstr>NetWorth</vt:lpstr>
      <vt:lpstr>NonCurrentInvestments</vt:lpstr>
      <vt:lpstr>OperatingAndDirectExpenses</vt:lpstr>
      <vt:lpstr>OperatingProfit</vt:lpstr>
      <vt:lpstr>OtherCurrentAssets</vt:lpstr>
      <vt:lpstr>OtherCurrentLiabilities</vt:lpstr>
      <vt:lpstr>OtherExpenses</vt:lpstr>
      <vt:lpstr>OtherIncome</vt:lpstr>
      <vt:lpstr>OtherLongTermLiabilities</vt:lpstr>
      <vt:lpstr>OtherNonCurrentAssets</vt:lpstr>
      <vt:lpstr>PBDIT</vt:lpstr>
      <vt:lpstr>PBIT</vt:lpstr>
      <vt:lpstr>PBT</vt:lpstr>
      <vt:lpstr>PBTPostExtraOrdinaryItems</vt:lpstr>
      <vt:lpstr>PreferenceShareCapital</vt:lpstr>
      <vt:lpstr>ProfitBeforeshareofAssociates</vt:lpstr>
      <vt:lpstr>QuickRatio</vt:lpstr>
      <vt:lpstr>ReportedNetProfitPAT</vt:lpstr>
      <vt:lpstr>ReservesandSurplus</vt:lpstr>
      <vt:lpstr>ReturnOnAssets</vt:lpstr>
      <vt:lpstr>ReturnOnCapitalEmployeed</vt:lpstr>
      <vt:lpstr>ReturnOnEquity</vt:lpstr>
      <vt:lpstr>ShareOfProfitLossOfAssociates</vt:lpstr>
      <vt:lpstr>SharesOutstanding</vt:lpstr>
      <vt:lpstr>ShortTermBorrowings</vt:lpstr>
      <vt:lpstr>ShortTermLoansAndAdvances</vt:lpstr>
      <vt:lpstr>ShortTermProvisions</vt:lpstr>
      <vt:lpstr>StockAdjustments</vt:lpstr>
      <vt:lpstr>TangibleAssets</vt:lpstr>
      <vt:lpstr>TaxOnDividend</vt:lpstr>
      <vt:lpstr>TotalAssets</vt:lpstr>
      <vt:lpstr>TotalCashFlowfromInvestmentActivities</vt:lpstr>
      <vt:lpstr>TotalCashFromFinancingActivities</vt:lpstr>
      <vt:lpstr>TotalCashfromOperatingActivities</vt:lpstr>
      <vt:lpstr>TotalCurrentAssets</vt:lpstr>
      <vt:lpstr>TotalCurrentLiabilities</vt:lpstr>
      <vt:lpstr>TotalDebt</vt:lpstr>
      <vt:lpstr>TotalExpenditure</vt:lpstr>
      <vt:lpstr>TotalIncome</vt:lpstr>
      <vt:lpstr>TotalLiabilities</vt:lpstr>
      <vt:lpstr>TotalNonCashNonOperatingTransactions</vt:lpstr>
      <vt:lpstr>TotalNonCurrentAssets</vt:lpstr>
      <vt:lpstr>TotalShareCapital</vt:lpstr>
      <vt:lpstr>TotalTaxExpenses</vt:lpstr>
      <vt:lpstr>TradePayables</vt:lpstr>
      <vt:lpstr>TradeReceivables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</dc:creator>
  <cp:lastModifiedBy>pavan</cp:lastModifiedBy>
  <dcterms:created xsi:type="dcterms:W3CDTF">2022-07-03T11:22:55Z</dcterms:created>
  <dcterms:modified xsi:type="dcterms:W3CDTF">2022-07-04T08:14:16Z</dcterms:modified>
</cp:coreProperties>
</file>