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6A9754C4-28BB-4697-BD6E-59D742F27359}" xr6:coauthVersionLast="47" xr6:coauthVersionMax="47" xr10:uidLastSave="{00000000-0000-0000-0000-000000000000}"/>
  <bookViews>
    <workbookView xWindow="-120" yWindow="-120" windowWidth="20730" windowHeight="11160" firstSheet="2" activeTab="2" xr2:uid="{7A484F30-BAE8-4D66-BDB0-A056A5234A56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5" i="3" l="1"/>
  <c r="E65" i="3"/>
  <c r="F65" i="3"/>
  <c r="G65" i="3"/>
  <c r="H65" i="3" s="1"/>
  <c r="I65" i="3" s="1"/>
  <c r="J65" i="3" s="1"/>
  <c r="K65" i="3" s="1"/>
  <c r="L65" i="3" s="1"/>
  <c r="C65" i="3"/>
  <c r="D62" i="3"/>
  <c r="E62" i="3"/>
  <c r="H62" i="3" s="1"/>
  <c r="I62" i="3" s="1"/>
  <c r="J62" i="3" s="1"/>
  <c r="K62" i="3" s="1"/>
  <c r="L62" i="3" s="1"/>
  <c r="F62" i="3"/>
  <c r="G62" i="3"/>
  <c r="C62" i="3"/>
  <c r="H38" i="5"/>
  <c r="H14" i="5"/>
  <c r="I14" i="5"/>
  <c r="J14" i="5"/>
  <c r="K14" i="5"/>
  <c r="L14" i="5"/>
  <c r="H9" i="4"/>
  <c r="H7" i="4"/>
  <c r="I7" i="4" s="1"/>
  <c r="I5" i="4"/>
  <c r="H5" i="4"/>
  <c r="H37" i="5" s="1"/>
  <c r="H44" i="3"/>
  <c r="I44" i="3" s="1"/>
  <c r="J44" i="3" s="1"/>
  <c r="K44" i="3" s="1"/>
  <c r="L44" i="3" s="1"/>
  <c r="H40" i="3"/>
  <c r="I40" i="3" s="1"/>
  <c r="J40" i="3" s="1"/>
  <c r="K40" i="3" s="1"/>
  <c r="L40" i="3" s="1"/>
  <c r="H22" i="3"/>
  <c r="I22" i="3" s="1"/>
  <c r="J22" i="3" s="1"/>
  <c r="K22" i="3" s="1"/>
  <c r="L22" i="3" s="1"/>
  <c r="H6" i="3"/>
  <c r="H5" i="3"/>
  <c r="D54" i="3"/>
  <c r="E54" i="3"/>
  <c r="F54" i="3"/>
  <c r="G54" i="3"/>
  <c r="H54" i="3" s="1"/>
  <c r="I54" i="3" s="1"/>
  <c r="J54" i="3" s="1"/>
  <c r="K54" i="3" s="1"/>
  <c r="L54" i="3" s="1"/>
  <c r="C54" i="3"/>
  <c r="D52" i="3"/>
  <c r="E52" i="3"/>
  <c r="F52" i="3"/>
  <c r="G52" i="3"/>
  <c r="H52" i="3" s="1"/>
  <c r="I52" i="3" s="1"/>
  <c r="J52" i="3" s="1"/>
  <c r="K52" i="3" s="1"/>
  <c r="L52" i="3" s="1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H24" i="3" s="1"/>
  <c r="I24" i="3" s="1"/>
  <c r="F24" i="3"/>
  <c r="G24" i="3"/>
  <c r="C24" i="3"/>
  <c r="D22" i="3"/>
  <c r="E22" i="3"/>
  <c r="F22" i="3"/>
  <c r="G22" i="3"/>
  <c r="C22" i="3"/>
  <c r="D20" i="3"/>
  <c r="E20" i="3"/>
  <c r="F20" i="3"/>
  <c r="G20" i="3"/>
  <c r="H20" i="3" s="1"/>
  <c r="I20" i="3" s="1"/>
  <c r="J20" i="3" s="1"/>
  <c r="K20" i="3" s="1"/>
  <c r="L20" i="3" s="1"/>
  <c r="C20" i="3"/>
  <c r="D18" i="3"/>
  <c r="E18" i="3"/>
  <c r="F18" i="3"/>
  <c r="G18" i="3"/>
  <c r="H18" i="3" s="1"/>
  <c r="I18" i="3" s="1"/>
  <c r="J18" i="3" s="1"/>
  <c r="K18" i="3" s="1"/>
  <c r="L18" i="3" s="1"/>
  <c r="C18" i="3"/>
  <c r="D14" i="3"/>
  <c r="E14" i="3"/>
  <c r="F14" i="3"/>
  <c r="G14" i="3"/>
  <c r="C14" i="3"/>
  <c r="H14" i="3" s="1"/>
  <c r="I14" i="3" s="1"/>
  <c r="J14" i="3" s="1"/>
  <c r="K14" i="3" s="1"/>
  <c r="L14" i="3" s="1"/>
  <c r="D12" i="3"/>
  <c r="E12" i="3"/>
  <c r="F12" i="3"/>
  <c r="G12" i="3"/>
  <c r="C12" i="3"/>
  <c r="H12" i="3" s="1"/>
  <c r="I12" i="3" s="1"/>
  <c r="J12" i="3" s="1"/>
  <c r="K12" i="3" s="1"/>
  <c r="L12" i="3" s="1"/>
  <c r="D8" i="3"/>
  <c r="E8" i="3"/>
  <c r="F8" i="3"/>
  <c r="G8" i="3"/>
  <c r="H8" i="3" s="1"/>
  <c r="I8" i="3" s="1"/>
  <c r="J8" i="3" s="1"/>
  <c r="K8" i="3" s="1"/>
  <c r="L8" i="3" s="1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C7" i="47"/>
  <c r="C10" i="47" s="1"/>
  <c r="C16" i="47" s="1"/>
  <c r="C17" i="47" s="1"/>
  <c r="C19" i="47" s="1"/>
  <c r="C21" i="47" s="1"/>
  <c r="C23" i="47" s="1"/>
  <c r="C25" i="47" s="1"/>
  <c r="C27" i="47" s="1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G7" i="46"/>
  <c r="F7" i="46"/>
  <c r="E7" i="46"/>
  <c r="D7" i="46"/>
  <c r="C7" i="46"/>
  <c r="C9" i="46" s="1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4" s="1"/>
  <c r="E54" i="4" s="1"/>
  <c r="E6" i="42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F10" i="5" s="1"/>
  <c r="G7" i="5"/>
  <c r="G10" i="5" s="1"/>
  <c r="D7" i="5"/>
  <c r="D10" i="5" s="1"/>
  <c r="D33" i="4"/>
  <c r="E33" i="4"/>
  <c r="F33" i="4"/>
  <c r="G33" i="4"/>
  <c r="D21" i="4"/>
  <c r="D63" i="3" s="1"/>
  <c r="E21" i="4"/>
  <c r="E63" i="3" s="1"/>
  <c r="F21" i="4"/>
  <c r="F63" i="3" s="1"/>
  <c r="G21" i="4"/>
  <c r="D9" i="4"/>
  <c r="E9" i="4"/>
  <c r="F9" i="4"/>
  <c r="G9" i="4"/>
  <c r="C72" i="4"/>
  <c r="C67" i="6" s="1"/>
  <c r="C46" i="4"/>
  <c r="C54" i="4" s="1"/>
  <c r="C33" i="4"/>
  <c r="C21" i="4"/>
  <c r="C63" i="3" s="1"/>
  <c r="C9" i="4"/>
  <c r="C13" i="4" s="1"/>
  <c r="C6" i="9" s="1"/>
  <c r="D25" i="3"/>
  <c r="D26" i="3" s="1"/>
  <c r="E25" i="3"/>
  <c r="E7" i="13" s="1"/>
  <c r="F25" i="3"/>
  <c r="F26" i="3" s="1"/>
  <c r="G25" i="3"/>
  <c r="G42" i="6" s="1"/>
  <c r="D9" i="3"/>
  <c r="D10" i="3" s="1"/>
  <c r="E9" i="3"/>
  <c r="F9" i="3"/>
  <c r="F10" i="3" s="1"/>
  <c r="G9" i="3"/>
  <c r="G7" i="21" s="1"/>
  <c r="C25" i="3"/>
  <c r="C26" i="3" s="1"/>
  <c r="C9" i="3"/>
  <c r="C7" i="21" s="1"/>
  <c r="H17" i="3" l="1"/>
  <c r="D16" i="47"/>
  <c r="D17" i="47" s="1"/>
  <c r="D19" i="47" s="1"/>
  <c r="D21" i="47" s="1"/>
  <c r="D23" i="47" s="1"/>
  <c r="D25" i="47" s="1"/>
  <c r="D27" i="47" s="1"/>
  <c r="G52" i="6"/>
  <c r="G63" i="3"/>
  <c r="H63" i="3" s="1"/>
  <c r="I63" i="3" s="1"/>
  <c r="J63" i="3" s="1"/>
  <c r="K63" i="3" s="1"/>
  <c r="L63" i="3" s="1"/>
  <c r="C21" i="46"/>
  <c r="H53" i="3"/>
  <c r="H45" i="5" s="1"/>
  <c r="H51" i="3"/>
  <c r="H44" i="5" s="1"/>
  <c r="H11" i="3"/>
  <c r="H19" i="3"/>
  <c r="H21" i="3"/>
  <c r="H23" i="3"/>
  <c r="H39" i="3"/>
  <c r="H43" i="3"/>
  <c r="J7" i="4"/>
  <c r="I38" i="5"/>
  <c r="J5" i="4"/>
  <c r="I9" i="4"/>
  <c r="I37" i="5"/>
  <c r="F16" i="47"/>
  <c r="F17" i="47" s="1"/>
  <c r="F19" i="47" s="1"/>
  <c r="F21" i="47" s="1"/>
  <c r="F23" i="47" s="1"/>
  <c r="F25" i="47" s="1"/>
  <c r="F27" i="47" s="1"/>
  <c r="I5" i="3"/>
  <c r="H7" i="3"/>
  <c r="H9" i="3" s="1"/>
  <c r="H13" i="3"/>
  <c r="I53" i="3"/>
  <c r="I45" i="5" s="1"/>
  <c r="I39" i="3"/>
  <c r="J24" i="3"/>
  <c r="I21" i="3"/>
  <c r="I19" i="3"/>
  <c r="I13" i="3"/>
  <c r="I7" i="3"/>
  <c r="G26" i="3"/>
  <c r="E26" i="3"/>
  <c r="G10" i="3"/>
  <c r="E8" i="12"/>
  <c r="E10" i="3"/>
  <c r="E15" i="3" s="1"/>
  <c r="E16" i="3" s="1"/>
  <c r="C125" i="6"/>
  <c r="C10" i="3"/>
  <c r="G8" i="21"/>
  <c r="C8" i="22"/>
  <c r="F8" i="12"/>
  <c r="E38" i="6"/>
  <c r="C149" i="6"/>
  <c r="E8" i="25"/>
  <c r="G8" i="31"/>
  <c r="C8" i="32"/>
  <c r="D38" i="6"/>
  <c r="D125" i="6"/>
  <c r="C135" i="6"/>
  <c r="G140" i="6"/>
  <c r="F149" i="6"/>
  <c r="G8" i="12"/>
  <c r="F135" i="6"/>
  <c r="C15" i="3"/>
  <c r="G38" i="6"/>
  <c r="C38" i="6"/>
  <c r="F8" i="26"/>
  <c r="E8" i="29"/>
  <c r="D8" i="32"/>
  <c r="G8" i="33"/>
  <c r="E35" i="47"/>
  <c r="E30" i="47"/>
  <c r="F35" i="47"/>
  <c r="F30" i="47"/>
  <c r="C35" i="47"/>
  <c r="C30" i="47"/>
  <c r="G35" i="47"/>
  <c r="G30" i="47"/>
  <c r="D30" i="47"/>
  <c r="D35" i="47"/>
  <c r="C84" i="6"/>
  <c r="C85" i="6" s="1"/>
  <c r="C8" i="12"/>
  <c r="C90" i="6"/>
  <c r="C105" i="6"/>
  <c r="C115" i="6"/>
  <c r="G8" i="27"/>
  <c r="D8" i="25"/>
  <c r="D8" i="26"/>
  <c r="F8" i="32"/>
  <c r="D115" i="6"/>
  <c r="C140" i="6"/>
  <c r="E125" i="6"/>
  <c r="D46" i="4"/>
  <c r="D47" i="5"/>
  <c r="G47" i="5"/>
  <c r="E135" i="6"/>
  <c r="F140" i="6"/>
  <c r="G8" i="25"/>
  <c r="C8" i="25"/>
  <c r="E8" i="31"/>
  <c r="D105" i="6"/>
  <c r="E110" i="6"/>
  <c r="E8" i="27"/>
  <c r="C8" i="33"/>
  <c r="F35" i="5"/>
  <c r="F44" i="4"/>
  <c r="F105" i="6"/>
  <c r="G110" i="6"/>
  <c r="C110" i="6"/>
  <c r="G115" i="6"/>
  <c r="D135" i="6"/>
  <c r="E140" i="6"/>
  <c r="E149" i="6"/>
  <c r="F8" i="25"/>
  <c r="G8" i="26"/>
  <c r="C8" i="26"/>
  <c r="D8" i="27"/>
  <c r="D8" i="29"/>
  <c r="D8" i="31"/>
  <c r="E8" i="32"/>
  <c r="F8" i="33"/>
  <c r="E35" i="5"/>
  <c r="F47" i="5"/>
  <c r="F115" i="6"/>
  <c r="F125" i="6"/>
  <c r="D149" i="6"/>
  <c r="C8" i="27"/>
  <c r="G8" i="29"/>
  <c r="C8" i="29"/>
  <c r="C8" i="31"/>
  <c r="E8" i="33"/>
  <c r="G35" i="5"/>
  <c r="E47" i="5"/>
  <c r="E8" i="26"/>
  <c r="F8" i="27"/>
  <c r="F8" i="29"/>
  <c r="F8" i="31"/>
  <c r="G8" i="32"/>
  <c r="D35" i="5"/>
  <c r="C5" i="44"/>
  <c r="C7" i="13"/>
  <c r="C8" i="13" s="1"/>
  <c r="D7" i="21"/>
  <c r="D84" i="6"/>
  <c r="D85" i="6" s="1"/>
  <c r="D15" i="3"/>
  <c r="D16" i="3" s="1"/>
  <c r="D5" i="44"/>
  <c r="D7" i="13"/>
  <c r="D8" i="13" s="1"/>
  <c r="D42" i="6"/>
  <c r="D43" i="6" s="1"/>
  <c r="C10" i="32"/>
  <c r="C11" i="32" s="1"/>
  <c r="C12" i="32" s="1"/>
  <c r="C6" i="41"/>
  <c r="C10" i="33"/>
  <c r="C11" i="33" s="1"/>
  <c r="C7" i="28"/>
  <c r="C8" i="28" s="1"/>
  <c r="C8" i="19"/>
  <c r="C6" i="36"/>
  <c r="C7" i="30"/>
  <c r="C155" i="6"/>
  <c r="C156" i="6" s="1"/>
  <c r="C129" i="6"/>
  <c r="C130" i="6" s="1"/>
  <c r="C14" i="33"/>
  <c r="C15" i="33" s="1"/>
  <c r="C142" i="6"/>
  <c r="C143" i="6" s="1"/>
  <c r="C151" i="6"/>
  <c r="C152" i="6" s="1"/>
  <c r="C119" i="6"/>
  <c r="C120" i="6" s="1"/>
  <c r="C7" i="18"/>
  <c r="C68" i="6"/>
  <c r="C69" i="6" s="1"/>
  <c r="C74" i="6"/>
  <c r="E6" i="40"/>
  <c r="E6" i="17"/>
  <c r="E7" i="15"/>
  <c r="E52" i="6"/>
  <c r="E62" i="6"/>
  <c r="E6" i="36"/>
  <c r="E14" i="33"/>
  <c r="E15" i="33" s="1"/>
  <c r="E7" i="30"/>
  <c r="E8" i="30" s="1"/>
  <c r="E7" i="18"/>
  <c r="E10" i="32"/>
  <c r="E11" i="32" s="1"/>
  <c r="E6" i="41"/>
  <c r="E7" i="28"/>
  <c r="E8" i="28" s="1"/>
  <c r="E151" i="6"/>
  <c r="E152" i="6" s="1"/>
  <c r="E119" i="6"/>
  <c r="E120" i="6" s="1"/>
  <c r="E10" i="33"/>
  <c r="E8" i="19"/>
  <c r="E155" i="6"/>
  <c r="E156" i="6" s="1"/>
  <c r="E129" i="6"/>
  <c r="E130" i="6" s="1"/>
  <c r="E74" i="6"/>
  <c r="E142" i="6"/>
  <c r="E143" i="6" s="1"/>
  <c r="E68" i="6"/>
  <c r="F38" i="6"/>
  <c r="E5" i="44"/>
  <c r="E42" i="6"/>
  <c r="E43" i="6" s="1"/>
  <c r="C6" i="40"/>
  <c r="C6" i="17"/>
  <c r="C7" i="15"/>
  <c r="C62" i="6"/>
  <c r="F6" i="40"/>
  <c r="F6" i="17"/>
  <c r="F7" i="15"/>
  <c r="F52" i="6"/>
  <c r="G15" i="3"/>
  <c r="G16" i="3" s="1"/>
  <c r="G5" i="44"/>
  <c r="G7" i="13"/>
  <c r="G8" i="13" s="1"/>
  <c r="D6" i="17"/>
  <c r="D6" i="40"/>
  <c r="D7" i="15"/>
  <c r="D52" i="6"/>
  <c r="D62" i="6"/>
  <c r="D14" i="33"/>
  <c r="D15" i="33" s="1"/>
  <c r="D7" i="30"/>
  <c r="D8" i="30" s="1"/>
  <c r="D7" i="18"/>
  <c r="D10" i="32"/>
  <c r="D11" i="32" s="1"/>
  <c r="D6" i="41"/>
  <c r="D10" i="33"/>
  <c r="D11" i="33" s="1"/>
  <c r="D7" i="28"/>
  <c r="D8" i="28" s="1"/>
  <c r="D8" i="19"/>
  <c r="D155" i="6"/>
  <c r="D156" i="6" s="1"/>
  <c r="D129" i="6"/>
  <c r="D130" i="6" s="1"/>
  <c r="D6" i="36"/>
  <c r="D142" i="6"/>
  <c r="D143" i="6" s="1"/>
  <c r="D119" i="6"/>
  <c r="D120" i="6" s="1"/>
  <c r="D151" i="6"/>
  <c r="D152" i="6" s="1"/>
  <c r="D68" i="6"/>
  <c r="C42" i="6"/>
  <c r="C43" i="6" s="1"/>
  <c r="F62" i="6"/>
  <c r="D74" i="6"/>
  <c r="E7" i="21"/>
  <c r="E8" i="21" s="1"/>
  <c r="E84" i="6"/>
  <c r="E85" i="6" s="1"/>
  <c r="C5" i="36"/>
  <c r="C6" i="18"/>
  <c r="C6" i="43"/>
  <c r="C6" i="19"/>
  <c r="C72" i="6"/>
  <c r="F6" i="41"/>
  <c r="F10" i="33"/>
  <c r="F11" i="33" s="1"/>
  <c r="F7" i="28"/>
  <c r="F8" i="28" s="1"/>
  <c r="F8" i="19"/>
  <c r="F6" i="36"/>
  <c r="F14" i="33"/>
  <c r="F15" i="33" s="1"/>
  <c r="F7" i="30"/>
  <c r="F8" i="30" s="1"/>
  <c r="F7" i="18"/>
  <c r="F10" i="32"/>
  <c r="F11" i="32" s="1"/>
  <c r="F142" i="6"/>
  <c r="F143" i="6" s="1"/>
  <c r="F151" i="6"/>
  <c r="F152" i="6" s="1"/>
  <c r="F129" i="6"/>
  <c r="F130" i="6" s="1"/>
  <c r="F119" i="6"/>
  <c r="F120" i="6" s="1"/>
  <c r="F74" i="6"/>
  <c r="F155" i="6"/>
  <c r="F156" i="6" s="1"/>
  <c r="F7" i="21"/>
  <c r="F8" i="21" s="1"/>
  <c r="F84" i="6"/>
  <c r="F85" i="6" s="1"/>
  <c r="F15" i="3"/>
  <c r="F16" i="3" s="1"/>
  <c r="F5" i="44"/>
  <c r="F7" i="13"/>
  <c r="F8" i="13" s="1"/>
  <c r="F42" i="6"/>
  <c r="F43" i="6" s="1"/>
  <c r="C37" i="4"/>
  <c r="C7" i="17"/>
  <c r="C5" i="34"/>
  <c r="C7" i="16"/>
  <c r="C8" i="15"/>
  <c r="C53" i="6"/>
  <c r="C63" i="6"/>
  <c r="C16" i="6"/>
  <c r="C58" i="6"/>
  <c r="C74" i="4"/>
  <c r="C80" i="4" s="1"/>
  <c r="C6" i="42"/>
  <c r="G6" i="40"/>
  <c r="G6" i="17"/>
  <c r="G7" i="15"/>
  <c r="G62" i="6"/>
  <c r="G10" i="32"/>
  <c r="G11" i="32" s="1"/>
  <c r="G6" i="41"/>
  <c r="G10" i="33"/>
  <c r="G11" i="33" s="1"/>
  <c r="G12" i="33" s="1"/>
  <c r="G7" i="28"/>
  <c r="G8" i="28" s="1"/>
  <c r="G8" i="19"/>
  <c r="G6" i="36"/>
  <c r="G7" i="18"/>
  <c r="G155" i="6"/>
  <c r="G156" i="6" s="1"/>
  <c r="G129" i="6"/>
  <c r="G130" i="6" s="1"/>
  <c r="G7" i="30"/>
  <c r="G8" i="30" s="1"/>
  <c r="G142" i="6"/>
  <c r="G143" i="6" s="1"/>
  <c r="G14" i="33"/>
  <c r="G15" i="33" s="1"/>
  <c r="G151" i="6"/>
  <c r="G152" i="6" s="1"/>
  <c r="G119" i="6"/>
  <c r="G120" i="6" s="1"/>
  <c r="G68" i="6"/>
  <c r="G74" i="6"/>
  <c r="G43" i="6"/>
  <c r="C52" i="6"/>
  <c r="F68" i="6"/>
  <c r="G84" i="6"/>
  <c r="G85" i="6" s="1"/>
  <c r="E105" i="6"/>
  <c r="D110" i="6"/>
  <c r="G135" i="6"/>
  <c r="D140" i="6"/>
  <c r="C8" i="30"/>
  <c r="E115" i="6"/>
  <c r="G125" i="6"/>
  <c r="G149" i="6"/>
  <c r="G105" i="6"/>
  <c r="F110" i="6"/>
  <c r="D8" i="12"/>
  <c r="E8" i="13"/>
  <c r="D8" i="33"/>
  <c r="E11" i="33"/>
  <c r="D8" i="21"/>
  <c r="C8" i="21"/>
  <c r="E25" i="46"/>
  <c r="H10" i="3" l="1"/>
  <c r="H15" i="3" s="1"/>
  <c r="J5" i="3"/>
  <c r="J23" i="3" s="1"/>
  <c r="I9" i="3"/>
  <c r="K5" i="4"/>
  <c r="J9" i="4"/>
  <c r="J37" i="5"/>
  <c r="H9" i="5"/>
  <c r="H34" i="5"/>
  <c r="K5" i="3"/>
  <c r="K6" i="3" s="1"/>
  <c r="I11" i="3"/>
  <c r="I51" i="3"/>
  <c r="I44" i="5" s="1"/>
  <c r="H25" i="3"/>
  <c r="H26" i="3" s="1"/>
  <c r="I6" i="3"/>
  <c r="I17" i="3"/>
  <c r="I43" i="3"/>
  <c r="K7" i="4"/>
  <c r="J38" i="5"/>
  <c r="I23" i="3"/>
  <c r="K24" i="3"/>
  <c r="L5" i="3"/>
  <c r="F153" i="6"/>
  <c r="C27" i="3"/>
  <c r="C16" i="3"/>
  <c r="E12" i="33"/>
  <c r="E16" i="33" s="1"/>
  <c r="E6" i="39"/>
  <c r="E27" i="3"/>
  <c r="E6" i="44"/>
  <c r="C144" i="6"/>
  <c r="E144" i="6"/>
  <c r="C6" i="44"/>
  <c r="D12" i="32"/>
  <c r="E153" i="6"/>
  <c r="E157" i="6" s="1"/>
  <c r="F12" i="32"/>
  <c r="C153" i="6"/>
  <c r="C157" i="6" s="1"/>
  <c r="G144" i="6"/>
  <c r="C6" i="39"/>
  <c r="C71" i="4"/>
  <c r="C75" i="4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C47" i="4"/>
  <c r="D54" i="4"/>
  <c r="C38" i="4"/>
  <c r="G44" i="4"/>
  <c r="C41" i="4"/>
  <c r="C43" i="4"/>
  <c r="C32" i="4"/>
  <c r="C36" i="4"/>
  <c r="C34" i="4"/>
  <c r="C28" i="4"/>
  <c r="C30" i="4"/>
  <c r="C24" i="4"/>
  <c r="C26" i="4"/>
  <c r="C22" i="4"/>
  <c r="F46" i="4"/>
  <c r="G12" i="32"/>
  <c r="C8" i="18"/>
  <c r="C18" i="4"/>
  <c r="C20" i="4"/>
  <c r="D153" i="6"/>
  <c r="D157" i="6" s="1"/>
  <c r="C12" i="4"/>
  <c r="C16" i="4"/>
  <c r="C14" i="4"/>
  <c r="C10" i="4"/>
  <c r="C9" i="19"/>
  <c r="F12" i="33"/>
  <c r="F16" i="33" s="1"/>
  <c r="F157" i="6"/>
  <c r="F144" i="6"/>
  <c r="C6" i="4"/>
  <c r="C8" i="4"/>
  <c r="G16" i="33"/>
  <c r="C12" i="33"/>
  <c r="C16" i="33" s="1"/>
  <c r="E12" i="32"/>
  <c r="C8" i="17"/>
  <c r="F6" i="44"/>
  <c r="F6" i="39"/>
  <c r="F27" i="3"/>
  <c r="C5" i="41"/>
  <c r="C6" i="34"/>
  <c r="C5" i="40"/>
  <c r="E26" i="46"/>
  <c r="E30" i="46" s="1"/>
  <c r="F25" i="46"/>
  <c r="D12" i="33"/>
  <c r="D16" i="33" s="1"/>
  <c r="G6" i="44"/>
  <c r="G27" i="3"/>
  <c r="G6" i="39"/>
  <c r="G153" i="6"/>
  <c r="G157" i="6" s="1"/>
  <c r="C7" i="24"/>
  <c r="C8" i="24" s="1"/>
  <c r="C5" i="43"/>
  <c r="C7" i="14"/>
  <c r="C5" i="42"/>
  <c r="C99" i="6"/>
  <c r="C100" i="6" s="1"/>
  <c r="C47" i="6"/>
  <c r="C75" i="6"/>
  <c r="D144" i="6"/>
  <c r="C64" i="6"/>
  <c r="D6" i="39"/>
  <c r="D6" i="44"/>
  <c r="D27" i="3"/>
  <c r="H27" i="3" l="1"/>
  <c r="H16" i="3"/>
  <c r="L5" i="4"/>
  <c r="K9" i="4"/>
  <c r="K37" i="5"/>
  <c r="I25" i="3"/>
  <c r="I26" i="3" s="1"/>
  <c r="I10" i="3"/>
  <c r="I15" i="3" s="1"/>
  <c r="I9" i="5"/>
  <c r="I34" i="5"/>
  <c r="L6" i="3"/>
  <c r="L43" i="3"/>
  <c r="L39" i="3"/>
  <c r="L21" i="3"/>
  <c r="L19" i="3"/>
  <c r="L11" i="3"/>
  <c r="L13" i="3"/>
  <c r="L51" i="3"/>
  <c r="L44" i="5" s="1"/>
  <c r="L17" i="3"/>
  <c r="L53" i="3"/>
  <c r="L45" i="5" s="1"/>
  <c r="L7" i="3"/>
  <c r="L9" i="3" s="1"/>
  <c r="L7" i="4"/>
  <c r="L38" i="5" s="1"/>
  <c r="K38" i="5"/>
  <c r="K17" i="3"/>
  <c r="K11" i="3"/>
  <c r="K7" i="3"/>
  <c r="K9" i="3" s="1"/>
  <c r="K53" i="3"/>
  <c r="K45" i="5" s="1"/>
  <c r="K19" i="3"/>
  <c r="K39" i="3"/>
  <c r="K21" i="3"/>
  <c r="K13" i="3"/>
  <c r="K43" i="3"/>
  <c r="K51" i="3"/>
  <c r="K44" i="5" s="1"/>
  <c r="J6" i="3"/>
  <c r="J51" i="3"/>
  <c r="J44" i="5" s="1"/>
  <c r="J11" i="3"/>
  <c r="J53" i="3"/>
  <c r="J45" i="5" s="1"/>
  <c r="J19" i="3"/>
  <c r="J39" i="3"/>
  <c r="J21" i="3"/>
  <c r="J13" i="3"/>
  <c r="J7" i="3"/>
  <c r="J9" i="3" s="1"/>
  <c r="J43" i="3"/>
  <c r="J17" i="3"/>
  <c r="J25" i="3" s="1"/>
  <c r="J26" i="3" s="1"/>
  <c r="L24" i="3"/>
  <c r="L23" i="3" s="1"/>
  <c r="K23" i="3"/>
  <c r="E29" i="3"/>
  <c r="E30" i="3" s="1"/>
  <c r="E28" i="3"/>
  <c r="C29" i="3"/>
  <c r="C30" i="3" s="1"/>
  <c r="C28" i="3"/>
  <c r="D29" i="3"/>
  <c r="D30" i="3" s="1"/>
  <c r="D28" i="3"/>
  <c r="G29" i="3"/>
  <c r="G30" i="3" s="1"/>
  <c r="G28" i="3"/>
  <c r="F29" i="3"/>
  <c r="F30" i="3" s="1"/>
  <c r="F28" i="3"/>
  <c r="D6" i="42"/>
  <c r="F54" i="4"/>
  <c r="G46" i="4"/>
  <c r="G25" i="46"/>
  <c r="G26" i="46" s="1"/>
  <c r="G30" i="46" s="1"/>
  <c r="F26" i="46"/>
  <c r="F30" i="46" s="1"/>
  <c r="L15" i="3" l="1"/>
  <c r="L10" i="3"/>
  <c r="J15" i="3"/>
  <c r="J10" i="3"/>
  <c r="I27" i="3"/>
  <c r="I16" i="3"/>
  <c r="K15" i="3"/>
  <c r="K10" i="3"/>
  <c r="K25" i="3"/>
  <c r="K26" i="3" s="1"/>
  <c r="L37" i="5"/>
  <c r="L9" i="4"/>
  <c r="J34" i="5"/>
  <c r="J9" i="5"/>
  <c r="K9" i="5"/>
  <c r="K34" i="5"/>
  <c r="L25" i="3"/>
  <c r="L26" i="3" s="1"/>
  <c r="L9" i="5"/>
  <c r="L34" i="5"/>
  <c r="H29" i="3"/>
  <c r="H28" i="3"/>
  <c r="F33" i="3"/>
  <c r="F34" i="3" s="1"/>
  <c r="G33" i="3"/>
  <c r="G34" i="3" s="1"/>
  <c r="G5" i="35"/>
  <c r="D33" i="3"/>
  <c r="D34" i="3" s="1"/>
  <c r="F5" i="35"/>
  <c r="D5" i="35"/>
  <c r="C5" i="35"/>
  <c r="C33" i="3"/>
  <c r="C34" i="3" s="1"/>
  <c r="E33" i="3"/>
  <c r="E34" i="3" s="1"/>
  <c r="E5" i="35"/>
  <c r="F6" i="42"/>
  <c r="G54" i="4"/>
  <c r="G6" i="35"/>
  <c r="G51" i="6"/>
  <c r="G54" i="6" s="1"/>
  <c r="G78" i="6"/>
  <c r="G80" i="6" s="1"/>
  <c r="G37" i="3"/>
  <c r="F6" i="20"/>
  <c r="F8" i="20" s="1"/>
  <c r="F6" i="35"/>
  <c r="F6" i="15"/>
  <c r="F9" i="15" s="1"/>
  <c r="F51" i="6"/>
  <c r="F54" i="6" s="1"/>
  <c r="F78" i="6"/>
  <c r="F80" i="6" s="1"/>
  <c r="F37" i="3"/>
  <c r="K27" i="3" l="1"/>
  <c r="K16" i="3"/>
  <c r="J27" i="3"/>
  <c r="J16" i="3"/>
  <c r="H30" i="3"/>
  <c r="I28" i="3"/>
  <c r="I29" i="3"/>
  <c r="L27" i="3"/>
  <c r="L16" i="3"/>
  <c r="D78" i="6"/>
  <c r="D80" i="6" s="1"/>
  <c r="D6" i="15"/>
  <c r="D9" i="15" s="1"/>
  <c r="D37" i="3"/>
  <c r="D38" i="3" s="1"/>
  <c r="D6" i="20"/>
  <c r="D8" i="20" s="1"/>
  <c r="D51" i="6"/>
  <c r="D54" i="6" s="1"/>
  <c r="D6" i="35"/>
  <c r="G6" i="20"/>
  <c r="G8" i="20" s="1"/>
  <c r="G6" i="15"/>
  <c r="G9" i="15" s="1"/>
  <c r="D41" i="3"/>
  <c r="F41" i="3"/>
  <c r="F38" i="3"/>
  <c r="G41" i="3"/>
  <c r="G38" i="3"/>
  <c r="E6" i="35"/>
  <c r="E37" i="3"/>
  <c r="E6" i="15"/>
  <c r="E9" i="15" s="1"/>
  <c r="E51" i="6"/>
  <c r="E54" i="6" s="1"/>
  <c r="E6" i="20"/>
  <c r="E8" i="20" s="1"/>
  <c r="E78" i="6"/>
  <c r="E80" i="6" s="1"/>
  <c r="C51" i="6"/>
  <c r="C54" i="6" s="1"/>
  <c r="C6" i="20"/>
  <c r="C8" i="20" s="1"/>
  <c r="C78" i="6"/>
  <c r="C80" i="6" s="1"/>
  <c r="C6" i="35"/>
  <c r="C6" i="15"/>
  <c r="C9" i="15" s="1"/>
  <c r="C37" i="3"/>
  <c r="G6" i="42"/>
  <c r="L29" i="3" l="1"/>
  <c r="L28" i="3"/>
  <c r="J29" i="3"/>
  <c r="J28" i="3"/>
  <c r="I30" i="3"/>
  <c r="K28" i="3"/>
  <c r="K29" i="3"/>
  <c r="G45" i="3"/>
  <c r="G42" i="3"/>
  <c r="D45" i="3"/>
  <c r="D42" i="3"/>
  <c r="F45" i="3"/>
  <c r="F42" i="3"/>
  <c r="E41" i="3"/>
  <c r="E38" i="3"/>
  <c r="C41" i="3"/>
  <c r="C38" i="3"/>
  <c r="F46" i="3" l="1"/>
  <c r="F64" i="3"/>
  <c r="G46" i="3"/>
  <c r="G64" i="3"/>
  <c r="H64" i="3" s="1"/>
  <c r="I64" i="3" s="1"/>
  <c r="J64" i="3" s="1"/>
  <c r="K64" i="3" s="1"/>
  <c r="L64" i="3" s="1"/>
  <c r="K30" i="3"/>
  <c r="J30" i="3"/>
  <c r="D46" i="3"/>
  <c r="D64" i="3"/>
  <c r="L30" i="3"/>
  <c r="E45" i="3"/>
  <c r="E42" i="3"/>
  <c r="D49" i="3"/>
  <c r="D50" i="3" s="1"/>
  <c r="D5" i="5"/>
  <c r="D27" i="5" s="1"/>
  <c r="D48" i="5" s="1"/>
  <c r="C45" i="3"/>
  <c r="C64" i="3" s="1"/>
  <c r="C42" i="3"/>
  <c r="F5" i="5"/>
  <c r="F27" i="5" s="1"/>
  <c r="F48" i="5" s="1"/>
  <c r="F49" i="3"/>
  <c r="F50" i="3" s="1"/>
  <c r="G5" i="5"/>
  <c r="G27" i="5" s="1"/>
  <c r="G48" i="5" s="1"/>
  <c r="G49" i="3"/>
  <c r="G50" i="3" s="1"/>
  <c r="E46" i="3" l="1"/>
  <c r="E64" i="3"/>
  <c r="C49" i="3"/>
  <c r="C50" i="3" s="1"/>
  <c r="C46" i="3"/>
  <c r="F6" i="45"/>
  <c r="F57" i="6"/>
  <c r="F6" i="6"/>
  <c r="F9" i="10"/>
  <c r="F46" i="6"/>
  <c r="F24" i="6"/>
  <c r="F6" i="7"/>
  <c r="F6" i="16"/>
  <c r="F61" i="3"/>
  <c r="F6" i="14"/>
  <c r="F55" i="3"/>
  <c r="D70" i="4"/>
  <c r="D38" i="46"/>
  <c r="D39" i="46" s="1"/>
  <c r="D40" i="46" s="1"/>
  <c r="D6" i="45"/>
  <c r="D24" i="6"/>
  <c r="D61" i="3"/>
  <c r="D6" i="14"/>
  <c r="D6" i="6"/>
  <c r="D55" i="3"/>
  <c r="D56" i="3" s="1"/>
  <c r="D9" i="10"/>
  <c r="D57" i="6"/>
  <c r="D6" i="16"/>
  <c r="D6" i="7"/>
  <c r="D46" i="6"/>
  <c r="G6" i="45"/>
  <c r="G24" i="6"/>
  <c r="G9" i="10"/>
  <c r="G46" i="6"/>
  <c r="G6" i="7"/>
  <c r="G61" i="3"/>
  <c r="G6" i="6"/>
  <c r="G6" i="16"/>
  <c r="G6" i="14"/>
  <c r="G55" i="3"/>
  <c r="G57" i="6"/>
  <c r="C6" i="7"/>
  <c r="C61" i="3"/>
  <c r="C6" i="14"/>
  <c r="C8" i="14" s="1"/>
  <c r="C6" i="45"/>
  <c r="C6" i="6"/>
  <c r="C46" i="6"/>
  <c r="C48" i="6" s="1"/>
  <c r="C6" i="16"/>
  <c r="C8" i="16" s="1"/>
  <c r="C9" i="10"/>
  <c r="E49" i="3"/>
  <c r="E50" i="3" s="1"/>
  <c r="E5" i="5"/>
  <c r="E27" i="5" s="1"/>
  <c r="E48" i="5" s="1"/>
  <c r="G5" i="45" l="1"/>
  <c r="G56" i="3"/>
  <c r="F5" i="45"/>
  <c r="F56" i="3"/>
  <c r="C57" i="6"/>
  <c r="C59" i="6" s="1"/>
  <c r="C24" i="6"/>
  <c r="C55" i="3"/>
  <c r="E9" i="10"/>
  <c r="E6" i="7"/>
  <c r="E6" i="14"/>
  <c r="E55" i="3"/>
  <c r="E56" i="3" s="1"/>
  <c r="E46" i="6"/>
  <c r="E6" i="6"/>
  <c r="E24" i="6"/>
  <c r="E6" i="16"/>
  <c r="E61" i="3"/>
  <c r="E6" i="45"/>
  <c r="E57" i="6"/>
  <c r="D7" i="10"/>
  <c r="D8" i="10" s="1"/>
  <c r="D7" i="7"/>
  <c r="D8" i="7" s="1"/>
  <c r="D7" i="11"/>
  <c r="D8" i="11" s="1"/>
  <c r="D9" i="11" s="1"/>
  <c r="D12" i="6"/>
  <c r="D13" i="6" s="1"/>
  <c r="D22" i="6"/>
  <c r="D23" i="6" s="1"/>
  <c r="D7" i="9"/>
  <c r="D17" i="6"/>
  <c r="D7" i="6"/>
  <c r="D8" i="6" s="1"/>
  <c r="D10" i="10"/>
  <c r="D11" i="10" s="1"/>
  <c r="D25" i="6"/>
  <c r="D26" i="6" s="1"/>
  <c r="D7" i="8"/>
  <c r="D8" i="8" s="1"/>
  <c r="D31" i="6"/>
  <c r="D32" i="6" s="1"/>
  <c r="D33" i="6" s="1"/>
  <c r="D93" i="6"/>
  <c r="D95" i="6" s="1"/>
  <c r="D6" i="22"/>
  <c r="D8" i="22" s="1"/>
  <c r="D72" i="4"/>
  <c r="D6" i="23"/>
  <c r="D8" i="23" s="1"/>
  <c r="D88" i="6"/>
  <c r="D90" i="6" s="1"/>
  <c r="D8" i="46"/>
  <c r="D9" i="46" s="1"/>
  <c r="D21" i="46" s="1"/>
  <c r="D11" i="4"/>
  <c r="D13" i="4" s="1"/>
  <c r="D5" i="45"/>
  <c r="G7" i="11"/>
  <c r="G8" i="11" s="1"/>
  <c r="G9" i="11" s="1"/>
  <c r="G7" i="7"/>
  <c r="G8" i="7" s="1"/>
  <c r="G7" i="10"/>
  <c r="G8" i="10" s="1"/>
  <c r="G7" i="9"/>
  <c r="G25" i="6"/>
  <c r="G17" i="6"/>
  <c r="G7" i="8"/>
  <c r="G8" i="8" s="1"/>
  <c r="G22" i="6"/>
  <c r="G23" i="6" s="1"/>
  <c r="G12" i="6"/>
  <c r="G13" i="6" s="1"/>
  <c r="G10" i="10"/>
  <c r="G11" i="10" s="1"/>
  <c r="G31" i="6"/>
  <c r="G32" i="6" s="1"/>
  <c r="G33" i="6" s="1"/>
  <c r="G7" i="6"/>
  <c r="G8" i="6" s="1"/>
  <c r="G26" i="6"/>
  <c r="E38" i="46"/>
  <c r="E70" i="4"/>
  <c r="C7" i="8"/>
  <c r="C8" i="8" s="1"/>
  <c r="C22" i="6"/>
  <c r="C23" i="6" s="1"/>
  <c r="C7" i="10"/>
  <c r="C8" i="10" s="1"/>
  <c r="C7" i="6"/>
  <c r="C8" i="6" s="1"/>
  <c r="C31" i="6"/>
  <c r="C32" i="6" s="1"/>
  <c r="C33" i="6" s="1"/>
  <c r="C7" i="9"/>
  <c r="C8" i="9" s="1"/>
  <c r="C12" i="6"/>
  <c r="C13" i="6" s="1"/>
  <c r="C7" i="7"/>
  <c r="C8" i="7" s="1"/>
  <c r="C25" i="6"/>
  <c r="C26" i="6" s="1"/>
  <c r="C10" i="10"/>
  <c r="C11" i="10" s="1"/>
  <c r="C7" i="11"/>
  <c r="C8" i="11" s="1"/>
  <c r="C9" i="11" s="1"/>
  <c r="C17" i="6"/>
  <c r="C18" i="6" s="1"/>
  <c r="F7" i="10"/>
  <c r="F8" i="10" s="1"/>
  <c r="F17" i="6"/>
  <c r="F7" i="6"/>
  <c r="F8" i="6" s="1"/>
  <c r="F7" i="8"/>
  <c r="F8" i="8" s="1"/>
  <c r="F22" i="6"/>
  <c r="F23" i="6" s="1"/>
  <c r="F7" i="11"/>
  <c r="F8" i="11" s="1"/>
  <c r="F9" i="11" s="1"/>
  <c r="F10" i="10"/>
  <c r="F11" i="10" s="1"/>
  <c r="F7" i="9"/>
  <c r="F25" i="6"/>
  <c r="F26" i="6" s="1"/>
  <c r="F7" i="7"/>
  <c r="F8" i="7" s="1"/>
  <c r="F31" i="6"/>
  <c r="F32" i="6" s="1"/>
  <c r="F33" i="6" s="1"/>
  <c r="F12" i="6"/>
  <c r="F13" i="6" s="1"/>
  <c r="D37" i="4"/>
  <c r="D5" i="34"/>
  <c r="D7" i="17"/>
  <c r="D8" i="17" s="1"/>
  <c r="D6" i="9"/>
  <c r="D7" i="16"/>
  <c r="D8" i="16" s="1"/>
  <c r="D53" i="6"/>
  <c r="D8" i="15"/>
  <c r="D63" i="6"/>
  <c r="D64" i="6" s="1"/>
  <c r="D16" i="6"/>
  <c r="D18" i="6" s="1"/>
  <c r="D58" i="6"/>
  <c r="D59" i="6" s="1"/>
  <c r="C5" i="45" l="1"/>
  <c r="C56" i="3"/>
  <c r="C27" i="6"/>
  <c r="D27" i="6"/>
  <c r="D8" i="9"/>
  <c r="G27" i="6"/>
  <c r="D12" i="10"/>
  <c r="E5" i="45"/>
  <c r="E8" i="46"/>
  <c r="E11" i="4"/>
  <c r="C12" i="10"/>
  <c r="E39" i="46"/>
  <c r="E40" i="46" s="1"/>
  <c r="F38" i="46"/>
  <c r="G12" i="10"/>
  <c r="F27" i="6"/>
  <c r="F12" i="10"/>
  <c r="D6" i="43"/>
  <c r="D67" i="6"/>
  <c r="D69" i="6" s="1"/>
  <c r="D6" i="19"/>
  <c r="D9" i="19" s="1"/>
  <c r="D72" i="6"/>
  <c r="D75" i="6" s="1"/>
  <c r="D5" i="36"/>
  <c r="D74" i="4"/>
  <c r="D80" i="4" s="1"/>
  <c r="D6" i="18"/>
  <c r="D8" i="18" s="1"/>
  <c r="F70" i="4"/>
  <c r="E93" i="6"/>
  <c r="E95" i="6" s="1"/>
  <c r="E88" i="6"/>
  <c r="E90" i="6" s="1"/>
  <c r="E6" i="22"/>
  <c r="E8" i="22" s="1"/>
  <c r="E72" i="4"/>
  <c r="E6" i="23"/>
  <c r="E8" i="23" s="1"/>
  <c r="D38" i="4"/>
  <c r="E7" i="8"/>
  <c r="E8" i="8" s="1"/>
  <c r="E7" i="9"/>
  <c r="E31" i="6"/>
  <c r="E32" i="6" s="1"/>
  <c r="E33" i="6" s="1"/>
  <c r="E7" i="6"/>
  <c r="E8" i="6" s="1"/>
  <c r="E25" i="6"/>
  <c r="E26" i="6" s="1"/>
  <c r="E17" i="6"/>
  <c r="E7" i="11"/>
  <c r="E8" i="11" s="1"/>
  <c r="E9" i="11" s="1"/>
  <c r="E22" i="6"/>
  <c r="E23" i="6" s="1"/>
  <c r="E7" i="7"/>
  <c r="E8" i="7" s="1"/>
  <c r="E12" i="6"/>
  <c r="E13" i="6" s="1"/>
  <c r="E10" i="10"/>
  <c r="E11" i="10" s="1"/>
  <c r="E7" i="10"/>
  <c r="E8" i="10" s="1"/>
  <c r="D5" i="41"/>
  <c r="D6" i="34"/>
  <c r="D5" i="40"/>
  <c r="E27" i="6" l="1"/>
  <c r="E12" i="10"/>
  <c r="D69" i="4"/>
  <c r="D61" i="4"/>
  <c r="D53" i="4"/>
  <c r="D45" i="4"/>
  <c r="D34" i="4"/>
  <c r="D26" i="4"/>
  <c r="D18" i="4"/>
  <c r="D14" i="4"/>
  <c r="D7" i="24"/>
  <c r="D8" i="24" s="1"/>
  <c r="D5" i="43"/>
  <c r="D71" i="4"/>
  <c r="D55" i="4"/>
  <c r="D47" i="4"/>
  <c r="D36" i="4"/>
  <c r="D28" i="4"/>
  <c r="D20" i="4"/>
  <c r="D12" i="4"/>
  <c r="D7" i="14"/>
  <c r="D8" i="14" s="1"/>
  <c r="D51" i="4"/>
  <c r="D24" i="4"/>
  <c r="D8" i="4"/>
  <c r="D5" i="42"/>
  <c r="D47" i="6"/>
  <c r="D48" i="6" s="1"/>
  <c r="D63" i="4"/>
  <c r="D73" i="4"/>
  <c r="D65" i="4"/>
  <c r="D57" i="4"/>
  <c r="D49" i="4"/>
  <c r="D41" i="4"/>
  <c r="D30" i="4"/>
  <c r="D22" i="4"/>
  <c r="D10" i="4"/>
  <c r="D6" i="4"/>
  <c r="D99" i="6"/>
  <c r="D100" i="6" s="1"/>
  <c r="D75" i="4"/>
  <c r="D67" i="4"/>
  <c r="D59" i="4"/>
  <c r="D43" i="4"/>
  <c r="D32" i="4"/>
  <c r="D16" i="4"/>
  <c r="F11" i="4"/>
  <c r="E13" i="4"/>
  <c r="G38" i="46"/>
  <c r="G39" i="46" s="1"/>
  <c r="G40" i="46" s="1"/>
  <c r="F39" i="46"/>
  <c r="F40" i="46" s="1"/>
  <c r="E9" i="46"/>
  <c r="E21" i="46" s="1"/>
  <c r="F8" i="46"/>
  <c r="E74" i="4"/>
  <c r="E80" i="4" s="1"/>
  <c r="E5" i="36"/>
  <c r="E6" i="18"/>
  <c r="E8" i="18" s="1"/>
  <c r="E67" i="6"/>
  <c r="E69" i="6" s="1"/>
  <c r="E6" i="43"/>
  <c r="E72" i="6"/>
  <c r="E75" i="6" s="1"/>
  <c r="E6" i="19"/>
  <c r="E9" i="19" s="1"/>
  <c r="F88" i="6"/>
  <c r="F90" i="6" s="1"/>
  <c r="F93" i="6"/>
  <c r="F95" i="6" s="1"/>
  <c r="G70" i="4"/>
  <c r="F6" i="23"/>
  <c r="F8" i="23" s="1"/>
  <c r="F72" i="4"/>
  <c r="F6" i="22"/>
  <c r="F8" i="22" s="1"/>
  <c r="G6" i="23" l="1"/>
  <c r="G8" i="23" s="1"/>
  <c r="G88" i="6"/>
  <c r="G90" i="6" s="1"/>
  <c r="G72" i="4"/>
  <c r="G93" i="6"/>
  <c r="G95" i="6" s="1"/>
  <c r="G6" i="22"/>
  <c r="G8" i="22" s="1"/>
  <c r="E73" i="4"/>
  <c r="E65" i="4"/>
  <c r="E57" i="4"/>
  <c r="E49" i="4"/>
  <c r="E41" i="4"/>
  <c r="E30" i="4"/>
  <c r="E22" i="4"/>
  <c r="E6" i="4"/>
  <c r="E47" i="6"/>
  <c r="E48" i="6" s="1"/>
  <c r="E75" i="4"/>
  <c r="E67" i="4"/>
  <c r="E59" i="4"/>
  <c r="E51" i="4"/>
  <c r="E43" i="4"/>
  <c r="E32" i="4"/>
  <c r="E24" i="4"/>
  <c r="E10" i="4"/>
  <c r="E8" i="4"/>
  <c r="E7" i="24"/>
  <c r="E8" i="24" s="1"/>
  <c r="E99" i="6"/>
  <c r="E100" i="6" s="1"/>
  <c r="E69" i="4"/>
  <c r="E61" i="4"/>
  <c r="E53" i="4"/>
  <c r="E45" i="4"/>
  <c r="E34" i="4"/>
  <c r="E26" i="4"/>
  <c r="E18" i="4"/>
  <c r="E16" i="4"/>
  <c r="E7" i="14"/>
  <c r="E8" i="14" s="1"/>
  <c r="E5" i="42"/>
  <c r="E71" i="4"/>
  <c r="E63" i="4"/>
  <c r="E55" i="4"/>
  <c r="E47" i="4"/>
  <c r="E36" i="4"/>
  <c r="E28" i="4"/>
  <c r="E20" i="4"/>
  <c r="E12" i="4"/>
  <c r="E5" i="43"/>
  <c r="F6" i="43"/>
  <c r="F74" i="4"/>
  <c r="F80" i="4" s="1"/>
  <c r="F6" i="19"/>
  <c r="F9" i="19" s="1"/>
  <c r="F72" i="6"/>
  <c r="F75" i="6" s="1"/>
  <c r="F5" i="36"/>
  <c r="F67" i="6"/>
  <c r="F69" i="6" s="1"/>
  <c r="F6" i="18"/>
  <c r="F8" i="18" s="1"/>
  <c r="F9" i="46"/>
  <c r="F21" i="46" s="1"/>
  <c r="G8" i="46"/>
  <c r="G9" i="46" s="1"/>
  <c r="G21" i="46" s="1"/>
  <c r="E14" i="4"/>
  <c r="E5" i="34"/>
  <c r="E7" i="16"/>
  <c r="E8" i="16" s="1"/>
  <c r="E63" i="6"/>
  <c r="E64" i="6" s="1"/>
  <c r="E7" i="17"/>
  <c r="E8" i="17" s="1"/>
  <c r="E58" i="6"/>
  <c r="E59" i="6" s="1"/>
  <c r="E8" i="15"/>
  <c r="E53" i="6"/>
  <c r="E37" i="4"/>
  <c r="E6" i="9"/>
  <c r="E8" i="9" s="1"/>
  <c r="E16" i="6"/>
  <c r="E18" i="6" s="1"/>
  <c r="G11" i="4"/>
  <c r="G13" i="4" s="1"/>
  <c r="G5" i="34" s="1"/>
  <c r="F13" i="4"/>
  <c r="G63" i="6" l="1"/>
  <c r="G64" i="6" s="1"/>
  <c r="G7" i="17"/>
  <c r="G8" i="17" s="1"/>
  <c r="G58" i="6"/>
  <c r="G59" i="6" s="1"/>
  <c r="G8" i="15"/>
  <c r="G7" i="16"/>
  <c r="G8" i="16" s="1"/>
  <c r="G16" i="6"/>
  <c r="G18" i="6" s="1"/>
  <c r="G53" i="6"/>
  <c r="G37" i="4"/>
  <c r="G5" i="41" s="1"/>
  <c r="G6" i="9"/>
  <c r="G8" i="9" s="1"/>
  <c r="G6" i="43"/>
  <c r="G74" i="4"/>
  <c r="G80" i="4" s="1"/>
  <c r="G6" i="19"/>
  <c r="G9" i="19" s="1"/>
  <c r="G72" i="6"/>
  <c r="G75" i="6" s="1"/>
  <c r="G6" i="18"/>
  <c r="G8" i="18" s="1"/>
  <c r="G67" i="6"/>
  <c r="G69" i="6" s="1"/>
  <c r="G5" i="36"/>
  <c r="F37" i="4"/>
  <c r="F6" i="9"/>
  <c r="F8" i="9" s="1"/>
  <c r="F7" i="16"/>
  <c r="F8" i="16" s="1"/>
  <c r="F14" i="4"/>
  <c r="F5" i="34"/>
  <c r="F63" i="6"/>
  <c r="F64" i="6" s="1"/>
  <c r="F8" i="15"/>
  <c r="F16" i="6"/>
  <c r="F18" i="6" s="1"/>
  <c r="F7" i="17"/>
  <c r="F8" i="17" s="1"/>
  <c r="F58" i="6"/>
  <c r="F59" i="6" s="1"/>
  <c r="F53" i="6"/>
  <c r="E38" i="4"/>
  <c r="E5" i="40"/>
  <c r="E5" i="41"/>
  <c r="E6" i="34"/>
  <c r="F75" i="4"/>
  <c r="F67" i="4"/>
  <c r="F59" i="4"/>
  <c r="F51" i="4"/>
  <c r="F43" i="4"/>
  <c r="F32" i="4"/>
  <c r="F24" i="4"/>
  <c r="F16" i="4"/>
  <c r="F6" i="4"/>
  <c r="F5" i="42"/>
  <c r="F69" i="4"/>
  <c r="F61" i="4"/>
  <c r="F53" i="4"/>
  <c r="F45" i="4"/>
  <c r="F34" i="4"/>
  <c r="F26" i="4"/>
  <c r="F18" i="4"/>
  <c r="F8" i="4"/>
  <c r="F7" i="14"/>
  <c r="F8" i="14" s="1"/>
  <c r="F71" i="4"/>
  <c r="F63" i="4"/>
  <c r="F55" i="4"/>
  <c r="F47" i="4"/>
  <c r="F36" i="4"/>
  <c r="F28" i="4"/>
  <c r="F20" i="4"/>
  <c r="F7" i="24"/>
  <c r="F8" i="24" s="1"/>
  <c r="F99" i="6"/>
  <c r="F100" i="6" s="1"/>
  <c r="F65" i="4"/>
  <c r="F57" i="4"/>
  <c r="F49" i="4"/>
  <c r="F41" i="4"/>
  <c r="F30" i="4"/>
  <c r="F22" i="4"/>
  <c r="F10" i="4"/>
  <c r="F12" i="4"/>
  <c r="F5" i="43"/>
  <c r="F47" i="6"/>
  <c r="F48" i="6" s="1"/>
  <c r="F73" i="4"/>
  <c r="G38" i="4"/>
  <c r="H80" i="4" l="1"/>
  <c r="H74" i="4" s="1"/>
  <c r="G6" i="34"/>
  <c r="G5" i="40"/>
  <c r="F38" i="4"/>
  <c r="F6" i="34"/>
  <c r="F5" i="40"/>
  <c r="F5" i="41"/>
  <c r="G75" i="4"/>
  <c r="G67" i="4"/>
  <c r="H67" i="4" s="1"/>
  <c r="I67" i="4" s="1"/>
  <c r="J67" i="4" s="1"/>
  <c r="K67" i="4" s="1"/>
  <c r="L67" i="4" s="1"/>
  <c r="G59" i="4"/>
  <c r="H59" i="4" s="1"/>
  <c r="I59" i="4" s="1"/>
  <c r="J59" i="4" s="1"/>
  <c r="K59" i="4" s="1"/>
  <c r="L59" i="4" s="1"/>
  <c r="G51" i="4"/>
  <c r="H51" i="4" s="1"/>
  <c r="I51" i="4" s="1"/>
  <c r="J51" i="4" s="1"/>
  <c r="K51" i="4" s="1"/>
  <c r="L51" i="4" s="1"/>
  <c r="G43" i="4"/>
  <c r="H43" i="4" s="1"/>
  <c r="I43" i="4" s="1"/>
  <c r="J43" i="4" s="1"/>
  <c r="K43" i="4" s="1"/>
  <c r="L43" i="4" s="1"/>
  <c r="G32" i="4"/>
  <c r="H32" i="4" s="1"/>
  <c r="I32" i="4" s="1"/>
  <c r="G24" i="4"/>
  <c r="H24" i="4" s="1"/>
  <c r="I24" i="4" s="1"/>
  <c r="G16" i="4"/>
  <c r="H16" i="4" s="1"/>
  <c r="I16" i="4" s="1"/>
  <c r="J16" i="4" s="1"/>
  <c r="K16" i="4" s="1"/>
  <c r="L16" i="4" s="1"/>
  <c r="G6" i="4"/>
  <c r="H6" i="4" s="1"/>
  <c r="I6" i="4" s="1"/>
  <c r="J6" i="4" s="1"/>
  <c r="K6" i="4" s="1"/>
  <c r="L6" i="4" s="1"/>
  <c r="G5" i="43"/>
  <c r="G47" i="6"/>
  <c r="G48" i="6" s="1"/>
  <c r="G8" i="4"/>
  <c r="H8" i="4" s="1"/>
  <c r="I8" i="4" s="1"/>
  <c r="J8" i="4" s="1"/>
  <c r="K8" i="4" s="1"/>
  <c r="L8" i="4" s="1"/>
  <c r="G69" i="4"/>
  <c r="H69" i="4" s="1"/>
  <c r="G61" i="4"/>
  <c r="G53" i="4"/>
  <c r="H53" i="4" s="1"/>
  <c r="I53" i="4" s="1"/>
  <c r="J53" i="4" s="1"/>
  <c r="K53" i="4" s="1"/>
  <c r="L53" i="4" s="1"/>
  <c r="G45" i="4"/>
  <c r="G34" i="4"/>
  <c r="G26" i="4"/>
  <c r="H26" i="4" s="1"/>
  <c r="I26" i="4" s="1"/>
  <c r="J26" i="4" s="1"/>
  <c r="K26" i="4" s="1"/>
  <c r="L26" i="4" s="1"/>
  <c r="G18" i="4"/>
  <c r="H18" i="4" s="1"/>
  <c r="I18" i="4" s="1"/>
  <c r="J18" i="4" s="1"/>
  <c r="K18" i="4" s="1"/>
  <c r="L18" i="4" s="1"/>
  <c r="G71" i="4"/>
  <c r="G63" i="4"/>
  <c r="H63" i="4" s="1"/>
  <c r="I63" i="4" s="1"/>
  <c r="J63" i="4" s="1"/>
  <c r="K63" i="4" s="1"/>
  <c r="L63" i="4" s="1"/>
  <c r="G55" i="4"/>
  <c r="G47" i="4"/>
  <c r="G36" i="4"/>
  <c r="H36" i="4" s="1"/>
  <c r="I36" i="4" s="1"/>
  <c r="J36" i="4" s="1"/>
  <c r="K36" i="4" s="1"/>
  <c r="L36" i="4" s="1"/>
  <c r="G28" i="4"/>
  <c r="H28" i="4" s="1"/>
  <c r="I28" i="4" s="1"/>
  <c r="G20" i="4"/>
  <c r="H20" i="4" s="1"/>
  <c r="I20" i="4" s="1"/>
  <c r="J20" i="4" s="1"/>
  <c r="K20" i="4" s="1"/>
  <c r="L20" i="4" s="1"/>
  <c r="G14" i="4"/>
  <c r="G5" i="42"/>
  <c r="G73" i="4"/>
  <c r="G65" i="4"/>
  <c r="H65" i="4" s="1"/>
  <c r="I65" i="4" s="1"/>
  <c r="G57" i="4"/>
  <c r="H57" i="4" s="1"/>
  <c r="I57" i="4" s="1"/>
  <c r="J57" i="4" s="1"/>
  <c r="K57" i="4" s="1"/>
  <c r="L57" i="4" s="1"/>
  <c r="G49" i="4"/>
  <c r="H49" i="4" s="1"/>
  <c r="I49" i="4" s="1"/>
  <c r="J49" i="4" s="1"/>
  <c r="K49" i="4" s="1"/>
  <c r="L49" i="4" s="1"/>
  <c r="G41" i="4"/>
  <c r="H41" i="4" s="1"/>
  <c r="I41" i="4" s="1"/>
  <c r="J41" i="4" s="1"/>
  <c r="K41" i="4" s="1"/>
  <c r="L41" i="4" s="1"/>
  <c r="G30" i="4"/>
  <c r="H30" i="4" s="1"/>
  <c r="I30" i="4" s="1"/>
  <c r="J30" i="4" s="1"/>
  <c r="K30" i="4" s="1"/>
  <c r="L30" i="4" s="1"/>
  <c r="G22" i="4"/>
  <c r="H22" i="4" s="1"/>
  <c r="I22" i="4" s="1"/>
  <c r="G10" i="4"/>
  <c r="G12" i="4"/>
  <c r="G7" i="24"/>
  <c r="G8" i="24" s="1"/>
  <c r="G99" i="6"/>
  <c r="G100" i="6" s="1"/>
  <c r="G7" i="14"/>
  <c r="G8" i="14" s="1"/>
  <c r="J22" i="4" l="1"/>
  <c r="K22" i="4" s="1"/>
  <c r="L22" i="4" s="1"/>
  <c r="J24" i="4"/>
  <c r="J32" i="4"/>
  <c r="H35" i="4"/>
  <c r="H42" i="5" s="1"/>
  <c r="H25" i="4"/>
  <c r="H21" i="5" s="1"/>
  <c r="H21" i="4"/>
  <c r="H35" i="3" s="1"/>
  <c r="H19" i="4"/>
  <c r="H41" i="5" s="1"/>
  <c r="H17" i="4"/>
  <c r="H40" i="5" s="1"/>
  <c r="H15" i="4"/>
  <c r="H39" i="5" s="1"/>
  <c r="H66" i="4"/>
  <c r="H64" i="4"/>
  <c r="H27" i="4"/>
  <c r="H22" i="5" s="1"/>
  <c r="H29" i="4"/>
  <c r="H23" i="5" s="1"/>
  <c r="H52" i="4"/>
  <c r="H40" i="4"/>
  <c r="H56" i="4"/>
  <c r="H42" i="4"/>
  <c r="H23" i="4"/>
  <c r="H62" i="4"/>
  <c r="H50" i="4"/>
  <c r="H58" i="4"/>
  <c r="H48" i="4"/>
  <c r="H31" i="4"/>
  <c r="H24" i="5" s="1"/>
  <c r="H75" i="4"/>
  <c r="H10" i="4"/>
  <c r="J28" i="4"/>
  <c r="H68" i="4"/>
  <c r="I69" i="4"/>
  <c r="I80" i="4"/>
  <c r="J65" i="4"/>
  <c r="K65" i="4" s="1"/>
  <c r="L65" i="4" s="1"/>
  <c r="J69" i="4" l="1"/>
  <c r="H18" i="5"/>
  <c r="H32" i="5"/>
  <c r="H12" i="5"/>
  <c r="K24" i="4"/>
  <c r="L24" i="4" s="1"/>
  <c r="J80" i="4"/>
  <c r="I74" i="4"/>
  <c r="I68" i="4" s="1"/>
  <c r="K28" i="4"/>
  <c r="L28" i="4" s="1"/>
  <c r="H15" i="5"/>
  <c r="H31" i="3"/>
  <c r="H29" i="5"/>
  <c r="H16" i="5"/>
  <c r="H11" i="4"/>
  <c r="H13" i="4" s="1"/>
  <c r="H31" i="5"/>
  <c r="H33" i="4"/>
  <c r="H34" i="4" s="1"/>
  <c r="H20" i="5"/>
  <c r="H33" i="5"/>
  <c r="H17" i="5"/>
  <c r="H46" i="5"/>
  <c r="H47" i="5" s="1"/>
  <c r="H36" i="3"/>
  <c r="H8" i="5"/>
  <c r="K32" i="4"/>
  <c r="L32" i="4" s="1"/>
  <c r="H13" i="5"/>
  <c r="H30" i="5"/>
  <c r="I18" i="5" l="1"/>
  <c r="J74" i="4"/>
  <c r="K80" i="4"/>
  <c r="H32" i="3"/>
  <c r="H7" i="5"/>
  <c r="H10" i="5" s="1"/>
  <c r="H44" i="4"/>
  <c r="H33" i="3"/>
  <c r="H14" i="4"/>
  <c r="H37" i="4"/>
  <c r="H38" i="4" s="1"/>
  <c r="H35" i="5"/>
  <c r="I42" i="4"/>
  <c r="I75" i="4"/>
  <c r="I52" i="4"/>
  <c r="I29" i="4"/>
  <c r="I23" i="5" s="1"/>
  <c r="I19" i="4"/>
  <c r="I41" i="5" s="1"/>
  <c r="I56" i="4"/>
  <c r="I35" i="4"/>
  <c r="I42" i="5" s="1"/>
  <c r="I66" i="4"/>
  <c r="I50" i="4"/>
  <c r="I40" i="4"/>
  <c r="I58" i="4"/>
  <c r="I48" i="4"/>
  <c r="I15" i="4"/>
  <c r="I39" i="5" s="1"/>
  <c r="I62" i="4"/>
  <c r="I25" i="4"/>
  <c r="I17" i="4"/>
  <c r="I40" i="5" s="1"/>
  <c r="I10" i="4"/>
  <c r="I21" i="4"/>
  <c r="I35" i="3" s="1"/>
  <c r="I31" i="4"/>
  <c r="I24" i="5" s="1"/>
  <c r="I27" i="4"/>
  <c r="I22" i="5" s="1"/>
  <c r="I23" i="4"/>
  <c r="I20" i="5" s="1"/>
  <c r="I64" i="4"/>
  <c r="K69" i="4"/>
  <c r="J68" i="4"/>
  <c r="L80" i="4" l="1"/>
  <c r="L74" i="4" s="1"/>
  <c r="K74" i="4"/>
  <c r="H34" i="3"/>
  <c r="H37" i="3"/>
  <c r="J31" i="5"/>
  <c r="I31" i="5"/>
  <c r="I17" i="5"/>
  <c r="H45" i="4"/>
  <c r="H46" i="4"/>
  <c r="J75" i="4"/>
  <c r="J56" i="4"/>
  <c r="J35" i="4"/>
  <c r="J42" i="5" s="1"/>
  <c r="J64" i="4"/>
  <c r="J58" i="4"/>
  <c r="J48" i="4"/>
  <c r="J15" i="4"/>
  <c r="J39" i="5" s="1"/>
  <c r="J29" i="4"/>
  <c r="J23" i="5" s="1"/>
  <c r="J19" i="4"/>
  <c r="J41" i="5" s="1"/>
  <c r="J66" i="4"/>
  <c r="J62" i="4"/>
  <c r="J50" i="4"/>
  <c r="J32" i="5" s="1"/>
  <c r="J40" i="4"/>
  <c r="J25" i="4"/>
  <c r="J17" i="4"/>
  <c r="J40" i="5" s="1"/>
  <c r="J52" i="4"/>
  <c r="J42" i="4"/>
  <c r="J30" i="5" s="1"/>
  <c r="J21" i="4"/>
  <c r="J10" i="4"/>
  <c r="J31" i="4"/>
  <c r="J24" i="5" s="1"/>
  <c r="J23" i="4"/>
  <c r="J20" i="5" s="1"/>
  <c r="J27" i="4"/>
  <c r="J22" i="5" s="1"/>
  <c r="I32" i="5"/>
  <c r="K18" i="5"/>
  <c r="K68" i="4"/>
  <c r="L69" i="4"/>
  <c r="I33" i="4"/>
  <c r="I34" i="4" s="1"/>
  <c r="I21" i="5"/>
  <c r="J13" i="5"/>
  <c r="I13" i="5"/>
  <c r="J33" i="5"/>
  <c r="I33" i="5"/>
  <c r="I30" i="5"/>
  <c r="J16" i="5"/>
  <c r="I16" i="5"/>
  <c r="I46" i="5"/>
  <c r="I47" i="5" s="1"/>
  <c r="I36" i="3"/>
  <c r="I8" i="5"/>
  <c r="J15" i="5"/>
  <c r="I15" i="5"/>
  <c r="J29" i="5"/>
  <c r="I31" i="3"/>
  <c r="I29" i="5"/>
  <c r="J12" i="5"/>
  <c r="I12" i="5"/>
  <c r="J18" i="5"/>
  <c r="J35" i="5" l="1"/>
  <c r="L68" i="4"/>
  <c r="H47" i="4"/>
  <c r="H54" i="4"/>
  <c r="H55" i="4" s="1"/>
  <c r="H38" i="3"/>
  <c r="H41" i="3"/>
  <c r="I35" i="5"/>
  <c r="L18" i="5"/>
  <c r="J35" i="3"/>
  <c r="J33" i="4"/>
  <c r="J21" i="5"/>
  <c r="J17" i="5"/>
  <c r="I7" i="5"/>
  <c r="I10" i="5" s="1"/>
  <c r="I32" i="3"/>
  <c r="I33" i="3"/>
  <c r="J31" i="3"/>
  <c r="I44" i="4"/>
  <c r="K29" i="4"/>
  <c r="K23" i="5" s="1"/>
  <c r="K75" i="4"/>
  <c r="K62" i="4"/>
  <c r="K15" i="5" s="1"/>
  <c r="K35" i="4"/>
  <c r="K42" i="5" s="1"/>
  <c r="K25" i="4"/>
  <c r="K21" i="5" s="1"/>
  <c r="K64" i="4"/>
  <c r="K16" i="5" s="1"/>
  <c r="K58" i="4"/>
  <c r="K48" i="4"/>
  <c r="K23" i="4"/>
  <c r="K15" i="4"/>
  <c r="K39" i="5" s="1"/>
  <c r="K66" i="4"/>
  <c r="K50" i="4"/>
  <c r="K40" i="4"/>
  <c r="K27" i="4"/>
  <c r="K22" i="5" s="1"/>
  <c r="K17" i="4"/>
  <c r="K40" i="5" s="1"/>
  <c r="K56" i="4"/>
  <c r="K52" i="4"/>
  <c r="K31" i="4"/>
  <c r="K24" i="5" s="1"/>
  <c r="K19" i="4"/>
  <c r="K41" i="5" s="1"/>
  <c r="K42" i="4"/>
  <c r="K21" i="4"/>
  <c r="K10" i="4"/>
  <c r="I11" i="4"/>
  <c r="I13" i="4" s="1"/>
  <c r="L66" i="4"/>
  <c r="L64" i="4"/>
  <c r="L29" i="4"/>
  <c r="L23" i="5" s="1"/>
  <c r="L62" i="4"/>
  <c r="L58" i="4"/>
  <c r="L56" i="4"/>
  <c r="L52" i="4"/>
  <c r="L50" i="4"/>
  <c r="L48" i="4"/>
  <c r="L40" i="4"/>
  <c r="L31" i="3" s="1"/>
  <c r="L75" i="4"/>
  <c r="L15" i="4"/>
  <c r="L39" i="5" s="1"/>
  <c r="L35" i="4"/>
  <c r="L42" i="5" s="1"/>
  <c r="L19" i="4"/>
  <c r="L41" i="5" s="1"/>
  <c r="L25" i="4"/>
  <c r="L17" i="4"/>
  <c r="L40" i="5" s="1"/>
  <c r="L10" i="4"/>
  <c r="L42" i="4"/>
  <c r="L21" i="4"/>
  <c r="L27" i="4"/>
  <c r="L22" i="5" s="1"/>
  <c r="L31" i="4"/>
  <c r="L24" i="5" s="1"/>
  <c r="L23" i="4"/>
  <c r="L20" i="5" s="1"/>
  <c r="L32" i="3" l="1"/>
  <c r="L7" i="5"/>
  <c r="L33" i="3"/>
  <c r="K35" i="3"/>
  <c r="L33" i="5"/>
  <c r="K31" i="3"/>
  <c r="L29" i="5"/>
  <c r="K20" i="5"/>
  <c r="K33" i="4"/>
  <c r="K34" i="4" s="1"/>
  <c r="K29" i="5"/>
  <c r="I37" i="3"/>
  <c r="I34" i="3"/>
  <c r="H45" i="3"/>
  <c r="H42" i="3"/>
  <c r="L30" i="5"/>
  <c r="L12" i="5"/>
  <c r="L32" i="5"/>
  <c r="L31" i="5"/>
  <c r="J32" i="3"/>
  <c r="J7" i="5"/>
  <c r="J33" i="3"/>
  <c r="K12" i="5"/>
  <c r="J34" i="4"/>
  <c r="J11" i="4"/>
  <c r="J13" i="4" s="1"/>
  <c r="L35" i="3"/>
  <c r="L33" i="4"/>
  <c r="L34" i="4" s="1"/>
  <c r="L21" i="5"/>
  <c r="I14" i="4"/>
  <c r="I37" i="4"/>
  <c r="I38" i="4" s="1"/>
  <c r="L17" i="5"/>
  <c r="L13" i="5"/>
  <c r="K11" i="4"/>
  <c r="K13" i="4" s="1"/>
  <c r="K14" i="4" s="1"/>
  <c r="J44" i="4"/>
  <c r="I45" i="4"/>
  <c r="I46" i="4"/>
  <c r="K31" i="5"/>
  <c r="J8" i="5"/>
  <c r="J46" i="5"/>
  <c r="J47" i="5" s="1"/>
  <c r="J36" i="3"/>
  <c r="K32" i="5"/>
  <c r="L11" i="4"/>
  <c r="L13" i="4" s="1"/>
  <c r="L14" i="4" s="1"/>
  <c r="L16" i="5"/>
  <c r="L15" i="5"/>
  <c r="K13" i="5"/>
  <c r="K30" i="5"/>
  <c r="K17" i="5"/>
  <c r="K33" i="5"/>
  <c r="I54" i="4" l="1"/>
  <c r="I55" i="4" s="1"/>
  <c r="I47" i="4"/>
  <c r="J14" i="4"/>
  <c r="J37" i="4"/>
  <c r="J38" i="4" s="1"/>
  <c r="J10" i="5"/>
  <c r="K35" i="5"/>
  <c r="K32" i="3"/>
  <c r="K7" i="5"/>
  <c r="K33" i="3"/>
  <c r="H47" i="3"/>
  <c r="H5" i="5"/>
  <c r="H49" i="3"/>
  <c r="H46" i="3"/>
  <c r="L37" i="3"/>
  <c r="L34" i="3"/>
  <c r="K44" i="4"/>
  <c r="J45" i="4"/>
  <c r="J46" i="4"/>
  <c r="L46" i="5"/>
  <c r="L47" i="5" s="1"/>
  <c r="L36" i="3"/>
  <c r="L8" i="5"/>
  <c r="K36" i="3"/>
  <c r="K8" i="5"/>
  <c r="K46" i="5"/>
  <c r="K47" i="5" s="1"/>
  <c r="L10" i="5"/>
  <c r="L37" i="4"/>
  <c r="L38" i="4" s="1"/>
  <c r="J37" i="3"/>
  <c r="J34" i="3"/>
  <c r="I41" i="3"/>
  <c r="I38" i="3"/>
  <c r="L35" i="5"/>
  <c r="K37" i="4"/>
  <c r="K38" i="4" s="1"/>
  <c r="L44" i="4" l="1"/>
  <c r="K45" i="4"/>
  <c r="K46" i="4"/>
  <c r="H55" i="3"/>
  <c r="H56" i="3" s="1"/>
  <c r="H50" i="3"/>
  <c r="K10" i="5"/>
  <c r="J47" i="4"/>
  <c r="J54" i="4"/>
  <c r="J55" i="4" s="1"/>
  <c r="L41" i="3"/>
  <c r="L38" i="3"/>
  <c r="H48" i="3"/>
  <c r="H26" i="5"/>
  <c r="H27" i="5" s="1"/>
  <c r="H48" i="5" s="1"/>
  <c r="H70" i="4" s="1"/>
  <c r="J38" i="3"/>
  <c r="J41" i="3"/>
  <c r="I45" i="3"/>
  <c r="I42" i="3"/>
  <c r="K34" i="3"/>
  <c r="K37" i="3"/>
  <c r="H71" i="4" l="1"/>
  <c r="H72" i="4"/>
  <c r="H73" i="4" s="1"/>
  <c r="K41" i="3"/>
  <c r="K38" i="3"/>
  <c r="K54" i="4"/>
  <c r="K55" i="4" s="1"/>
  <c r="K47" i="4"/>
  <c r="I47" i="3"/>
  <c r="I5" i="5"/>
  <c r="I46" i="3"/>
  <c r="J45" i="3"/>
  <c r="J42" i="3"/>
  <c r="L45" i="3"/>
  <c r="L42" i="3"/>
  <c r="L45" i="4"/>
  <c r="L46" i="4"/>
  <c r="L47" i="4" l="1"/>
  <c r="L54" i="4"/>
  <c r="L55" i="4" s="1"/>
  <c r="I48" i="3"/>
  <c r="I26" i="5"/>
  <c r="I27" i="5" s="1"/>
  <c r="I48" i="5" s="1"/>
  <c r="I70" i="4" s="1"/>
  <c r="K42" i="3"/>
  <c r="K45" i="3"/>
  <c r="J47" i="3"/>
  <c r="J5" i="5"/>
  <c r="J46" i="3"/>
  <c r="I49" i="3"/>
  <c r="L47" i="3"/>
  <c r="L49" i="3" s="1"/>
  <c r="L46" i="3"/>
  <c r="L5" i="5"/>
  <c r="I71" i="4" l="1"/>
  <c r="I72" i="4"/>
  <c r="I73" i="4" s="1"/>
  <c r="L50" i="3"/>
  <c r="L55" i="3"/>
  <c r="L56" i="3" s="1"/>
  <c r="J48" i="3"/>
  <c r="J26" i="5"/>
  <c r="I55" i="3"/>
  <c r="I56" i="3" s="1"/>
  <c r="I50" i="3"/>
  <c r="J27" i="5"/>
  <c r="J48" i="5" s="1"/>
  <c r="J70" i="4" s="1"/>
  <c r="K47" i="3"/>
  <c r="K49" i="3"/>
  <c r="K5" i="5"/>
  <c r="K46" i="3"/>
  <c r="L48" i="3"/>
  <c r="L26" i="5"/>
  <c r="L27" i="5" s="1"/>
  <c r="L48" i="5" s="1"/>
  <c r="J49" i="3"/>
  <c r="K50" i="3" l="1"/>
  <c r="K55" i="3"/>
  <c r="K56" i="3" s="1"/>
  <c r="J50" i="3"/>
  <c r="J55" i="3"/>
  <c r="J56" i="3" s="1"/>
  <c r="K48" i="3"/>
  <c r="K26" i="5"/>
  <c r="J71" i="4"/>
  <c r="J72" i="4"/>
  <c r="J73" i="4" s="1"/>
  <c r="K27" i="5"/>
  <c r="K48" i="5" s="1"/>
  <c r="K70" i="4" s="1"/>
  <c r="K71" i="4" l="1"/>
  <c r="K72" i="4"/>
  <c r="K73" i="4" s="1"/>
  <c r="L70" i="4"/>
  <c r="L71" i="4" l="1"/>
  <c r="L72" i="4"/>
  <c r="L73" i="4" s="1"/>
</calcChain>
</file>

<file path=xl/sharedStrings.xml><?xml version="1.0" encoding="utf-8"?>
<sst xmlns="http://schemas.openxmlformats.org/spreadsheetml/2006/main" count="720" uniqueCount="288">
  <si>
    <t>Balance Sheet of Tata Steel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</si>
  <si>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</si>
  <si>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</si>
  <si>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</si>
  <si>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</si>
  <si>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</si>
  <si>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</si>
  <si>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</si>
  <si>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</si>
  <si>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</si>
  <si>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</si>
  <si>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</si>
  <si>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</si>
  <si>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</si>
  <si>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</si>
  <si>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</si>
  <si>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</si>
  <si>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</si>
  <si>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</si>
  <si>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</si>
  <si>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</si>
  <si>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</si>
  <si>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</si>
  <si>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</si>
  <si>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</si>
  <si>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</si>
  <si>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</si>
  <si>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</si>
  <si>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</si>
  <si>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</si>
  <si>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</si>
  <si>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</si>
  <si>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</si>
  <si>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</si>
  <si>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</si>
  <si>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</si>
  <si>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</si>
  <si>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</si>
  <si>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</si>
  <si>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</si>
  <si>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</si>
  <si>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</si>
  <si>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</si>
  <si>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</si>
  <si>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</si>
  <si>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</si>
  <si>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</si>
  <si>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</si>
  <si>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</si>
  <si>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</si>
  <si>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</si>
  <si>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</si>
  <si>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</si>
  <si>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</si>
  <si>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</si>
  <si>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Tata Steel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</si>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</sst>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725-48FA-90D6-3C065AFE849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725-48FA-90D6-3C065AFE84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128</c:v>
                </c:pt>
                <c:pt idx="1">
                  <c:v>88</c:v>
                </c:pt>
                <c:pt idx="2">
                  <c:v>12</c:v>
                </c:pt>
                <c:pt idx="3">
                  <c:v>64</c:v>
                </c:pt>
                <c:pt idx="4">
                  <c:v>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25-48FA-90D6-3C065AFE8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408"/>
        <c:axId val="449420424"/>
      </c:lineChart>
      <c:catAx>
        <c:axId val="4494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424"/>
        <c:crosses val="autoZero"/>
        <c:auto val="0"/>
        <c:lblAlgn val="ctr"/>
        <c:lblOffset val="100"/>
        <c:noMultiLvlLbl val="0"/>
      </c:catAx>
      <c:valAx>
        <c:axId val="449420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3C9-45A9-89F1-BF90573A5C2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3C9-45A9-89F1-BF90573A5C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0.22</c:v>
                </c:pt>
                <c:pt idx="1">
                  <c:v>0.08</c:v>
                </c:pt>
                <c:pt idx="2">
                  <c:v>0.04</c:v>
                </c:pt>
                <c:pt idx="3">
                  <c:v>0.09</c:v>
                </c:pt>
                <c:pt idx="4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C9-45A9-89F1-BF90573A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656"/>
        <c:axId val="449420752"/>
      </c:lineChart>
      <c:catAx>
        <c:axId val="4494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752"/>
        <c:crosses val="autoZero"/>
        <c:auto val="0"/>
        <c:lblAlgn val="ctr"/>
        <c:lblOffset val="100"/>
        <c:noMultiLvlLbl val="0"/>
      </c:catAx>
      <c:valAx>
        <c:axId val="449420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9C-4852-8995-1FC854ABA3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1.69</c:v>
                </c:pt>
                <c:pt idx="1">
                  <c:v>1.52</c:v>
                </c:pt>
                <c:pt idx="2">
                  <c:v>1.7</c:v>
                </c:pt>
                <c:pt idx="3">
                  <c:v>1.04</c:v>
                </c:pt>
                <c:pt idx="4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9C-4852-8995-1FC854ABA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952"/>
        <c:axId val="449432888"/>
      </c:lineChart>
      <c:catAx>
        <c:axId val="44942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888"/>
        <c:crosses val="autoZero"/>
        <c:auto val="0"/>
        <c:lblAlgn val="ctr"/>
        <c:lblOffset val="100"/>
        <c:noMultiLvlLbl val="0"/>
      </c:catAx>
      <c:valAx>
        <c:axId val="449432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8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0E-456D-AA03-EEAC37BCB09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00E-456D-AA03-EEAC37BCB09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00E-456D-AA03-EEAC37BCB0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1.62</c:v>
                </c:pt>
                <c:pt idx="1">
                  <c:v>1.63</c:v>
                </c:pt>
                <c:pt idx="2">
                  <c:v>2.11</c:v>
                </c:pt>
                <c:pt idx="3">
                  <c:v>1.57</c:v>
                </c:pt>
                <c:pt idx="4">
                  <c:v>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0E-456D-AA03-EEAC37BCB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12608"/>
        <c:axId val="624912936"/>
      </c:lineChart>
      <c:catAx>
        <c:axId val="62491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12936"/>
        <c:crosses val="autoZero"/>
        <c:auto val="0"/>
        <c:lblAlgn val="ctr"/>
        <c:lblOffset val="100"/>
        <c:noMultiLvlLbl val="0"/>
      </c:catAx>
      <c:valAx>
        <c:axId val="62491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912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146-4B5F-AC29-E7DBEDB442C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46-4B5F-AC29-E7DBEDB442C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146-4B5F-AC29-E7DBEDB442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1.04</c:v>
                </c:pt>
                <c:pt idx="1">
                  <c:v>1.0900000000000001</c:v>
                </c:pt>
                <c:pt idx="2">
                  <c:v>1.51</c:v>
                </c:pt>
                <c:pt idx="3">
                  <c:v>1.1499999999999999</c:v>
                </c:pt>
                <c:pt idx="4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46-4B5F-AC29-E7DBEDB44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0776"/>
        <c:axId val="452491104"/>
      </c:lineChart>
      <c:catAx>
        <c:axId val="45249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491104"/>
        <c:crosses val="autoZero"/>
        <c:auto val="0"/>
        <c:lblAlgn val="ctr"/>
        <c:lblOffset val="100"/>
        <c:noMultiLvlLbl val="0"/>
      </c:catAx>
      <c:valAx>
        <c:axId val="452491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4907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6-4BA0-BB73-07A4184CFAB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126-4BA0-BB73-07A4184CFA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4.6399999999999997</c:v>
                </c:pt>
                <c:pt idx="1">
                  <c:v>3.3</c:v>
                </c:pt>
                <c:pt idx="2">
                  <c:v>2.08</c:v>
                </c:pt>
                <c:pt idx="3">
                  <c:v>3.94</c:v>
                </c:pt>
                <c:pt idx="4">
                  <c:v>10.69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26-4BA0-BB73-07A4184CF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63240"/>
        <c:axId val="625765536"/>
      </c:lineChart>
      <c:catAx>
        <c:axId val="62576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65536"/>
        <c:crosses val="autoZero"/>
        <c:auto val="0"/>
        <c:lblAlgn val="ctr"/>
        <c:lblOffset val="100"/>
        <c:noMultiLvlLbl val="0"/>
      </c:catAx>
      <c:valAx>
        <c:axId val="625765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63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BF8-4951-AE01-DAC144C7AB0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BF8-4951-AE01-DAC144C7AB0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BF8-4951-AE01-DAC144C7AB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0.31</c:v>
                </c:pt>
                <c:pt idx="1">
                  <c:v>0.35</c:v>
                </c:pt>
                <c:pt idx="2">
                  <c:v>0.37</c:v>
                </c:pt>
                <c:pt idx="3">
                  <c:v>0.28999999999999998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F8-4951-AE01-DAC144C7A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1760"/>
        <c:axId val="634522232"/>
      </c:lineChart>
      <c:catAx>
        <c:axId val="45249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2232"/>
        <c:crosses val="autoZero"/>
        <c:auto val="0"/>
        <c:lblAlgn val="ctr"/>
        <c:lblOffset val="100"/>
        <c:noMultiLvlLbl val="0"/>
      </c:catAx>
      <c:valAx>
        <c:axId val="63452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4917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93-4ACC-96AF-943D1538EC4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093-4ACC-96AF-943D1538EC4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093-4ACC-96AF-943D1538EC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70.31</c:v>
                </c:pt>
                <c:pt idx="1">
                  <c:v>97.18</c:v>
                </c:pt>
                <c:pt idx="2">
                  <c:v>185.71</c:v>
                </c:pt>
                <c:pt idx="3">
                  <c:v>392.24</c:v>
                </c:pt>
                <c:pt idx="4">
                  <c:v>331.96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93-4ACC-96AF-943D1538E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649848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848"/>
        <c:crosses val="autoZero"/>
        <c:auto val="0"/>
        <c:lblAlgn val="ctr"/>
        <c:lblOffset val="100"/>
        <c:noMultiLvlLbl val="0"/>
      </c:catAx>
      <c:valAx>
        <c:axId val="553649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C07-478E-BAAD-C57A63F4423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C07-478E-BAAD-C57A63F4423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C07-478E-BAAD-C57A63F4423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C07-478E-BAAD-C57A63F442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7937.85</c:v>
                </c:pt>
                <c:pt idx="1">
                  <c:v>14459.1</c:v>
                </c:pt>
                <c:pt idx="2">
                  <c:v>27267.3</c:v>
                </c:pt>
                <c:pt idx="3">
                  <c:v>48672.63</c:v>
                </c:pt>
                <c:pt idx="4">
                  <c:v>68905.2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07-478E-BAAD-C57A63F44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04016"/>
        <c:axId val="625704344"/>
      </c:lineChart>
      <c:catAx>
        <c:axId val="62570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4344"/>
        <c:crosses val="autoZero"/>
        <c:auto val="0"/>
        <c:lblAlgn val="ctr"/>
        <c:lblOffset val="100"/>
        <c:noMultiLvlLbl val="0"/>
      </c:catAx>
      <c:valAx>
        <c:axId val="625704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04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27E-4AEC-BB6E-9ED09388D7C1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27E-4AEC-BB6E-9ED09388D7C1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27E-4AEC-BB6E-9ED09388D7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0.63</c:v>
                </c:pt>
                <c:pt idx="1">
                  <c:v>0.66</c:v>
                </c:pt>
                <c:pt idx="2">
                  <c:v>0.59</c:v>
                </c:pt>
                <c:pt idx="3">
                  <c:v>0.6</c:v>
                </c:pt>
                <c:pt idx="4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7E-4AEC-BB6E-9ED09388D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256"/>
        <c:axId val="553814584"/>
      </c:lineChart>
      <c:catAx>
        <c:axId val="55381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584"/>
        <c:crosses val="autoZero"/>
        <c:auto val="0"/>
        <c:lblAlgn val="ctr"/>
        <c:lblOffset val="100"/>
        <c:noMultiLvlLbl val="0"/>
      </c:catAx>
      <c:valAx>
        <c:axId val="553814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BE9-45AF-A850-A980FDBFA16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BE9-45AF-A850-A980FDBFA1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4.6500000000000004</c:v>
                </c:pt>
                <c:pt idx="1">
                  <c:v>4.8899999999999997</c:v>
                </c:pt>
                <c:pt idx="2">
                  <c:v>4.7</c:v>
                </c:pt>
                <c:pt idx="3">
                  <c:v>4.6500000000000004</c:v>
                </c:pt>
                <c:pt idx="4">
                  <c:v>4.96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E9-45AF-A850-A980FDBFA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2560"/>
        <c:axId val="449432232"/>
      </c:lineChart>
      <c:catAx>
        <c:axId val="44943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232"/>
        <c:crosses val="autoZero"/>
        <c:auto val="0"/>
        <c:lblAlgn val="ctr"/>
        <c:lblOffset val="100"/>
        <c:noMultiLvlLbl val="0"/>
      </c:catAx>
      <c:valAx>
        <c:axId val="44943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2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3B0-4371-8F2E-5C8022D582A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3B0-4371-8F2E-5C8022D582A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3B0-4371-8F2E-5C8022D582A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6.04</c:v>
                </c:pt>
                <c:pt idx="1">
                  <c:v>9.33</c:v>
                </c:pt>
                <c:pt idx="2">
                  <c:v>3.07</c:v>
                </c:pt>
                <c:pt idx="3">
                  <c:v>4.68</c:v>
                </c:pt>
                <c:pt idx="4">
                  <c:v>22.52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B0-4371-8F2E-5C8022D58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5344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344"/>
        <c:crosses val="autoZero"/>
        <c:auto val="0"/>
        <c:lblAlgn val="ctr"/>
        <c:lblOffset val="100"/>
        <c:noMultiLvlLbl val="0"/>
      </c:catAx>
      <c:valAx>
        <c:axId val="449425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4C-47AB-8758-DCFC5F5EAEAB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4C-47AB-8758-DCFC5F5EAEA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54C-47AB-8758-DCFC5F5EAE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10.61</c:v>
                </c:pt>
                <c:pt idx="1">
                  <c:v>13.1</c:v>
                </c:pt>
                <c:pt idx="2">
                  <c:v>18.53</c:v>
                </c:pt>
                <c:pt idx="3">
                  <c:v>16.22</c:v>
                </c:pt>
                <c:pt idx="4">
                  <c:v>19.79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4C-47AB-8758-DCFC5F5EA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6168"/>
        <c:axId val="449431576"/>
      </c:lineChart>
      <c:catAx>
        <c:axId val="44943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576"/>
        <c:crosses val="autoZero"/>
        <c:auto val="0"/>
        <c:lblAlgn val="ctr"/>
        <c:lblOffset val="100"/>
        <c:noMultiLvlLbl val="0"/>
      </c:catAx>
      <c:valAx>
        <c:axId val="449431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6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EE8-4A4B-BF03-645A9D9B2FB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E8-4A4B-BF03-645A9D9B2F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1.46</c:v>
                </c:pt>
                <c:pt idx="1">
                  <c:v>1.31</c:v>
                </c:pt>
                <c:pt idx="2">
                  <c:v>1.1399999999999999</c:v>
                </c:pt>
                <c:pt idx="3">
                  <c:v>1.2</c:v>
                </c:pt>
                <c:pt idx="4">
                  <c:v>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E8-4A4B-BF03-645A9D9B2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1808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808"/>
        <c:crosses val="autoZero"/>
        <c:auto val="0"/>
        <c:lblAlgn val="ctr"/>
        <c:lblOffset val="100"/>
        <c:noMultiLvlLbl val="0"/>
      </c:catAx>
      <c:valAx>
        <c:axId val="447841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0B-4D4B-AF60-91231B8205C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0B-4D4B-AF60-91231B8205C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8F0B-4D4B-AF60-91231B8205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0.85</c:v>
                </c:pt>
                <c:pt idx="1">
                  <c:v>0.93</c:v>
                </c:pt>
                <c:pt idx="2">
                  <c:v>1.04</c:v>
                </c:pt>
                <c:pt idx="3">
                  <c:v>0.57999999999999996</c:v>
                </c:pt>
                <c:pt idx="4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B-4D4B-AF60-91231B820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2968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8A-408A-8474-FB0F0E62AC8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28A-408A-8474-FB0F0E62AC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78.489999999999995</c:v>
                </c:pt>
                <c:pt idx="1">
                  <c:v>74.69</c:v>
                </c:pt>
                <c:pt idx="2">
                  <c:v>77.62</c:v>
                </c:pt>
                <c:pt idx="3">
                  <c:v>78.5</c:v>
                </c:pt>
                <c:pt idx="4">
                  <c:v>73.540000000000006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8A-408A-8474-FB0F0E62A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3136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B2-464D-8056-D5B9702E1C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431.45</c:v>
                </c:pt>
                <c:pt idx="1">
                  <c:v>394.43</c:v>
                </c:pt>
                <c:pt idx="2">
                  <c:v>352.15</c:v>
                </c:pt>
                <c:pt idx="3">
                  <c:v>629.15</c:v>
                </c:pt>
                <c:pt idx="4">
                  <c:v>420.06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B2-464D-8056-D5B9702E1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2152"/>
        <c:axId val="548324776"/>
      </c:lineChart>
      <c:catAx>
        <c:axId val="54832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221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2A7-49D1-9F7A-4053FF8495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34.4</c:v>
                </c:pt>
                <c:pt idx="1">
                  <c:v>27.87</c:v>
                </c:pt>
                <c:pt idx="2">
                  <c:v>19.7</c:v>
                </c:pt>
                <c:pt idx="3">
                  <c:v>22.51</c:v>
                </c:pt>
                <c:pt idx="4">
                  <c:v>18.45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A7-49D1-9F7A-4053FF849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136"/>
        <c:axId val="451378304"/>
      </c:lineChart>
      <c:catAx>
        <c:axId val="45078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378304"/>
        <c:crosses val="autoZero"/>
        <c:auto val="0"/>
        <c:lblAlgn val="ctr"/>
        <c:lblOffset val="100"/>
        <c:noMultiLvlLbl val="0"/>
      </c:catAx>
      <c:valAx>
        <c:axId val="451378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7D2-4F2C-8ED2-B5C85088D9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509.94</c:v>
                </c:pt>
                <c:pt idx="1">
                  <c:v>469.12</c:v>
                </c:pt>
                <c:pt idx="2">
                  <c:v>429.77</c:v>
                </c:pt>
                <c:pt idx="3">
                  <c:v>707.65</c:v>
                </c:pt>
                <c:pt idx="4">
                  <c:v>493.6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D2-4F2C-8ED2-B5C85088D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20264"/>
        <c:axId val="634523216"/>
      </c:lineChart>
      <c:catAx>
        <c:axId val="63452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3216"/>
        <c:crosses val="autoZero"/>
        <c:auto val="0"/>
        <c:lblAlgn val="ctr"/>
        <c:lblOffset val="100"/>
        <c:noMultiLvlLbl val="0"/>
      </c:catAx>
      <c:valAx>
        <c:axId val="63452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4520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51F-4005-8B91-7B2F8638989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51F-4005-8B91-7B2F86389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-78.489999999999995</c:v>
                </c:pt>
                <c:pt idx="1">
                  <c:v>-74.69</c:v>
                </c:pt>
                <c:pt idx="2">
                  <c:v>-77.62</c:v>
                </c:pt>
                <c:pt idx="3">
                  <c:v>-78.5</c:v>
                </c:pt>
                <c:pt idx="4">
                  <c:v>-73.540000000000006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F-4005-8B91-7B2F8638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790280"/>
        <c:axId val="632787984"/>
      </c:lineChart>
      <c:catAx>
        <c:axId val="63279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7984"/>
        <c:crosses val="autoZero"/>
        <c:auto val="0"/>
        <c:lblAlgn val="ctr"/>
        <c:lblOffset val="100"/>
        <c:noMultiLvlLbl val="0"/>
      </c:catAx>
      <c:valAx>
        <c:axId val="632787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2790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58595.6</c:v>
                </c:pt>
                <c:pt idx="1">
                  <c:v>68019.659181932264</c:v>
                </c:pt>
                <c:pt idx="2">
                  <c:v>72050.081652262015</c:v>
                </c:pt>
                <c:pt idx="3">
                  <c:v>86622.727440810166</c:v>
                </c:pt>
                <c:pt idx="4">
                  <c:v>127936.17067978242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E4-4F97-9AC1-83AF455A5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705656"/>
        <c:axId val="62570696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232676.96918193225</c:v>
                </c:pt>
                <c:pt idx="2">
                  <c:v>248893.23165226204</c:v>
                </c:pt>
                <c:pt idx="3">
                  <c:v>257871.16744081012</c:v>
                </c:pt>
                <c:pt idx="4">
                  <c:v>298938.7306797824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E4-4F97-9AC1-83AF455A5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05656"/>
        <c:axId val="625706968"/>
      </c:lineChart>
      <c:catAx>
        <c:axId val="62570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6968"/>
        <c:crosses val="autoZero"/>
        <c:auto val="1"/>
        <c:lblAlgn val="ctr"/>
        <c:lblOffset val="100"/>
        <c:noMultiLvlLbl val="0"/>
      </c:catAx>
      <c:valAx>
        <c:axId val="625706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56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31484.38037065012</c:v>
                </c:pt>
                <c:pt idx="1">
                  <c:v>32634.769181932264</c:v>
                </c:pt>
                <c:pt idx="2">
                  <c:v>24481.012470329762</c:v>
                </c:pt>
                <c:pt idx="3">
                  <c:v>39202.14578854815</c:v>
                </c:pt>
                <c:pt idx="4">
                  <c:v>67468.68323897224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46-4D2C-B742-D28E9B4E7835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25522.72037065012</c:v>
                </c:pt>
                <c:pt idx="1">
                  <c:v>25292.939181932263</c:v>
                </c:pt>
                <c:pt idx="2">
                  <c:v>15773.342470329762</c:v>
                </c:pt>
                <c:pt idx="3">
                  <c:v>29968.505788548151</c:v>
                </c:pt>
                <c:pt idx="4">
                  <c:v>58367.813238972238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46-4D2C-B742-D28E9B4E7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789952"/>
        <c:axId val="632787000"/>
      </c:barChart>
      <c:catAx>
        <c:axId val="63278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7000"/>
        <c:crosses val="autoZero"/>
        <c:auto val="1"/>
        <c:lblAlgn val="ctr"/>
        <c:lblOffset val="100"/>
        <c:noMultiLvlLbl val="0"/>
      </c:catAx>
      <c:valAx>
        <c:axId val="632787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99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A5-4D97-B528-C06061E1834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A5-4D97-B528-C06061E1834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8A5-4D97-B528-C06061E183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286.11</c:v>
                </c:pt>
                <c:pt idx="1">
                  <c:v>554.57000000000005</c:v>
                </c:pt>
                <c:pt idx="2">
                  <c:v>148.66</c:v>
                </c:pt>
                <c:pt idx="3">
                  <c:v>353.91</c:v>
                </c:pt>
                <c:pt idx="4">
                  <c:v>958.93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A5-4D97-B528-C06061E18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06376"/>
        <c:axId val="624907688"/>
      </c:lineChart>
      <c:catAx>
        <c:axId val="62490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7688"/>
        <c:crosses val="autoZero"/>
        <c:auto val="0"/>
        <c:lblAlgn val="ctr"/>
        <c:lblOffset val="100"/>
        <c:noMultiLvlLbl val="0"/>
      </c:catAx>
      <c:valAx>
        <c:axId val="624907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906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79139.170000000013</c:v>
                </c:pt>
                <c:pt idx="1">
                  <c:v>95878.829181932262</c:v>
                </c:pt>
                <c:pt idx="2">
                  <c:v>109299.36165226201</c:v>
                </c:pt>
                <c:pt idx="3">
                  <c:v>122913.14744081016</c:v>
                </c:pt>
                <c:pt idx="4">
                  <c:v>169978.64067978243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E-491E-82AE-F42C6814ED46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48706.84</c:v>
                </c:pt>
                <c:pt idx="1">
                  <c:v>58688.149999999994</c:v>
                </c:pt>
                <c:pt idx="2">
                  <c:v>51705.72</c:v>
                </c:pt>
                <c:pt idx="3">
                  <c:v>78070.359999999986</c:v>
                </c:pt>
                <c:pt idx="4">
                  <c:v>87192.68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3E-491E-82AE-F42C6814E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902112"/>
        <c:axId val="624906704"/>
      </c:barChart>
      <c:catAx>
        <c:axId val="6249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6704"/>
        <c:crosses val="autoZero"/>
        <c:auto val="1"/>
        <c:lblAlgn val="ctr"/>
        <c:lblOffset val="100"/>
        <c:noMultiLvlLbl val="0"/>
      </c:catAx>
      <c:valAx>
        <c:axId val="624906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2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4338.24</c:v>
                </c:pt>
                <c:pt idx="1">
                  <c:v>4046.21</c:v>
                </c:pt>
                <c:pt idx="2">
                  <c:v>4235.07</c:v>
                </c:pt>
                <c:pt idx="3">
                  <c:v>4691.92</c:v>
                </c:pt>
                <c:pt idx="4">
                  <c:v>4825.9799999999996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80-42F6-A64B-985CCE649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64224"/>
        <c:axId val="62074074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1269.6400000000001</c:v>
                </c:pt>
                <c:pt idx="1">
                  <c:v>1248.72</c:v>
                </c:pt>
                <c:pt idx="2">
                  <c:v>1663.67</c:v>
                </c:pt>
                <c:pt idx="3">
                  <c:v>4725.32</c:v>
                </c:pt>
                <c:pt idx="4">
                  <c:v>2768.49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80-42F6-A64B-985CCE649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3152"/>
        <c:axId val="620743040"/>
      </c:lineChart>
      <c:catAx>
        <c:axId val="62576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740744"/>
        <c:crosses val="autoZero"/>
        <c:auto val="1"/>
        <c:lblAlgn val="ctr"/>
        <c:lblOffset val="100"/>
        <c:noMultiLvlLbl val="0"/>
      </c:catAx>
      <c:valAx>
        <c:axId val="620740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64224"/>
        <c:crosses val="autoZero"/>
        <c:crossBetween val="between"/>
      </c:valAx>
      <c:valAx>
        <c:axId val="6207430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583152"/>
        <c:crosses val="max"/>
        <c:crossBetween val="between"/>
      </c:valAx>
      <c:catAx>
        <c:axId val="448583152"/>
        <c:scaling>
          <c:orientation val="minMax"/>
        </c:scaling>
        <c:delete val="1"/>
        <c:axPos val="b"/>
        <c:majorTickMark val="out"/>
        <c:minorTickMark val="none"/>
        <c:tickLblPos val="nextTo"/>
        <c:crossAx val="62074304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41205.43</c:v>
                </c:pt>
                <c:pt idx="1">
                  <c:v>54309.07</c:v>
                </c:pt>
                <c:pt idx="2">
                  <c:v>53592.83</c:v>
                </c:pt>
                <c:pt idx="3">
                  <c:v>45292.49</c:v>
                </c:pt>
                <c:pt idx="4">
                  <c:v>75763.7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44-4A2F-BD55-0D49C75EE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2824"/>
        <c:axId val="62074172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44-4A2F-BD55-0D49C75EE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31856"/>
        <c:axId val="447131528"/>
      </c:lineChart>
      <c:catAx>
        <c:axId val="44858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741728"/>
        <c:crosses val="autoZero"/>
        <c:auto val="1"/>
        <c:lblAlgn val="ctr"/>
        <c:lblOffset val="100"/>
        <c:noMultiLvlLbl val="0"/>
      </c:catAx>
      <c:valAx>
        <c:axId val="620741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582824"/>
        <c:crosses val="autoZero"/>
        <c:crossBetween val="between"/>
      </c:valAx>
      <c:valAx>
        <c:axId val="4471315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7131856"/>
        <c:crosses val="max"/>
        <c:crossBetween val="between"/>
      </c:valAx>
      <c:catAx>
        <c:axId val="447131856"/>
        <c:scaling>
          <c:orientation val="minMax"/>
        </c:scaling>
        <c:delete val="1"/>
        <c:axPos val="b"/>
        <c:majorTickMark val="out"/>
        <c:minorTickMark val="none"/>
        <c:tickLblPos val="nextTo"/>
        <c:crossAx val="44713152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131741.49</c:v>
                </c:pt>
                <c:pt idx="1">
                  <c:v>154691.84</c:v>
                </c:pt>
                <c:pt idx="2">
                  <c:v>146106</c:v>
                </c:pt>
                <c:pt idx="3">
                  <c:v>154719.28</c:v>
                </c:pt>
                <c:pt idx="4">
                  <c:v>242326.87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8-4AF5-A22A-3DC61580A3E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131791.32037065012</c:v>
                </c:pt>
                <c:pt idx="1">
                  <c:v>156113.21918193228</c:v>
                </c:pt>
                <c:pt idx="2">
                  <c:v>147929.00247032975</c:v>
                </c:pt>
                <c:pt idx="3">
                  <c:v>155615.88578854816</c:v>
                </c:pt>
                <c:pt idx="4">
                  <c:v>243112.76323897223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8-4AF5-A22A-3DC61580A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668376"/>
        <c:axId val="553670016"/>
      </c:barChart>
      <c:catAx>
        <c:axId val="55366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70016"/>
        <c:crosses val="autoZero"/>
        <c:auto val="1"/>
        <c:lblAlgn val="ctr"/>
        <c:lblOffset val="100"/>
        <c:noMultiLvlLbl val="0"/>
      </c:catAx>
      <c:valAx>
        <c:axId val="553670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68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232676.96918193225</c:v>
                </c:pt>
                <c:pt idx="2">
                  <c:v>248893.23165226204</c:v>
                </c:pt>
                <c:pt idx="3">
                  <c:v>257871.16744081012</c:v>
                </c:pt>
                <c:pt idx="4">
                  <c:v>298938.7306797824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83-4918-A8F9-CC17167A54C7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99243.96</c:v>
                </c:pt>
                <c:pt idx="1">
                  <c:v>103604.7</c:v>
                </c:pt>
                <c:pt idx="2">
                  <c:v>122550.83</c:v>
                </c:pt>
                <c:pt idx="3">
                  <c:v>89908.4</c:v>
                </c:pt>
                <c:pt idx="4">
                  <c:v>81154.459999999992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83-4918-A8F9-CC17167A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525216"/>
        <c:axId val="624528168"/>
      </c:barChart>
      <c:catAx>
        <c:axId val="6245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28168"/>
        <c:crosses val="autoZero"/>
        <c:auto val="1"/>
        <c:lblAlgn val="ctr"/>
        <c:lblOffset val="100"/>
        <c:noMultiLvlLbl val="0"/>
      </c:catAx>
      <c:valAx>
        <c:axId val="624528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252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232676.96918193225</c:v>
                </c:pt>
                <c:pt idx="2">
                  <c:v>248893.23165226204</c:v>
                </c:pt>
                <c:pt idx="3">
                  <c:v>257871.16744081012</c:v>
                </c:pt>
                <c:pt idx="4">
                  <c:v>298938.7306797824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6E-4699-B74A-94C62A990F4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48706.84</c:v>
                </c:pt>
                <c:pt idx="1">
                  <c:v>58688.149999999994</c:v>
                </c:pt>
                <c:pt idx="2">
                  <c:v>51705.72</c:v>
                </c:pt>
                <c:pt idx="3">
                  <c:v>78070.359999999986</c:v>
                </c:pt>
                <c:pt idx="4">
                  <c:v>87192.68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6E-4699-B74A-94C62A990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7816376"/>
        <c:axId val="447816704"/>
      </c:barChart>
      <c:catAx>
        <c:axId val="44781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16704"/>
        <c:crosses val="autoZero"/>
        <c:auto val="1"/>
        <c:lblAlgn val="ctr"/>
        <c:lblOffset val="100"/>
        <c:noMultiLvlLbl val="0"/>
      </c:catAx>
      <c:valAx>
        <c:axId val="447816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16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207482.92</c:v>
                </c:pt>
                <c:pt idx="1">
                  <c:v>232676.96918193228</c:v>
                </c:pt>
                <c:pt idx="2">
                  <c:v>248893.23165226201</c:v>
                </c:pt>
                <c:pt idx="3">
                  <c:v>257871.16744081015</c:v>
                </c:pt>
                <c:pt idx="4">
                  <c:v>298938.7306797824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C7-44C1-B3D1-46CA320F796D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128343.75</c:v>
                </c:pt>
                <c:pt idx="1">
                  <c:v>136798.14000000001</c:v>
                </c:pt>
                <c:pt idx="2">
                  <c:v>139593.87</c:v>
                </c:pt>
                <c:pt idx="3">
                  <c:v>134958.01999999999</c:v>
                </c:pt>
                <c:pt idx="4">
                  <c:v>128960.08999999998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C7-44C1-B3D1-46CA320F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30600"/>
        <c:axId val="626827976"/>
      </c:barChart>
      <c:catAx>
        <c:axId val="62683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7976"/>
        <c:crosses val="autoZero"/>
        <c:auto val="1"/>
        <c:lblAlgn val="ctr"/>
        <c:lblOffset val="100"/>
        <c:noMultiLvlLbl val="0"/>
      </c:catAx>
      <c:valAx>
        <c:axId val="626827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306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207482.92</c:v>
                </c:pt>
                <c:pt idx="1">
                  <c:v>232676.96918193228</c:v>
                </c:pt>
                <c:pt idx="2">
                  <c:v>248893.23165226201</c:v>
                </c:pt>
                <c:pt idx="3">
                  <c:v>257871.16744081015</c:v>
                </c:pt>
                <c:pt idx="4">
                  <c:v>298938.7306797824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34-4655-9ABA-196F1F142ACF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79139.170000000013</c:v>
                </c:pt>
                <c:pt idx="1">
                  <c:v>95878.829181932262</c:v>
                </c:pt>
                <c:pt idx="2">
                  <c:v>109299.36165226201</c:v>
                </c:pt>
                <c:pt idx="3">
                  <c:v>122913.14744081016</c:v>
                </c:pt>
                <c:pt idx="4">
                  <c:v>169978.64067978243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34-4655-9ABA-196F1F14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982680"/>
        <c:axId val="628983008"/>
      </c:barChart>
      <c:catAx>
        <c:axId val="62898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8983008"/>
        <c:crosses val="autoZero"/>
        <c:auto val="1"/>
        <c:lblAlgn val="ctr"/>
        <c:lblOffset val="100"/>
        <c:noMultiLvlLbl val="0"/>
      </c:catAx>
      <c:valAx>
        <c:axId val="628983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8982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100306.94</c:v>
                </c:pt>
                <c:pt idx="1">
                  <c:v>123478.45000000001</c:v>
                </c:pt>
                <c:pt idx="2">
                  <c:v>123447.98999999999</c:v>
                </c:pt>
                <c:pt idx="3">
                  <c:v>116413.74</c:v>
                </c:pt>
                <c:pt idx="4">
                  <c:v>175644.08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D-4F81-B416-4D57A2A1F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50680"/>
        <c:axId val="446751992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131791.32037065012</c:v>
                </c:pt>
                <c:pt idx="1">
                  <c:v>156113.21918193228</c:v>
                </c:pt>
                <c:pt idx="2">
                  <c:v>147929.00247032975</c:v>
                </c:pt>
                <c:pt idx="3">
                  <c:v>155615.88578854816</c:v>
                </c:pt>
                <c:pt idx="4">
                  <c:v>243112.76323897223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2D-4F81-B416-4D57A2A1F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24184"/>
        <c:axId val="559825168"/>
      </c:lineChart>
      <c:catAx>
        <c:axId val="4467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1992"/>
        <c:crosses val="autoZero"/>
        <c:auto val="1"/>
        <c:lblAlgn val="ctr"/>
        <c:lblOffset val="100"/>
        <c:noMultiLvlLbl val="0"/>
      </c:catAx>
      <c:valAx>
        <c:axId val="446751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680"/>
        <c:crosses val="autoZero"/>
        <c:crossBetween val="between"/>
      </c:valAx>
      <c:valAx>
        <c:axId val="5598251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824184"/>
        <c:crosses val="max"/>
        <c:crossBetween val="between"/>
      </c:valAx>
      <c:catAx>
        <c:axId val="559824184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2516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24883.010370650118</c:v>
                </c:pt>
                <c:pt idx="1">
                  <c:v>9424.0691819322619</c:v>
                </c:pt>
                <c:pt idx="2">
                  <c:v>4030.4124703297625</c:v>
                </c:pt>
                <c:pt idx="3">
                  <c:v>14519.985788548152</c:v>
                </c:pt>
                <c:pt idx="4">
                  <c:v>41289.843238972244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05-49EF-A3E7-F5166318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1656"/>
        <c:axId val="546667064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26214.660370650119</c:v>
                </c:pt>
                <c:pt idx="1">
                  <c:v>10793.439181932263</c:v>
                </c:pt>
                <c:pt idx="2">
                  <c:v>5815.9424703297627</c:v>
                </c:pt>
                <c:pt idx="3">
                  <c:v>15664.735788548152</c:v>
                </c:pt>
                <c:pt idx="4">
                  <c:v>44294.003238972247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05-49EF-A3E7-F5166318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72968"/>
        <c:axId val="546672312"/>
      </c:lineChart>
      <c:catAx>
        <c:axId val="54667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7064"/>
        <c:crosses val="autoZero"/>
        <c:auto val="1"/>
        <c:lblAlgn val="ctr"/>
        <c:lblOffset val="100"/>
        <c:noMultiLvlLbl val="0"/>
      </c:catAx>
      <c:valAx>
        <c:axId val="546667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1656"/>
        <c:crosses val="autoZero"/>
        <c:crossBetween val="between"/>
      </c:valAx>
      <c:valAx>
        <c:axId val="5466723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672968"/>
        <c:crosses val="max"/>
        <c:crossBetween val="between"/>
      </c:valAx>
      <c:catAx>
        <c:axId val="54667296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67231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24D-4530-AD5A-0D3239B32E6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24D-4530-AD5A-0D3239B32E6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24D-4530-AD5A-0D3239B32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0.05</c:v>
                </c:pt>
                <c:pt idx="1">
                  <c:v>0.11</c:v>
                </c:pt>
                <c:pt idx="2">
                  <c:v>0.26</c:v>
                </c:pt>
                <c:pt idx="3">
                  <c:v>7.0000000000000007E-2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4D-4530-AD5A-0D3239B32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2760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194-4397-B4FB-CD5262B932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-5.04</c:v>
                </c:pt>
                <c:pt idx="1">
                  <c:v>-8.33</c:v>
                </c:pt>
                <c:pt idx="2">
                  <c:v>-2.0699999999999998</c:v>
                </c:pt>
                <c:pt idx="3">
                  <c:v>-3.6799999999999997</c:v>
                </c:pt>
                <c:pt idx="4">
                  <c:v>-21.52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4-4397-B4FB-CD5262B93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10968"/>
        <c:axId val="624909656"/>
      </c:lineChart>
      <c:catAx>
        <c:axId val="62491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9656"/>
        <c:crosses val="autoZero"/>
        <c:auto val="0"/>
        <c:lblAlgn val="ctr"/>
        <c:lblOffset val="100"/>
        <c:noMultiLvlLbl val="0"/>
      </c:catAx>
      <c:valAx>
        <c:axId val="624909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4910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64-4664-B8A5-396A928E8C4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464-4664-B8A5-396A928E8C4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464-4664-B8A5-396A928E8C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90536.06</c:v>
                </c:pt>
                <c:pt idx="1">
                  <c:v>100382.77</c:v>
                </c:pt>
                <c:pt idx="2">
                  <c:v>92513.17</c:v>
                </c:pt>
                <c:pt idx="3">
                  <c:v>109426.79</c:v>
                </c:pt>
                <c:pt idx="4">
                  <c:v>166563.17000000001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64-4664-B8A5-396A928E8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8544"/>
        <c:axId val="104320384"/>
      </c:lineChart>
      <c:catAx>
        <c:axId val="4407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7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DF-40FE-B7C6-75A0F297EFC3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DF-40FE-B7C6-75A0F297EF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31434.55</c:v>
                </c:pt>
                <c:pt idx="1">
                  <c:v>31213.39</c:v>
                </c:pt>
                <c:pt idx="2">
                  <c:v>22658.01</c:v>
                </c:pt>
                <c:pt idx="3">
                  <c:v>38305.54</c:v>
                </c:pt>
                <c:pt idx="4">
                  <c:v>66682.789999999994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DF-40FE-B7C6-75A0F297E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93120"/>
        <c:axId val="364043088"/>
      </c:lineChart>
      <c:catAx>
        <c:axId val="43979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0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39793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AA-431C-A6EE-9797EE78B18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2AA-431C-A6EE-9797EE78B1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0.06</c:v>
                </c:pt>
                <c:pt idx="4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AA-431C-A6EE-9797EE78B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08280"/>
        <c:axId val="625703688"/>
      </c:lineChart>
      <c:catAx>
        <c:axId val="62570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3688"/>
        <c:crosses val="autoZero"/>
        <c:auto val="0"/>
        <c:lblAlgn val="ctr"/>
        <c:lblOffset val="100"/>
        <c:noMultiLvlLbl val="0"/>
      </c:catAx>
      <c:valAx>
        <c:axId val="625703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5708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AF-49D0-BB82-E238F39506B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AF-49D0-BB82-E238F39506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0.13</c:v>
                </c:pt>
                <c:pt idx="1">
                  <c:v>0.12</c:v>
                </c:pt>
                <c:pt idx="2">
                  <c:v>0.06</c:v>
                </c:pt>
                <c:pt idx="3">
                  <c:v>0.17</c:v>
                </c:pt>
                <c:pt idx="4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AF-49D0-BB82-E238F3950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0448"/>
        <c:axId val="452491432"/>
      </c:lineChart>
      <c:catAx>
        <c:axId val="45249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491432"/>
        <c:crosses val="autoZero"/>
        <c:auto val="0"/>
        <c:lblAlgn val="ctr"/>
        <c:lblOffset val="100"/>
        <c:noMultiLvlLbl val="0"/>
      </c:catAx>
      <c:valAx>
        <c:axId val="452491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490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D0DC1-E380-536D-A3F5-85EE6639A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AE2364-1CD0-C91D-A16C-A02ADA0AC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EA5E5B-09A9-557A-CC30-CCC41AAD35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BB9E54-6E78-C308-244E-736D411320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0BF976-979B-8F9C-5E22-A4FC22581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BBAF49-7CC0-63C5-C64D-9B8B0D3C0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28D6AF-DDDD-B7CF-0A41-02606F2D13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87F940-3654-1A8C-C7BA-A6AC5DBC6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5798DF-60B5-C1BA-D850-0C06CBF9F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ADCC07-1354-9C39-420F-406D0A3A32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90C126-1826-65F0-5324-F4C664151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1F7D63-1E60-C536-F4B3-135B04859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BF75D-6871-7F67-D907-1058F07BE0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C4728-8A96-E659-080B-8ED7C9693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C886CE-27E8-9E34-01B4-FD460A2AA8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D1AF29-435E-FF2F-FA38-ADB013FB9E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BB381B-6AAE-D82B-0445-AC90BA0CA0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1FEE50-9057-1A02-3557-CE6C291B53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D04EF4-69CF-06CA-0A11-8C72DBDDD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C2F179-72CF-EB30-E791-B30A2CC5E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1A5B2667-254D-097F-0FD5-C2EA9AA78F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CD956C39-0E0D-C64C-AFD9-ABB18551CC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1B7F63-43A4-AA1C-D64F-EE3C9D031F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D490C6AF-63D1-CE23-36E5-7CB34412A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7128397-B314-5840-329C-715BA89C98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6A3AC957-F8B5-26CB-E7E0-7DB6A7E6B9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73A0A5C8-A2D7-717A-83A1-D942A44506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0A9397C6-49AA-E076-C166-25C5FCA57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8AD21240-58C7-66CF-9EE9-0E70C08EE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0E5CAE96-6A18-F232-40F9-5F0210474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A521412-AE6C-FA3B-CDBD-579AAA4979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883D8C5-BF4E-660F-B8B6-2D63491A7A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55D9A53-E6FA-7168-4936-8F292787E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434B5E-BA83-DEEE-5088-C6B22B7464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7C591-1C62-53B2-E2F6-CF126D742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457CF-042C-F47C-7658-6A0515C06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895756-CA16-76E6-2C29-E06E7BB93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7BF72-FF76-9669-A2BB-F3D69C1B1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C77378-E67D-DC42-5EE5-0370B84CA6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010C-9214-48F7-BE3E-A0170AB2A330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1144.95</v>
      </c>
      <c r="D6" s="2">
        <v>1144.94</v>
      </c>
      <c r="E6" s="2">
        <v>1144.95</v>
      </c>
      <c r="F6" s="2">
        <v>1197.6099999999999</v>
      </c>
      <c r="G6" s="2">
        <v>1221.21</v>
      </c>
      <c r="H6" t="s">
        <v>1</v>
      </c>
    </row>
    <row r="7" spans="1:15" x14ac:dyDescent="0.25">
      <c r="B7" t="s">
        <v>6</v>
      </c>
      <c r="C7" s="2">
        <v>1144.95</v>
      </c>
      <c r="D7" s="2">
        <v>1144.94</v>
      </c>
      <c r="E7" s="2">
        <v>1144.95</v>
      </c>
      <c r="F7" s="2">
        <v>1197.6099999999999</v>
      </c>
      <c r="G7" s="2">
        <v>1221.21</v>
      </c>
      <c r="H7" t="s">
        <v>1</v>
      </c>
    </row>
    <row r="8" spans="1:15" x14ac:dyDescent="0.25">
      <c r="A8" t="s">
        <v>90</v>
      </c>
      <c r="B8" t="s">
        <v>7</v>
      </c>
      <c r="C8" s="2">
        <v>57450.65</v>
      </c>
      <c r="D8" s="2">
        <v>65505.14</v>
      </c>
      <c r="E8" s="2">
        <v>70156.350000000006</v>
      </c>
      <c r="F8" s="2">
        <v>72262.38</v>
      </c>
      <c r="G8" s="2">
        <v>113221.83</v>
      </c>
      <c r="H8" t="s">
        <v>1</v>
      </c>
    </row>
    <row r="9" spans="1:15" x14ac:dyDescent="0.25">
      <c r="B9" t="s">
        <v>8</v>
      </c>
      <c r="C9" s="2">
        <v>57450.65</v>
      </c>
      <c r="D9" s="2">
        <v>65505.14</v>
      </c>
      <c r="E9" s="2">
        <v>70156.350000000006</v>
      </c>
      <c r="F9" s="2">
        <v>72262.38</v>
      </c>
      <c r="G9" s="2">
        <v>113221.83</v>
      </c>
      <c r="H9" t="s">
        <v>1</v>
      </c>
    </row>
    <row r="10" spans="1:15" x14ac:dyDescent="0.25">
      <c r="B10" t="s">
        <v>9</v>
      </c>
      <c r="C10" s="2">
        <v>58595.6</v>
      </c>
      <c r="D10" s="2">
        <v>66650.080000000002</v>
      </c>
      <c r="E10" s="2">
        <v>71301.3</v>
      </c>
      <c r="F10" s="2">
        <v>73459.990000000005</v>
      </c>
      <c r="G10" s="2">
        <v>114443.04</v>
      </c>
      <c r="H10" t="s">
        <v>1</v>
      </c>
    </row>
    <row r="11" spans="1:15" x14ac:dyDescent="0.25">
      <c r="A11" t="s">
        <v>10</v>
      </c>
      <c r="B11" t="s">
        <v>10</v>
      </c>
      <c r="C11" s="2">
        <v>936.52</v>
      </c>
      <c r="D11" s="2">
        <v>2364.46</v>
      </c>
      <c r="E11" s="2">
        <v>2586.6</v>
      </c>
      <c r="F11" s="2">
        <v>3269.68</v>
      </c>
      <c r="G11">
        <v>2655.42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72789.100000000006</v>
      </c>
      <c r="D13" s="2">
        <v>80342.73</v>
      </c>
      <c r="E13" s="2">
        <v>94104.97</v>
      </c>
      <c r="F13" s="2">
        <v>65698.009999999995</v>
      </c>
      <c r="G13" s="2">
        <v>44764.07</v>
      </c>
      <c r="H13" t="s">
        <v>1</v>
      </c>
    </row>
    <row r="14" spans="1:15" x14ac:dyDescent="0.25">
      <c r="A14" t="s">
        <v>91</v>
      </c>
      <c r="B14" t="s">
        <v>13</v>
      </c>
      <c r="C14" s="2">
        <v>10569.88</v>
      </c>
      <c r="D14" s="2">
        <v>12459.89</v>
      </c>
      <c r="E14" s="2">
        <v>9261.3799999999992</v>
      </c>
      <c r="F14" s="2">
        <v>9241.42</v>
      </c>
      <c r="G14" s="2">
        <v>12325.78</v>
      </c>
      <c r="H14" t="s">
        <v>1</v>
      </c>
    </row>
    <row r="15" spans="1:15" x14ac:dyDescent="0.25">
      <c r="A15" t="s">
        <v>92</v>
      </c>
      <c r="B15" t="s">
        <v>14</v>
      </c>
      <c r="C15" s="2">
        <v>4592.17</v>
      </c>
      <c r="D15" s="2">
        <v>4409.8900000000003</v>
      </c>
      <c r="E15" s="2">
        <v>4994.22</v>
      </c>
      <c r="F15" s="2">
        <v>17480.28</v>
      </c>
      <c r="G15" s="2">
        <v>15843.31</v>
      </c>
      <c r="H15" t="s">
        <v>1</v>
      </c>
    </row>
    <row r="16" spans="1:15" x14ac:dyDescent="0.25">
      <c r="A16" t="s">
        <v>93</v>
      </c>
      <c r="B16" t="s">
        <v>15</v>
      </c>
      <c r="C16" s="2">
        <v>4338.24</v>
      </c>
      <c r="D16" s="2">
        <v>4046.21</v>
      </c>
      <c r="E16" s="2">
        <v>4235.07</v>
      </c>
      <c r="F16" s="2">
        <v>4691.92</v>
      </c>
      <c r="G16" s="2">
        <v>4825.9799999999996</v>
      </c>
      <c r="H16" t="s">
        <v>1</v>
      </c>
    </row>
    <row r="17" spans="1:8" x14ac:dyDescent="0.25">
      <c r="B17" t="s">
        <v>16</v>
      </c>
      <c r="C17" s="2">
        <v>92289.39</v>
      </c>
      <c r="D17" s="2">
        <v>101258.72</v>
      </c>
      <c r="E17" s="2">
        <v>112595.64</v>
      </c>
      <c r="F17" s="2">
        <v>97111.63</v>
      </c>
      <c r="G17" s="2">
        <v>77759.14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15884.98</v>
      </c>
      <c r="D19" s="2">
        <v>10802.08</v>
      </c>
      <c r="E19" s="2">
        <v>19184.48</v>
      </c>
      <c r="F19" s="2">
        <v>14968.97</v>
      </c>
      <c r="G19" s="2">
        <v>24064.61</v>
      </c>
      <c r="H19" t="s">
        <v>1</v>
      </c>
    </row>
    <row r="20" spans="1:8" x14ac:dyDescent="0.25">
      <c r="A20" t="s">
        <v>92</v>
      </c>
      <c r="B20" t="s">
        <v>19</v>
      </c>
      <c r="C20" s="2">
        <v>20413.810000000001</v>
      </c>
      <c r="D20" s="2">
        <v>21716.959999999999</v>
      </c>
      <c r="E20" s="2">
        <v>21380.85</v>
      </c>
      <c r="F20" s="2">
        <v>25967.49</v>
      </c>
      <c r="G20" s="2">
        <v>36764.870000000003</v>
      </c>
      <c r="H20" t="s">
        <v>1</v>
      </c>
    </row>
    <row r="21" spans="1:8" x14ac:dyDescent="0.25">
      <c r="A21" t="s">
        <v>92</v>
      </c>
      <c r="B21" t="s">
        <v>20</v>
      </c>
      <c r="C21" s="2">
        <v>18092.98</v>
      </c>
      <c r="D21" s="2">
        <v>27266.37</v>
      </c>
      <c r="E21" s="2">
        <v>19431.91</v>
      </c>
      <c r="F21" s="2">
        <v>25205.35</v>
      </c>
      <c r="G21" s="2">
        <v>26990.03</v>
      </c>
      <c r="H21" t="s">
        <v>1</v>
      </c>
    </row>
    <row r="22" spans="1:8" x14ac:dyDescent="0.25">
      <c r="A22" t="s">
        <v>93</v>
      </c>
      <c r="B22" t="s">
        <v>21</v>
      </c>
      <c r="C22" s="2">
        <v>1269.6400000000001</v>
      </c>
      <c r="D22" s="2">
        <v>1248.72</v>
      </c>
      <c r="E22" s="2">
        <v>1663.67</v>
      </c>
      <c r="F22" s="2">
        <v>4725.32</v>
      </c>
      <c r="G22" s="2">
        <v>2768.49</v>
      </c>
      <c r="H22" t="s">
        <v>1</v>
      </c>
    </row>
    <row r="23" spans="1:8" x14ac:dyDescent="0.25">
      <c r="B23" t="s">
        <v>22</v>
      </c>
      <c r="C23" s="2">
        <v>55661.41</v>
      </c>
      <c r="D23" s="2">
        <v>61034.13</v>
      </c>
      <c r="E23" s="2">
        <v>61660.91</v>
      </c>
      <c r="F23" s="2">
        <v>70867.13</v>
      </c>
      <c r="G23" s="2">
        <v>90588</v>
      </c>
      <c r="H23" t="s">
        <v>1</v>
      </c>
    </row>
    <row r="24" spans="1:8" x14ac:dyDescent="0.25">
      <c r="B24" t="s">
        <v>23</v>
      </c>
      <c r="C24" s="2">
        <v>209757.94</v>
      </c>
      <c r="D24" s="2">
        <v>233582.39</v>
      </c>
      <c r="E24" s="2">
        <v>250419.45</v>
      </c>
      <c r="F24" s="2">
        <v>245487.21</v>
      </c>
      <c r="G24" s="2">
        <v>285445.59999999998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90322.78</v>
      </c>
      <c r="D27" s="2">
        <v>118450.97</v>
      </c>
      <c r="E27" s="2">
        <v>128053.75999999999</v>
      </c>
      <c r="F27" s="2">
        <v>128454.45</v>
      </c>
      <c r="G27" s="2">
        <v>124504.16</v>
      </c>
      <c r="H27" t="s">
        <v>1</v>
      </c>
    </row>
    <row r="28" spans="1:8" x14ac:dyDescent="0.25">
      <c r="A28" t="s">
        <v>29</v>
      </c>
      <c r="B28" t="s">
        <v>27</v>
      </c>
      <c r="C28" s="2">
        <v>1682.66</v>
      </c>
      <c r="D28" s="2">
        <v>1994.32</v>
      </c>
      <c r="E28" s="2">
        <v>2442.37</v>
      </c>
      <c r="F28" s="2">
        <v>2976.04</v>
      </c>
      <c r="G28" s="2">
        <v>4472.47</v>
      </c>
      <c r="H28" t="s">
        <v>1</v>
      </c>
    </row>
    <row r="29" spans="1:8" x14ac:dyDescent="0.25">
      <c r="A29" t="s">
        <v>28</v>
      </c>
      <c r="B29" t="s">
        <v>28</v>
      </c>
      <c r="C29" s="2">
        <v>16159.8</v>
      </c>
      <c r="D29" s="2">
        <v>17956.509999999998</v>
      </c>
      <c r="E29" s="2">
        <v>18862.060000000001</v>
      </c>
      <c r="F29" s="2">
        <v>18128.740000000002</v>
      </c>
      <c r="G29" s="2">
        <v>21227.62</v>
      </c>
      <c r="H29" t="s">
        <v>1</v>
      </c>
    </row>
    <row r="30" spans="1:8" x14ac:dyDescent="0.25">
      <c r="B30" t="s">
        <v>29</v>
      </c>
      <c r="C30" s="2">
        <v>108619.85</v>
      </c>
      <c r="D30" s="2">
        <v>139086.5</v>
      </c>
      <c r="E30" s="2">
        <v>149992.95999999999</v>
      </c>
      <c r="F30" s="2">
        <v>150437.89000000001</v>
      </c>
      <c r="G30" s="2">
        <v>151022.18</v>
      </c>
      <c r="H30" t="s">
        <v>1</v>
      </c>
    </row>
    <row r="31" spans="1:8" x14ac:dyDescent="0.25">
      <c r="A31" t="s">
        <v>94</v>
      </c>
      <c r="B31" t="s">
        <v>30</v>
      </c>
      <c r="C31" s="2">
        <v>2990.5</v>
      </c>
      <c r="D31" s="2">
        <v>3213.31</v>
      </c>
      <c r="E31" s="2">
        <v>2853.31</v>
      </c>
      <c r="F31" s="2">
        <v>3463.04</v>
      </c>
      <c r="G31" s="2">
        <v>4615.43</v>
      </c>
      <c r="H31" t="s">
        <v>1</v>
      </c>
    </row>
    <row r="32" spans="1:8" x14ac:dyDescent="0.25">
      <c r="A32" t="s">
        <v>95</v>
      </c>
      <c r="B32" t="s">
        <v>31</v>
      </c>
      <c r="C32" s="2">
        <v>1035.8</v>
      </c>
      <c r="D32" s="2">
        <v>808.95</v>
      </c>
      <c r="E32" s="2">
        <v>1270.33</v>
      </c>
      <c r="F32">
        <v>1578.02</v>
      </c>
      <c r="G32" s="2">
        <v>3023.93</v>
      </c>
      <c r="H32" t="s">
        <v>1</v>
      </c>
    </row>
    <row r="33" spans="1:8" x14ac:dyDescent="0.25">
      <c r="A33" t="s">
        <v>95</v>
      </c>
      <c r="B33" t="s">
        <v>32</v>
      </c>
      <c r="C33" s="2">
        <v>717.34</v>
      </c>
      <c r="D33">
        <v>613.34</v>
      </c>
      <c r="E33">
        <v>488.71</v>
      </c>
      <c r="F33">
        <v>91.93</v>
      </c>
      <c r="G33">
        <v>1282.44</v>
      </c>
      <c r="H33" t="s">
        <v>1</v>
      </c>
    </row>
    <row r="34" spans="1:8" x14ac:dyDescent="0.25">
      <c r="A34" t="s">
        <v>95</v>
      </c>
      <c r="B34" t="s">
        <v>33</v>
      </c>
      <c r="C34" s="2">
        <v>24417.84</v>
      </c>
      <c r="D34" s="2">
        <v>26872.69</v>
      </c>
      <c r="E34" s="2">
        <v>33026.89</v>
      </c>
      <c r="F34" s="2">
        <v>25359.74</v>
      </c>
      <c r="G34" s="2">
        <v>28633.81</v>
      </c>
      <c r="H34" t="s">
        <v>1</v>
      </c>
    </row>
    <row r="35" spans="1:8" x14ac:dyDescent="0.25">
      <c r="B35" t="s">
        <v>34</v>
      </c>
      <c r="C35" s="2">
        <v>141880.78</v>
      </c>
      <c r="D35" s="2">
        <v>174591.41</v>
      </c>
      <c r="E35" s="2">
        <v>191686.73</v>
      </c>
      <c r="F35" s="2">
        <v>185275.31</v>
      </c>
      <c r="G35" s="2">
        <v>192888.99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14908.97</v>
      </c>
      <c r="D37" s="2">
        <v>2524.86</v>
      </c>
      <c r="E37" s="2">
        <v>3431.87</v>
      </c>
      <c r="F37" s="2">
        <v>7218.89</v>
      </c>
      <c r="G37" s="2">
        <v>8524.42</v>
      </c>
      <c r="H37" t="s">
        <v>1</v>
      </c>
    </row>
    <row r="38" spans="1:8" x14ac:dyDescent="0.25">
      <c r="A38" t="s">
        <v>96</v>
      </c>
      <c r="B38" t="s">
        <v>37</v>
      </c>
      <c r="C38" s="2">
        <v>28331.040000000001</v>
      </c>
      <c r="D38" s="2">
        <v>31656.1</v>
      </c>
      <c r="E38" s="2">
        <v>31068.720000000001</v>
      </c>
      <c r="F38" s="2">
        <v>33276.379999999997</v>
      </c>
      <c r="G38" s="2">
        <v>48824.39</v>
      </c>
      <c r="H38" t="s">
        <v>1</v>
      </c>
    </row>
    <row r="39" spans="1:8" x14ac:dyDescent="0.25">
      <c r="A39" t="s">
        <v>96</v>
      </c>
      <c r="B39" t="s">
        <v>38</v>
      </c>
      <c r="C39" s="2">
        <v>12415.52</v>
      </c>
      <c r="D39" s="2">
        <v>11811</v>
      </c>
      <c r="E39" s="2">
        <v>7884.91</v>
      </c>
      <c r="F39" s="2">
        <v>9539.84</v>
      </c>
      <c r="G39" s="2">
        <v>12246.43</v>
      </c>
      <c r="H39" t="s">
        <v>1</v>
      </c>
    </row>
    <row r="40" spans="1:8" x14ac:dyDescent="0.25">
      <c r="A40" t="s">
        <v>96</v>
      </c>
      <c r="B40" t="s">
        <v>39</v>
      </c>
      <c r="C40" s="2">
        <v>7937.85</v>
      </c>
      <c r="D40" s="2">
        <v>3341.37</v>
      </c>
      <c r="E40" s="2">
        <v>8054.72</v>
      </c>
      <c r="F40" s="2">
        <v>5782.18</v>
      </c>
      <c r="G40" s="2">
        <v>15898.93</v>
      </c>
      <c r="H40" t="s">
        <v>1</v>
      </c>
    </row>
    <row r="41" spans="1:8" x14ac:dyDescent="0.25">
      <c r="A41" t="s">
        <v>95</v>
      </c>
      <c r="B41" t="s">
        <v>40</v>
      </c>
      <c r="C41">
        <v>256.48</v>
      </c>
      <c r="D41">
        <v>239.7</v>
      </c>
      <c r="E41">
        <v>215.68</v>
      </c>
      <c r="F41">
        <v>5.59</v>
      </c>
      <c r="G41">
        <v>5.84</v>
      </c>
      <c r="H41" t="s">
        <v>1</v>
      </c>
    </row>
    <row r="42" spans="1:8" x14ac:dyDescent="0.25">
      <c r="A42" t="s">
        <v>95</v>
      </c>
      <c r="B42" t="s">
        <v>41</v>
      </c>
      <c r="C42" s="2">
        <v>4027.3</v>
      </c>
      <c r="D42" s="2">
        <v>9417.9500000000007</v>
      </c>
      <c r="E42" s="2">
        <v>8076.82</v>
      </c>
      <c r="F42" s="2">
        <v>4389.0200000000004</v>
      </c>
      <c r="G42" s="2">
        <v>7056.6</v>
      </c>
      <c r="H42" t="s">
        <v>1</v>
      </c>
    </row>
    <row r="43" spans="1:8" x14ac:dyDescent="0.25">
      <c r="B43" t="s">
        <v>42</v>
      </c>
      <c r="C43" s="2">
        <v>67877.16</v>
      </c>
      <c r="D43" s="2">
        <v>58990.98</v>
      </c>
      <c r="E43" s="2">
        <v>58732.72</v>
      </c>
      <c r="F43" s="2">
        <v>60211.9</v>
      </c>
      <c r="G43" s="2">
        <v>92556.61</v>
      </c>
      <c r="H43" t="s">
        <v>1</v>
      </c>
    </row>
    <row r="44" spans="1:8" x14ac:dyDescent="0.25">
      <c r="B44" t="s">
        <v>43</v>
      </c>
      <c r="C44" s="2">
        <v>209757.94</v>
      </c>
      <c r="D44" s="2">
        <v>233582.39</v>
      </c>
      <c r="E44" s="2">
        <v>250419.45</v>
      </c>
      <c r="F44" s="2">
        <v>245487.21</v>
      </c>
      <c r="G44" s="2">
        <v>285445.59999999998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 s="2">
        <v>22182.68</v>
      </c>
      <c r="D47" s="2">
        <v>26941.26</v>
      </c>
      <c r="E47" s="2">
        <v>26907.88</v>
      </c>
      <c r="F47" s="2">
        <v>25723.75</v>
      </c>
      <c r="G47" s="2">
        <v>33004.720000000001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252.97</v>
      </c>
      <c r="D49">
        <v>252.97</v>
      </c>
      <c r="E49">
        <v>252.97</v>
      </c>
      <c r="F49">
        <v>252.97</v>
      </c>
      <c r="G49">
        <v>252.97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753.87</v>
      </c>
      <c r="D51">
        <v>454.53</v>
      </c>
      <c r="E51">
        <v>205.02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455.41</v>
      </c>
      <c r="D52">
        <v>835.83</v>
      </c>
      <c r="E52">
        <v>479.75</v>
      </c>
      <c r="F52">
        <v>0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14908.97</v>
      </c>
      <c r="D55">
        <v>2524.86</v>
      </c>
      <c r="E55" s="2">
        <v>3431.87</v>
      </c>
      <c r="F55" s="2">
        <v>0</v>
      </c>
      <c r="G55" s="2">
        <v>0</v>
      </c>
      <c r="H55" t="s">
        <v>1</v>
      </c>
    </row>
  </sheetData>
  <hyperlinks>
    <hyperlink ref="F1" location="Index_Data!A1" tooltip="Hi click here To return Index page" display="Index_Data!A1" xr:uid="{9FFE9A13-C6A4-4D22-8165-F359D188CF6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090DC-1988-4890-BB4E-CBC4A460717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58595.6</v>
      </c>
      <c r="D6" s="13">
        <f>Balance_Sheet!D13</f>
        <v>68019.659181932264</v>
      </c>
      <c r="E6" s="13">
        <f>Balance_Sheet!E13</f>
        <v>72050.081652262015</v>
      </c>
      <c r="F6" s="13">
        <f>Balance_Sheet!F13</f>
        <v>86622.727440810166</v>
      </c>
      <c r="G6" s="13">
        <f>Balance_Sheet!G13</f>
        <v>127936.17067978242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</row>
    <row r="8" spans="2:15" ht="18.75" x14ac:dyDescent="0.25">
      <c r="B8" s="14" t="s">
        <v>150</v>
      </c>
      <c r="C8" s="14">
        <f>ROUND(C6/C7, 2)</f>
        <v>286.11</v>
      </c>
      <c r="D8" s="14">
        <f t="shared" ref="D8:G8" si="0">ROUND(D6/D7, 2)</f>
        <v>554.57000000000005</v>
      </c>
      <c r="E8" s="14">
        <f t="shared" si="0"/>
        <v>148.66</v>
      </c>
      <c r="F8" s="14">
        <f t="shared" si="0"/>
        <v>353.91</v>
      </c>
      <c r="G8" s="14">
        <f t="shared" si="0"/>
        <v>958.93</v>
      </c>
    </row>
  </sheetData>
  <mergeCells count="1">
    <mergeCell ref="B5:G5"/>
  </mergeCells>
  <hyperlinks>
    <hyperlink ref="F1" location="Index_Data!A1" tooltip="Hi click here To return Index page" display="Index_Data!A1" xr:uid="{50425DAF-852A-41B1-81EF-60B388C38F12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EEB11-1898-4F40-9D14-814D8DE6F62C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1236.18</v>
      </c>
      <c r="D6" s="13">
        <f>Income_Statement!D51</f>
        <v>1144.76</v>
      </c>
      <c r="E6" s="13">
        <f>Income_Statement!E51</f>
        <v>1488.13</v>
      </c>
      <c r="F6" s="13">
        <f>Income_Statement!F51</f>
        <v>1144.75</v>
      </c>
      <c r="G6" s="13">
        <f>Income_Statement!G51</f>
        <v>3004.16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</row>
    <row r="8" spans="2:15" ht="18.75" x14ac:dyDescent="0.25">
      <c r="B8" s="12" t="s">
        <v>148</v>
      </c>
      <c r="C8" s="13">
        <f>ROUND(C6/C7, 2)</f>
        <v>6.04</v>
      </c>
      <c r="D8" s="13">
        <f t="shared" ref="D8:G8" si="0">ROUND(D6/D7, 2)</f>
        <v>9.33</v>
      </c>
      <c r="E8" s="13">
        <f t="shared" si="0"/>
        <v>3.07</v>
      </c>
      <c r="F8" s="13">
        <f t="shared" si="0"/>
        <v>4.68</v>
      </c>
      <c r="G8" s="13">
        <f t="shared" si="0"/>
        <v>22.52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26214.660370650119</v>
      </c>
      <c r="D9" s="13">
        <f>Income_Statement!D49</f>
        <v>10793.439181932263</v>
      </c>
      <c r="E9" s="13">
        <f>Income_Statement!E49</f>
        <v>5815.9424703297627</v>
      </c>
      <c r="F9" s="13">
        <f>Income_Statement!F49</f>
        <v>15664.735788548152</v>
      </c>
      <c r="G9" s="13">
        <f>Income_Statement!G49</f>
        <v>44294.003238972247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204.80203414570406</v>
      </c>
      <c r="D10" s="13">
        <f>Income_Statement!D61</f>
        <v>122.65271797650298</v>
      </c>
      <c r="E10" s="13">
        <f>Income_Statement!E61</f>
        <v>484.66187252748023</v>
      </c>
      <c r="F10" s="13">
        <f>Income_Statement!F61</f>
        <v>244.76149669606488</v>
      </c>
      <c r="G10" s="13">
        <f>Income_Statement!G61</f>
        <v>133.41567240654291</v>
      </c>
    </row>
    <row r="11" spans="2:15" ht="18.75" x14ac:dyDescent="0.25">
      <c r="B11" s="12" t="s">
        <v>146</v>
      </c>
      <c r="C11" s="13">
        <f>C9/C10</f>
        <v>128</v>
      </c>
      <c r="D11" s="13">
        <f t="shared" ref="D11:G11" si="1">D9/D10</f>
        <v>88</v>
      </c>
      <c r="E11" s="13">
        <f t="shared" si="1"/>
        <v>12</v>
      </c>
      <c r="F11" s="13">
        <f t="shared" si="1"/>
        <v>64</v>
      </c>
      <c r="G11" s="13">
        <f t="shared" si="1"/>
        <v>332</v>
      </c>
    </row>
    <row r="12" spans="2:15" ht="18.75" x14ac:dyDescent="0.25">
      <c r="B12" s="14" t="s">
        <v>152</v>
      </c>
      <c r="C12" s="14">
        <f>ROUND(C8/C11, 2)</f>
        <v>0.05</v>
      </c>
      <c r="D12" s="14">
        <f t="shared" ref="D12:G12" si="2">ROUND(D8/D11, 2)</f>
        <v>0.11</v>
      </c>
      <c r="E12" s="14">
        <f t="shared" si="2"/>
        <v>0.26</v>
      </c>
      <c r="F12" s="14">
        <f t="shared" si="2"/>
        <v>7.0000000000000007E-2</v>
      </c>
      <c r="G12" s="14">
        <f t="shared" si="2"/>
        <v>7.0000000000000007E-2</v>
      </c>
    </row>
  </sheetData>
  <mergeCells count="1">
    <mergeCell ref="B5:G5"/>
  </mergeCells>
  <hyperlinks>
    <hyperlink ref="F1" location="Index_Data!A1" tooltip="Hi click here To return Index page" display="Index_Data!A1" xr:uid="{FE25A3F7-9C88-4DA0-8C98-C0F38D88F1F7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942FC-F56D-4FC6-A1C0-AD30C44F9F56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3.5703125" bestFit="1" customWidth="1"/>
    <col min="7" max="7" width="15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1236.18</v>
      </c>
      <c r="D6" s="13">
        <f>Income_Statement!D51</f>
        <v>1144.76</v>
      </c>
      <c r="E6" s="13">
        <f>Income_Statement!E51</f>
        <v>1488.13</v>
      </c>
      <c r="F6" s="13">
        <f>Income_Statement!F51</f>
        <v>1144.75</v>
      </c>
      <c r="G6" s="13">
        <f>Income_Statement!G51</f>
        <v>3004.16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</row>
    <row r="8" spans="2:15" ht="18.75" x14ac:dyDescent="0.25">
      <c r="B8" s="12" t="s">
        <v>154</v>
      </c>
      <c r="C8" s="13">
        <f>ROUND(C6/C7, 2)</f>
        <v>6.04</v>
      </c>
      <c r="D8" s="13">
        <f t="shared" ref="D8:G8" si="0">ROUND(D6/D7, 2)</f>
        <v>9.33</v>
      </c>
      <c r="E8" s="13">
        <f t="shared" si="0"/>
        <v>3.07</v>
      </c>
      <c r="F8" s="13">
        <f t="shared" si="0"/>
        <v>4.68</v>
      </c>
      <c r="G8" s="13">
        <f t="shared" si="0"/>
        <v>22.52</v>
      </c>
    </row>
    <row r="9" spans="2:15" ht="18.75" x14ac:dyDescent="0.25">
      <c r="B9" s="14" t="s">
        <v>155</v>
      </c>
      <c r="C9" s="15">
        <f>1-C8</f>
        <v>-5.04</v>
      </c>
      <c r="D9" s="15">
        <f t="shared" ref="D9:G9" si="1">1-D8</f>
        <v>-8.33</v>
      </c>
      <c r="E9" s="15">
        <f t="shared" si="1"/>
        <v>-2.0699999999999998</v>
      </c>
      <c r="F9" s="15">
        <f t="shared" si="1"/>
        <v>-3.6799999999999997</v>
      </c>
      <c r="G9" s="15">
        <f t="shared" si="1"/>
        <v>-21.52</v>
      </c>
    </row>
  </sheetData>
  <mergeCells count="1">
    <mergeCell ref="B5:G5"/>
  </mergeCells>
  <hyperlinks>
    <hyperlink ref="F1" location="Index_Data!A1" tooltip="Hi click here To return Index page" display="Index_Data!A1" xr:uid="{86DB298D-9F96-4036-AB8E-701097BA89B8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6C4B8-4680-4AD9-BD17-F503A0C906C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41205.43</v>
      </c>
      <c r="D7" s="13">
        <f>Income_Statement!D17</f>
        <v>54309.07</v>
      </c>
      <c r="E7" s="13">
        <f>Income_Statement!E17</f>
        <v>53592.83</v>
      </c>
      <c r="F7" s="13">
        <f>Income_Statement!F17</f>
        <v>45292.49</v>
      </c>
      <c r="G7" s="13">
        <f>Income_Statement!G17</f>
        <v>75763.7</v>
      </c>
    </row>
    <row r="8" spans="2:15" ht="18.75" x14ac:dyDescent="0.25">
      <c r="B8" s="14" t="s">
        <v>157</v>
      </c>
      <c r="C8" s="16">
        <f>ROUND(C6- C7, 2)</f>
        <v>90536.06</v>
      </c>
      <c r="D8" s="16">
        <f t="shared" ref="D8:G8" si="0">ROUND(D6- D7, 2)</f>
        <v>100382.77</v>
      </c>
      <c r="E8" s="16">
        <f t="shared" si="0"/>
        <v>92513.17</v>
      </c>
      <c r="F8" s="16">
        <f t="shared" si="0"/>
        <v>109426.79</v>
      </c>
      <c r="G8" s="16">
        <f t="shared" si="0"/>
        <v>166563.17000000001</v>
      </c>
    </row>
  </sheetData>
  <mergeCells count="1">
    <mergeCell ref="B5:G5"/>
  </mergeCells>
  <hyperlinks>
    <hyperlink ref="F1" location="Index_Data!A1" tooltip="Hi click here To return Index page" display="Index_Data!A1" xr:uid="{0DF563B6-945D-45E1-9A9E-B6AC1D4FEF2C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21578-68F5-4B3A-B6BE-79A19CCC37D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Income_Statement!B25</f>
        <v>Total Expenditure</v>
      </c>
      <c r="C7" s="13">
        <f>Income_Statement!C25</f>
        <v>100306.94</v>
      </c>
      <c r="D7" s="13">
        <f>Income_Statement!D25</f>
        <v>123478.45000000001</v>
      </c>
      <c r="E7" s="13">
        <f>Income_Statement!E25</f>
        <v>123447.98999999999</v>
      </c>
      <c r="F7" s="13">
        <f>Income_Statement!F25</f>
        <v>116413.74</v>
      </c>
      <c r="G7" s="13">
        <f>Income_Statement!G25</f>
        <v>175644.08</v>
      </c>
    </row>
    <row r="8" spans="2:15" ht="18.75" x14ac:dyDescent="0.25">
      <c r="B8" s="14" t="s">
        <v>159</v>
      </c>
      <c r="C8" s="16">
        <f>ROUND(C6- C7, 2)</f>
        <v>31434.55</v>
      </c>
      <c r="D8" s="16">
        <f t="shared" ref="D8:G8" si="0">ROUND(D6- D7, 2)</f>
        <v>31213.39</v>
      </c>
      <c r="E8" s="16">
        <f t="shared" si="0"/>
        <v>22658.01</v>
      </c>
      <c r="F8" s="16">
        <f t="shared" si="0"/>
        <v>38305.54</v>
      </c>
      <c r="G8" s="16">
        <f t="shared" si="0"/>
        <v>66682.789999999994</v>
      </c>
    </row>
  </sheetData>
  <mergeCells count="1">
    <mergeCell ref="B5:G5"/>
  </mergeCells>
  <hyperlinks>
    <hyperlink ref="F1" location="Index_Data!A1" tooltip="Hi click here To return Index page" display="Index_Data!A1" xr:uid="{DE710F03-6517-468C-9C5B-7C06A7E063B5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779E2-9E3E-48BA-A985-8226673CB38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26214.660370650119</v>
      </c>
      <c r="D6" s="13">
        <f>Income_Statement!D49</f>
        <v>10793.439181932263</v>
      </c>
      <c r="E6" s="13">
        <f>Income_Statement!E49</f>
        <v>5815.9424703297627</v>
      </c>
      <c r="F6" s="13">
        <f>Income_Statement!F49</f>
        <v>15664.735788548152</v>
      </c>
      <c r="G6" s="13">
        <f>Income_Statement!G49</f>
        <v>44294.003238972247</v>
      </c>
    </row>
    <row r="7" spans="2:15" ht="18.75" x14ac:dyDescent="0.25">
      <c r="B7" s="12" t="str">
        <f>Balance_Sheet!B74</f>
        <v>Total Assets</v>
      </c>
      <c r="C7" s="13">
        <f>Balance_Sheet!C74</f>
        <v>207482.92</v>
      </c>
      <c r="D7" s="13">
        <f>Balance_Sheet!D74</f>
        <v>232676.96918193228</v>
      </c>
      <c r="E7" s="13">
        <f>Balance_Sheet!E74</f>
        <v>248893.23165226201</v>
      </c>
      <c r="F7" s="13">
        <f>Balance_Sheet!F74</f>
        <v>257871.16744081015</v>
      </c>
      <c r="G7" s="13">
        <f>Balance_Sheet!G74</f>
        <v>298938.7306797824</v>
      </c>
    </row>
    <row r="8" spans="2:15" ht="18.75" x14ac:dyDescent="0.25">
      <c r="B8" s="14" t="s">
        <v>161</v>
      </c>
      <c r="C8" s="15">
        <f>ROUND(C6/ C7, 2)</f>
        <v>0.13</v>
      </c>
      <c r="D8" s="15">
        <f t="shared" ref="D8:G8" si="0">ROUND(D6/ D7, 2)</f>
        <v>0.05</v>
      </c>
      <c r="E8" s="15">
        <f t="shared" si="0"/>
        <v>0.02</v>
      </c>
      <c r="F8" s="15">
        <f t="shared" si="0"/>
        <v>0.06</v>
      </c>
      <c r="G8" s="15">
        <f t="shared" si="0"/>
        <v>0.15</v>
      </c>
    </row>
  </sheetData>
  <mergeCells count="1">
    <mergeCell ref="B5:G5"/>
  </mergeCells>
  <hyperlinks>
    <hyperlink ref="F1" location="Index_Data!A1" tooltip="Hi click here To return Index page" display="Index_Data!A1" xr:uid="{2F0B41BE-03C7-4C6B-B648-87E3790C4C99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8285E-601F-400D-84C1-51855E7610BF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25522.72037065012</v>
      </c>
      <c r="D6" s="13">
        <f>Income_Statement!D33</f>
        <v>25292.939181932263</v>
      </c>
      <c r="E6" s="13">
        <f>Income_Statement!E33</f>
        <v>15773.342470329762</v>
      </c>
      <c r="F6" s="13">
        <f>Income_Statement!F33</f>
        <v>29968.505788548151</v>
      </c>
      <c r="G6" s="13">
        <f>Income_Statement!G33</f>
        <v>58367.813238972238</v>
      </c>
    </row>
    <row r="7" spans="2:15" ht="18.75" x14ac:dyDescent="0.25">
      <c r="B7" s="12" t="str">
        <f>Balance_Sheet!B21</f>
        <v>Total Debt</v>
      </c>
      <c r="C7" s="13">
        <f>Balance_Sheet!C21</f>
        <v>99243.96</v>
      </c>
      <c r="D7" s="13">
        <f>Balance_Sheet!D21</f>
        <v>103604.7</v>
      </c>
      <c r="E7" s="13">
        <f>Balance_Sheet!E21</f>
        <v>122550.83</v>
      </c>
      <c r="F7" s="13">
        <f>Balance_Sheet!F21</f>
        <v>89908.4</v>
      </c>
      <c r="G7" s="13">
        <f>Balance_Sheet!G21</f>
        <v>81154.459999999992</v>
      </c>
    </row>
    <row r="8" spans="2:15" ht="18.75" x14ac:dyDescent="0.25">
      <c r="B8" s="12" t="str">
        <f>Balance_Sheet!B13</f>
        <v>Net Worth</v>
      </c>
      <c r="C8" s="13">
        <f>Balance_Sheet!C13</f>
        <v>58595.6</v>
      </c>
      <c r="D8" s="13">
        <f>Balance_Sheet!D13</f>
        <v>68019.659181932264</v>
      </c>
      <c r="E8" s="13">
        <f>Balance_Sheet!E13</f>
        <v>72050.081652262015</v>
      </c>
      <c r="F8" s="13">
        <f>Balance_Sheet!F13</f>
        <v>86622.727440810166</v>
      </c>
      <c r="G8" s="13">
        <f>Balance_Sheet!G13</f>
        <v>127936.17067978242</v>
      </c>
    </row>
    <row r="9" spans="2:15" ht="18.75" x14ac:dyDescent="0.25">
      <c r="B9" s="14" t="s">
        <v>163</v>
      </c>
      <c r="C9" s="15">
        <f>ROUND(C6/ (C7+ C7), 2)</f>
        <v>0.13</v>
      </c>
      <c r="D9" s="15">
        <f t="shared" ref="D9:G9" si="0">ROUND(D6/ (D7+ D7), 2)</f>
        <v>0.12</v>
      </c>
      <c r="E9" s="15">
        <f t="shared" si="0"/>
        <v>0.06</v>
      </c>
      <c r="F9" s="15">
        <f t="shared" si="0"/>
        <v>0.17</v>
      </c>
      <c r="G9" s="15">
        <f t="shared" si="0"/>
        <v>0.36</v>
      </c>
    </row>
  </sheetData>
  <mergeCells count="1">
    <mergeCell ref="B5:G5"/>
  </mergeCells>
  <hyperlinks>
    <hyperlink ref="F1" location="Index_Data!A1" tooltip="Hi click here To return Index page" display="Index_Data!A1" xr:uid="{CD14FEEC-743A-406F-A668-2C110DB34204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2665F-5C51-4862-9007-4186D990907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26214.660370650119</v>
      </c>
      <c r="D6" s="13">
        <f>Income_Statement!D49</f>
        <v>10793.439181932263</v>
      </c>
      <c r="E6" s="13">
        <f>Income_Statement!E49</f>
        <v>5815.9424703297627</v>
      </c>
      <c r="F6" s="13">
        <f>Income_Statement!F49</f>
        <v>15664.735788548152</v>
      </c>
      <c r="G6" s="13">
        <f>Income_Statement!G49</f>
        <v>44294.003238972247</v>
      </c>
    </row>
    <row r="7" spans="2:15" ht="18.75" x14ac:dyDescent="0.25">
      <c r="B7" s="12" t="str">
        <f>Balance_Sheet!B13</f>
        <v>Net Worth</v>
      </c>
      <c r="C7" s="13">
        <f>Balance_Sheet!C13</f>
        <v>58595.6</v>
      </c>
      <c r="D7" s="13">
        <f>Balance_Sheet!D13</f>
        <v>68019.659181932264</v>
      </c>
      <c r="E7" s="13">
        <f>Balance_Sheet!E13</f>
        <v>72050.081652262015</v>
      </c>
      <c r="F7" s="13">
        <f>Balance_Sheet!F13</f>
        <v>86622.727440810166</v>
      </c>
      <c r="G7" s="13">
        <f>Balance_Sheet!G13</f>
        <v>127936.17067978242</v>
      </c>
    </row>
    <row r="8" spans="2:15" ht="18.75" x14ac:dyDescent="0.25">
      <c r="B8" s="14" t="s">
        <v>165</v>
      </c>
      <c r="C8" s="15">
        <f>ROUND(C6/ (C7+ C7), 2)</f>
        <v>0.22</v>
      </c>
      <c r="D8" s="15">
        <f t="shared" ref="D8:G8" si="0">ROUND(D6/ (D7+ D7), 2)</f>
        <v>0.08</v>
      </c>
      <c r="E8" s="15">
        <f t="shared" si="0"/>
        <v>0.04</v>
      </c>
      <c r="F8" s="15">
        <f t="shared" si="0"/>
        <v>0.09</v>
      </c>
      <c r="G8" s="15">
        <f t="shared" si="0"/>
        <v>0.17</v>
      </c>
    </row>
  </sheetData>
  <mergeCells count="1">
    <mergeCell ref="B5:G5"/>
  </mergeCells>
  <hyperlinks>
    <hyperlink ref="F1" location="Index_Data!A1" tooltip="Hi click here To return Index page" display="Index_Data!A1" xr:uid="{03224595-C9A2-4A46-84E4-A39C1DFF0EC5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BAE19-649C-4EDD-BA60-67629744789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99243.96</v>
      </c>
      <c r="D6" s="13">
        <f>Balance_Sheet!D21</f>
        <v>103604.7</v>
      </c>
      <c r="E6" s="13">
        <f>Balance_Sheet!E21</f>
        <v>122550.83</v>
      </c>
      <c r="F6" s="13">
        <f>Balance_Sheet!F21</f>
        <v>89908.4</v>
      </c>
      <c r="G6" s="13">
        <f>Balance_Sheet!G21</f>
        <v>81154.459999999992</v>
      </c>
    </row>
    <row r="7" spans="2:15" ht="18.75" x14ac:dyDescent="0.25">
      <c r="B7" s="12" t="str">
        <f>Balance_Sheet!B13</f>
        <v>Net Worth</v>
      </c>
      <c r="C7" s="13">
        <f>Balance_Sheet!C13</f>
        <v>58595.6</v>
      </c>
      <c r="D7" s="13">
        <f>Balance_Sheet!D13</f>
        <v>68019.659181932264</v>
      </c>
      <c r="E7" s="13">
        <f>Balance_Sheet!E13</f>
        <v>72050.081652262015</v>
      </c>
      <c r="F7" s="13">
        <f>Balance_Sheet!F13</f>
        <v>86622.727440810166</v>
      </c>
      <c r="G7" s="13">
        <f>Balance_Sheet!G13</f>
        <v>127936.17067978242</v>
      </c>
    </row>
    <row r="8" spans="2:15" ht="18.75" x14ac:dyDescent="0.25">
      <c r="B8" s="14" t="s">
        <v>167</v>
      </c>
      <c r="C8" s="14">
        <f>ROUND(C6/ C7, 2)</f>
        <v>1.69</v>
      </c>
      <c r="D8" s="14">
        <f t="shared" ref="D8:G8" si="0">ROUND(D6/ D7, 2)</f>
        <v>1.52</v>
      </c>
      <c r="E8" s="14">
        <f t="shared" si="0"/>
        <v>1.7</v>
      </c>
      <c r="F8" s="14">
        <f t="shared" si="0"/>
        <v>1.04</v>
      </c>
      <c r="G8" s="14">
        <f t="shared" si="0"/>
        <v>0.63</v>
      </c>
    </row>
  </sheetData>
  <mergeCells count="1">
    <mergeCell ref="B5:G5"/>
  </mergeCells>
  <hyperlinks>
    <hyperlink ref="F1" location="Index_Data!A1" tooltip="Hi click here To return Index page" display="Index_Data!A1" xr:uid="{96DE3112-1C65-49F5-BB5A-A96AE7C1B0F3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79FC3-D5CF-4AAC-A77E-99672B6E9E5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79139.170000000013</v>
      </c>
      <c r="D6" s="13">
        <f>Balance_Sheet!D72</f>
        <v>95878.829181932262</v>
      </c>
      <c r="E6" s="13">
        <f>Balance_Sheet!E72</f>
        <v>109299.36165226201</v>
      </c>
      <c r="F6" s="13">
        <f>Balance_Sheet!F72</f>
        <v>122913.14744081016</v>
      </c>
      <c r="G6" s="13">
        <f>Balance_Sheet!G72</f>
        <v>169978.64067978243</v>
      </c>
    </row>
    <row r="7" spans="2:15" ht="18.75" x14ac:dyDescent="0.25">
      <c r="B7" s="12" t="str">
        <f>Balance_Sheet!B33</f>
        <v>Total Current Liabilities</v>
      </c>
      <c r="C7" s="13">
        <f>Balance_Sheet!C33</f>
        <v>48706.84</v>
      </c>
      <c r="D7" s="13">
        <f>Balance_Sheet!D33</f>
        <v>58688.149999999994</v>
      </c>
      <c r="E7" s="13">
        <f>Balance_Sheet!E33</f>
        <v>51705.72</v>
      </c>
      <c r="F7" s="13">
        <f>Balance_Sheet!F33</f>
        <v>78070.359999999986</v>
      </c>
      <c r="G7" s="13">
        <f>Balance_Sheet!G33</f>
        <v>87192.68</v>
      </c>
    </row>
    <row r="8" spans="2:15" ht="18.75" x14ac:dyDescent="0.25">
      <c r="B8" s="14" t="s">
        <v>169</v>
      </c>
      <c r="C8" s="14">
        <f>ROUND(C6/ C7, 2)</f>
        <v>1.62</v>
      </c>
      <c r="D8" s="14">
        <f t="shared" ref="D8:G8" si="0">ROUND(D6/ D7, 2)</f>
        <v>1.63</v>
      </c>
      <c r="E8" s="14">
        <f t="shared" si="0"/>
        <v>2.11</v>
      </c>
      <c r="F8" s="14">
        <f t="shared" si="0"/>
        <v>1.57</v>
      </c>
      <c r="G8" s="14">
        <f t="shared" si="0"/>
        <v>1.95</v>
      </c>
    </row>
  </sheetData>
  <mergeCells count="1">
    <mergeCell ref="B5:G5"/>
  </mergeCells>
  <hyperlinks>
    <hyperlink ref="F1" location="Index_Data!A1" tooltip="Hi click here To return Index page" display="Index_Data!A1" xr:uid="{8C3DDF1F-3E2F-43C7-9543-FC232DECD4CC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84390-DC09-44DA-8607-8C2F83F1C12A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131741.49</v>
      </c>
      <c r="D5" s="2">
        <v>154691.84</v>
      </c>
      <c r="E5" s="2">
        <v>146106</v>
      </c>
      <c r="F5" s="2">
        <v>154719.28</v>
      </c>
      <c r="G5" s="2">
        <v>242326.87</v>
      </c>
      <c r="H5" t="s">
        <v>1</v>
      </c>
    </row>
    <row r="6" spans="1:15" x14ac:dyDescent="0.25">
      <c r="A6" t="s">
        <v>98</v>
      </c>
      <c r="B6" t="s">
        <v>98</v>
      </c>
      <c r="C6">
        <v>860.62</v>
      </c>
      <c r="D6">
        <v>0.21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130880.87</v>
      </c>
      <c r="D7" s="2">
        <v>154691.63</v>
      </c>
      <c r="E7" s="2">
        <v>146106</v>
      </c>
      <c r="F7" s="2">
        <v>154719.28</v>
      </c>
      <c r="G7" s="2">
        <v>242326.87</v>
      </c>
      <c r="H7" t="s">
        <v>1</v>
      </c>
    </row>
    <row r="8" spans="1:15" x14ac:dyDescent="0.25">
      <c r="B8" t="s">
        <v>58</v>
      </c>
      <c r="C8" s="2">
        <v>132155.75</v>
      </c>
      <c r="D8" s="2">
        <v>157668.78</v>
      </c>
      <c r="E8" s="2">
        <v>148971.71</v>
      </c>
      <c r="F8" s="2">
        <v>156477.4</v>
      </c>
      <c r="G8" s="2">
        <v>243959.17</v>
      </c>
      <c r="H8" t="s">
        <v>1</v>
      </c>
    </row>
    <row r="9" spans="1:15" x14ac:dyDescent="0.25">
      <c r="A9" t="s">
        <v>59</v>
      </c>
      <c r="B9" t="s">
        <v>59</v>
      </c>
      <c r="C9">
        <v>909.45</v>
      </c>
      <c r="D9">
        <v>1420.58</v>
      </c>
      <c r="E9" s="2">
        <v>1821.99</v>
      </c>
      <c r="F9" s="2">
        <v>895.6</v>
      </c>
      <c r="G9">
        <v>784.89</v>
      </c>
      <c r="H9" t="s">
        <v>1</v>
      </c>
    </row>
    <row r="10" spans="1:15" x14ac:dyDescent="0.25">
      <c r="B10" t="s">
        <v>60</v>
      </c>
      <c r="C10" s="2">
        <v>133065.20000000001</v>
      </c>
      <c r="D10" s="2">
        <v>159089.35999999999</v>
      </c>
      <c r="E10" s="2">
        <v>150793.70000000001</v>
      </c>
      <c r="F10" s="2">
        <v>157373</v>
      </c>
      <c r="G10" s="2">
        <v>244744.06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41205.43</v>
      </c>
      <c r="D12" s="2">
        <v>54309.07</v>
      </c>
      <c r="E12" s="2">
        <v>53592.83</v>
      </c>
      <c r="F12" s="2">
        <v>45292.49</v>
      </c>
      <c r="G12" s="2">
        <v>75763.7</v>
      </c>
      <c r="H12" t="s">
        <v>1</v>
      </c>
    </row>
    <row r="13" spans="1:15" x14ac:dyDescent="0.25">
      <c r="B13" t="s">
        <v>63</v>
      </c>
      <c r="C13" s="2">
        <v>11002.82</v>
      </c>
      <c r="D13" s="2">
        <v>6567.98</v>
      </c>
      <c r="E13" s="2">
        <v>10504.2</v>
      </c>
      <c r="F13" s="2">
        <v>9808.32</v>
      </c>
      <c r="G13" s="2">
        <v>15312.91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 s="2">
        <v>-43.68</v>
      </c>
      <c r="D15" s="2">
        <v>-96.71</v>
      </c>
      <c r="E15">
        <v>-490.05</v>
      </c>
      <c r="F15">
        <v>1516.77</v>
      </c>
      <c r="G15">
        <v>-7597.87</v>
      </c>
      <c r="H15" t="s">
        <v>1</v>
      </c>
    </row>
    <row r="16" spans="1:15" x14ac:dyDescent="0.25">
      <c r="A16" t="s">
        <v>99</v>
      </c>
      <c r="B16" t="s">
        <v>66</v>
      </c>
      <c r="C16" s="2">
        <v>17606.189999999999</v>
      </c>
      <c r="D16" s="2">
        <v>18758.87</v>
      </c>
      <c r="E16" s="2">
        <v>19152.23</v>
      </c>
      <c r="F16" s="2">
        <v>19908.810000000001</v>
      </c>
      <c r="G16" s="2">
        <v>23264.1</v>
      </c>
      <c r="H16" t="s">
        <v>1</v>
      </c>
    </row>
    <row r="17" spans="1:8" x14ac:dyDescent="0.25">
      <c r="A17" t="s">
        <v>100</v>
      </c>
      <c r="B17" t="s">
        <v>67</v>
      </c>
      <c r="C17" s="2">
        <v>5501.79</v>
      </c>
      <c r="D17" s="2">
        <v>7660.1</v>
      </c>
      <c r="E17" s="2">
        <v>7580.72</v>
      </c>
      <c r="F17" s="2">
        <v>7606.71</v>
      </c>
      <c r="G17" s="2">
        <v>5462.2</v>
      </c>
      <c r="H17" t="s">
        <v>1</v>
      </c>
    </row>
    <row r="18" spans="1:8" x14ac:dyDescent="0.25">
      <c r="A18" t="s">
        <v>101</v>
      </c>
      <c r="B18" t="s">
        <v>68</v>
      </c>
      <c r="C18" s="2">
        <v>5961.66</v>
      </c>
      <c r="D18" s="2">
        <v>7341.83</v>
      </c>
      <c r="E18" s="2">
        <v>8707.67</v>
      </c>
      <c r="F18" s="2">
        <v>9233.64</v>
      </c>
      <c r="G18" s="2">
        <v>9100.8700000000008</v>
      </c>
      <c r="H18" t="s">
        <v>1</v>
      </c>
    </row>
    <row r="19" spans="1:8" x14ac:dyDescent="0.25">
      <c r="A19" t="s">
        <v>99</v>
      </c>
      <c r="B19" t="s">
        <v>69</v>
      </c>
      <c r="C19" s="2">
        <v>41495.32</v>
      </c>
      <c r="D19" s="2">
        <v>50410.51</v>
      </c>
      <c r="E19" s="2">
        <v>50702.93</v>
      </c>
      <c r="F19" s="2">
        <v>51212.44</v>
      </c>
      <c r="G19" s="2">
        <v>76616.28</v>
      </c>
      <c r="H19" t="s">
        <v>1</v>
      </c>
    </row>
    <row r="20" spans="1:8" x14ac:dyDescent="0.25">
      <c r="B20" t="s">
        <v>70</v>
      </c>
      <c r="C20" s="2">
        <v>121728.67</v>
      </c>
      <c r="D20" s="2">
        <v>143287.37</v>
      </c>
      <c r="E20" s="2">
        <v>147432.53</v>
      </c>
      <c r="F20" s="2">
        <v>142813.49</v>
      </c>
      <c r="G20" s="2">
        <v>195032.29</v>
      </c>
      <c r="H20" t="s">
        <v>1</v>
      </c>
    </row>
    <row r="21" spans="1:8" x14ac:dyDescent="0.25">
      <c r="B21" t="s">
        <v>71</v>
      </c>
      <c r="C21" s="2">
        <v>11336.53</v>
      </c>
      <c r="D21" s="2">
        <v>15801.99</v>
      </c>
      <c r="E21" s="2">
        <v>3361.17</v>
      </c>
      <c r="F21" s="2">
        <v>14559.51</v>
      </c>
      <c r="G21" s="2">
        <v>49711.77</v>
      </c>
      <c r="H21" t="s">
        <v>1</v>
      </c>
    </row>
    <row r="22" spans="1:8" x14ac:dyDescent="0.25">
      <c r="A22" t="s">
        <v>102</v>
      </c>
      <c r="B22" t="s">
        <v>72</v>
      </c>
      <c r="C22">
        <v>9599.1200000000008</v>
      </c>
      <c r="D22" s="2">
        <v>-120.97</v>
      </c>
      <c r="E22" s="2">
        <v>-4929.58</v>
      </c>
      <c r="F22">
        <v>-1043.1600000000001</v>
      </c>
      <c r="G22" s="2">
        <v>-134.06</v>
      </c>
      <c r="H22" t="s">
        <v>1</v>
      </c>
    </row>
    <row r="23" spans="1:8" x14ac:dyDescent="0.25">
      <c r="B23" t="s">
        <v>73</v>
      </c>
      <c r="C23" s="2">
        <v>20935.650000000001</v>
      </c>
      <c r="D23" s="2">
        <v>15681.02</v>
      </c>
      <c r="E23" s="2">
        <v>-1568.41</v>
      </c>
      <c r="F23" s="2">
        <v>13516.35</v>
      </c>
      <c r="G23" s="2">
        <v>49577.71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2002.77</v>
      </c>
      <c r="D25" s="2">
        <v>6728.14</v>
      </c>
      <c r="E25" s="2">
        <v>2113.63</v>
      </c>
      <c r="F25" s="2">
        <v>4288.2700000000004</v>
      </c>
      <c r="G25" s="2">
        <v>7049.88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 s="2">
        <v>1402.62</v>
      </c>
      <c r="D27" s="2">
        <v>-9.7100000000000009</v>
      </c>
      <c r="E27" s="2">
        <v>-4666.53</v>
      </c>
      <c r="F27">
        <v>1365.63</v>
      </c>
      <c r="G27" s="2">
        <v>1427.67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3405.39</v>
      </c>
      <c r="D29" s="2">
        <v>6718.43</v>
      </c>
      <c r="E29" s="2">
        <v>-2552.9</v>
      </c>
      <c r="F29" s="2">
        <v>5653.9</v>
      </c>
      <c r="G29" s="2">
        <v>8477.5499999999993</v>
      </c>
      <c r="H29" t="s">
        <v>1</v>
      </c>
    </row>
    <row r="30" spans="1:8" x14ac:dyDescent="0.25">
      <c r="B30" t="s">
        <v>80</v>
      </c>
      <c r="C30" s="2">
        <v>17530.259999999998</v>
      </c>
      <c r="D30" s="2">
        <v>8962.59</v>
      </c>
      <c r="E30">
        <v>984.49</v>
      </c>
      <c r="F30" s="2">
        <v>7862.45</v>
      </c>
      <c r="G30" s="2">
        <v>41100.160000000003</v>
      </c>
      <c r="H30" t="s">
        <v>1</v>
      </c>
    </row>
    <row r="31" spans="1:8" x14ac:dyDescent="0.25">
      <c r="B31" t="s">
        <v>81</v>
      </c>
      <c r="C31" s="2">
        <v>17530.259999999998</v>
      </c>
      <c r="D31" s="2">
        <v>8962.59</v>
      </c>
      <c r="E31">
        <v>984.49</v>
      </c>
      <c r="F31" s="2">
        <v>7862.45</v>
      </c>
      <c r="G31" s="2">
        <v>41100.160000000003</v>
      </c>
      <c r="H31" t="s">
        <v>1</v>
      </c>
    </row>
    <row r="32" spans="1:8" x14ac:dyDescent="0.25">
      <c r="B32" t="s">
        <v>82</v>
      </c>
      <c r="C32" s="2">
        <v>17588.71</v>
      </c>
      <c r="D32" s="2">
        <v>8873.6299999999992</v>
      </c>
      <c r="E32">
        <v>984.49</v>
      </c>
      <c r="F32" s="2">
        <v>7862.45</v>
      </c>
      <c r="G32" s="2">
        <v>41100.160000000003</v>
      </c>
      <c r="H32" t="s">
        <v>1</v>
      </c>
    </row>
    <row r="33" spans="1:8" x14ac:dyDescent="0.25">
      <c r="B33" t="s">
        <v>10</v>
      </c>
      <c r="C33" s="2">
        <v>-4328.4799999999996</v>
      </c>
      <c r="D33">
        <v>1120</v>
      </c>
      <c r="E33">
        <v>384.08</v>
      </c>
      <c r="F33" s="2">
        <v>-699.57</v>
      </c>
      <c r="G33" s="2">
        <v>-1595.39</v>
      </c>
      <c r="H33" t="s">
        <v>1</v>
      </c>
    </row>
    <row r="34" spans="1:8" x14ac:dyDescent="0.25">
      <c r="B34" t="s">
        <v>83</v>
      </c>
      <c r="C34" s="2">
        <v>13434.33</v>
      </c>
      <c r="D34" s="2">
        <v>10218.33</v>
      </c>
      <c r="E34" s="2">
        <v>1556.54</v>
      </c>
      <c r="F34" s="2">
        <v>7490.22</v>
      </c>
      <c r="G34" s="2">
        <v>40153.93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128</v>
      </c>
      <c r="D37">
        <v>88</v>
      </c>
      <c r="E37">
        <v>12</v>
      </c>
      <c r="F37">
        <v>64</v>
      </c>
      <c r="G37">
        <v>332</v>
      </c>
      <c r="H37" t="s">
        <v>1</v>
      </c>
    </row>
    <row r="38" spans="1:8" x14ac:dyDescent="0.25">
      <c r="B38" t="s">
        <v>86</v>
      </c>
      <c r="C38">
        <v>128</v>
      </c>
      <c r="D38">
        <v>88</v>
      </c>
      <c r="E38">
        <v>12</v>
      </c>
      <c r="F38">
        <v>64</v>
      </c>
      <c r="G38">
        <v>332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 s="2">
        <v>1236.18</v>
      </c>
      <c r="D40" s="2">
        <v>1144.76</v>
      </c>
      <c r="E40" s="2">
        <v>1488.13</v>
      </c>
      <c r="F40" s="2">
        <v>1144.75</v>
      </c>
      <c r="G40" s="2">
        <v>3004.16</v>
      </c>
      <c r="H40" t="s">
        <v>1</v>
      </c>
    </row>
    <row r="41" spans="1:8" x14ac:dyDescent="0.25">
      <c r="A41" t="s">
        <v>104</v>
      </c>
      <c r="B41" t="s">
        <v>89</v>
      </c>
      <c r="C41">
        <v>95.47</v>
      </c>
      <c r="D41">
        <v>224.61</v>
      </c>
      <c r="E41">
        <v>297.39999999999998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0C514DFB-5CF0-4A77-9F7C-4235A96BBF9F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6115-C078-4EBF-B5C8-61627317D427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79139.170000000013</v>
      </c>
      <c r="D6" s="13">
        <f>Balance_Sheet!D72</f>
        <v>95878.829181932262</v>
      </c>
      <c r="E6" s="13">
        <f>Balance_Sheet!E72</f>
        <v>109299.36165226201</v>
      </c>
      <c r="F6" s="13">
        <f>Balance_Sheet!F72</f>
        <v>122913.14744081016</v>
      </c>
      <c r="G6" s="13">
        <f>Balance_Sheet!G72</f>
        <v>169978.64067978243</v>
      </c>
    </row>
    <row r="7" spans="2:15" ht="18.75" x14ac:dyDescent="0.25">
      <c r="B7" s="12" t="str">
        <f>Balance_Sheet!B66</f>
        <v>Inventories</v>
      </c>
      <c r="C7" s="13">
        <f>Balance_Sheet!C66</f>
        <v>28331.040000000001</v>
      </c>
      <c r="D7" s="13">
        <f>Balance_Sheet!D66</f>
        <v>31656.1</v>
      </c>
      <c r="E7" s="13">
        <f>Balance_Sheet!E66</f>
        <v>31068.720000000001</v>
      </c>
      <c r="F7" s="13">
        <f>Balance_Sheet!F66</f>
        <v>33276.379999999997</v>
      </c>
      <c r="G7" s="13">
        <f>Balance_Sheet!G66</f>
        <v>48824.39</v>
      </c>
    </row>
    <row r="8" spans="2:15" ht="18.75" x14ac:dyDescent="0.25">
      <c r="B8" s="12" t="str">
        <f>Balance_Sheet!B33</f>
        <v>Total Current Liabilities</v>
      </c>
      <c r="C8" s="13">
        <f>Balance_Sheet!C33</f>
        <v>48706.84</v>
      </c>
      <c r="D8" s="13">
        <f>Balance_Sheet!D33</f>
        <v>58688.149999999994</v>
      </c>
      <c r="E8" s="13">
        <f>Balance_Sheet!E33</f>
        <v>51705.72</v>
      </c>
      <c r="F8" s="13">
        <f>Balance_Sheet!F33</f>
        <v>78070.359999999986</v>
      </c>
      <c r="G8" s="13">
        <f>Balance_Sheet!G33</f>
        <v>87192.68</v>
      </c>
    </row>
    <row r="9" spans="2:15" ht="18.75" x14ac:dyDescent="0.25">
      <c r="B9" s="14" t="s">
        <v>171</v>
      </c>
      <c r="C9" s="14">
        <f>ROUND((C6-C7)/ C8, 2)</f>
        <v>1.04</v>
      </c>
      <c r="D9" s="14">
        <f t="shared" ref="D9:G9" si="0">ROUND((D6-D7)/ D8, 2)</f>
        <v>1.0900000000000001</v>
      </c>
      <c r="E9" s="14">
        <f t="shared" si="0"/>
        <v>1.51</v>
      </c>
      <c r="F9" s="14">
        <f t="shared" si="0"/>
        <v>1.1499999999999999</v>
      </c>
      <c r="G9" s="14">
        <f t="shared" si="0"/>
        <v>1.39</v>
      </c>
    </row>
  </sheetData>
  <mergeCells count="1">
    <mergeCell ref="B5:G5"/>
  </mergeCells>
  <hyperlinks>
    <hyperlink ref="F1" location="Index_Data!A1" tooltip="Hi click here To return Index page" display="Index_Data!A1" xr:uid="{2431740E-C658-4DD0-BCF7-7129AEB25A6B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FECF-C592-4D65-8BC1-861ACB55621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25522.72037065012</v>
      </c>
      <c r="D6" s="13">
        <f>Income_Statement!D33</f>
        <v>25292.939181932263</v>
      </c>
      <c r="E6" s="13">
        <f>Income_Statement!E33</f>
        <v>15773.342470329762</v>
      </c>
      <c r="F6" s="13">
        <f>Income_Statement!F33</f>
        <v>29968.505788548151</v>
      </c>
      <c r="G6" s="13">
        <f>Income_Statement!G33</f>
        <v>58367.813238972238</v>
      </c>
    </row>
    <row r="7" spans="2:15" ht="18.75" x14ac:dyDescent="0.25">
      <c r="B7" s="12" t="str">
        <f>Income_Statement!B35</f>
        <v>Finance Costs</v>
      </c>
      <c r="C7" s="13">
        <f>Income_Statement!C35</f>
        <v>5501.79</v>
      </c>
      <c r="D7" s="13">
        <f>Income_Statement!D35</f>
        <v>7660.1</v>
      </c>
      <c r="E7" s="13">
        <f>Income_Statement!E35</f>
        <v>7580.72</v>
      </c>
      <c r="F7" s="13">
        <f>Income_Statement!F35</f>
        <v>7606.71</v>
      </c>
      <c r="G7" s="13">
        <f>Income_Statement!G35</f>
        <v>5462.2</v>
      </c>
    </row>
    <row r="8" spans="2:15" ht="18.75" x14ac:dyDescent="0.25">
      <c r="B8" s="14" t="s">
        <v>173</v>
      </c>
      <c r="C8" s="14">
        <f>ROUND(C6/C7, 2)</f>
        <v>4.6399999999999997</v>
      </c>
      <c r="D8" s="14">
        <f t="shared" ref="D8:G8" si="0">ROUND(D6/D7, 2)</f>
        <v>3.3</v>
      </c>
      <c r="E8" s="14">
        <f t="shared" si="0"/>
        <v>2.08</v>
      </c>
      <c r="F8" s="14">
        <f t="shared" si="0"/>
        <v>3.94</v>
      </c>
      <c r="G8" s="14">
        <f t="shared" si="0"/>
        <v>10.69</v>
      </c>
    </row>
  </sheetData>
  <mergeCells count="1">
    <mergeCell ref="B5:G5"/>
  </mergeCells>
  <hyperlinks>
    <hyperlink ref="F1" location="Index_Data!A1" tooltip="Hi click here To return Index page" display="Index_Data!A1" xr:uid="{3A0260D1-F91E-4AEF-BDF3-57F1563770BB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F67EA-7106-4E40-A15A-229B0BB1F85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41205.43</v>
      </c>
      <c r="D6" s="13">
        <f>Income_Statement!D17</f>
        <v>54309.07</v>
      </c>
      <c r="E6" s="13">
        <f>Income_Statement!E17</f>
        <v>53592.83</v>
      </c>
      <c r="F6" s="13">
        <f>Income_Statement!F17</f>
        <v>45292.49</v>
      </c>
      <c r="G6" s="13">
        <f>Income_Statement!G17</f>
        <v>75763.7</v>
      </c>
    </row>
    <row r="7" spans="2:15" ht="18.75" x14ac:dyDescent="0.25">
      <c r="B7" s="12" t="str">
        <f>Income_Statement!B9</f>
        <v>Net Sales</v>
      </c>
      <c r="C7" s="13">
        <f>Income_Statement!C9</f>
        <v>130880.87</v>
      </c>
      <c r="D7" s="13">
        <f>Income_Statement!D9</f>
        <v>154691.63</v>
      </c>
      <c r="E7" s="13">
        <f>Income_Statement!E9</f>
        <v>146106</v>
      </c>
      <c r="F7" s="13">
        <f>Income_Statement!F9</f>
        <v>154719.28</v>
      </c>
      <c r="G7" s="13">
        <f>Income_Statement!G9</f>
        <v>242326.87</v>
      </c>
    </row>
    <row r="8" spans="2:15" ht="18.75" x14ac:dyDescent="0.25">
      <c r="B8" s="14" t="s">
        <v>175</v>
      </c>
      <c r="C8" s="14">
        <f>ROUND(C6/C7, 2)</f>
        <v>0.31</v>
      </c>
      <c r="D8" s="14">
        <f t="shared" ref="D8:G8" si="0">ROUND(D6/D7, 2)</f>
        <v>0.35</v>
      </c>
      <c r="E8" s="14">
        <f t="shared" si="0"/>
        <v>0.37</v>
      </c>
      <c r="F8" s="14">
        <f t="shared" si="0"/>
        <v>0.28999999999999998</v>
      </c>
      <c r="G8" s="14">
        <f t="shared" si="0"/>
        <v>0.31</v>
      </c>
    </row>
  </sheetData>
  <mergeCells count="1">
    <mergeCell ref="B5:G5"/>
  </mergeCells>
  <hyperlinks>
    <hyperlink ref="F1" location="Index_Data!A1" tooltip="Hi click here To return Index page" display="Index_Data!A1" xr:uid="{08E6A6DD-D9A8-40BA-B9CA-AF5B205C80E8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04AE3-C88E-4401-BE63-BD2AF097D66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7937.85</v>
      </c>
      <c r="D6" s="13">
        <f>Balance_Sheet!D70</f>
        <v>14459.099181932252</v>
      </c>
      <c r="E6" s="13">
        <f>Balance_Sheet!E70</f>
        <v>27267.301652262016</v>
      </c>
      <c r="F6" s="13">
        <f>Balance_Sheet!F70</f>
        <v>48672.627440810167</v>
      </c>
      <c r="G6" s="13">
        <f>Balance_Sheet!G70</f>
        <v>68905.200679782414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41205.43</v>
      </c>
      <c r="D7" s="13">
        <f>Income_Statement!D17</f>
        <v>54309.07</v>
      </c>
      <c r="E7" s="13">
        <f>Income_Statement!E17</f>
        <v>53592.83</v>
      </c>
      <c r="F7" s="13">
        <f>Income_Statement!F17</f>
        <v>45292.49</v>
      </c>
      <c r="G7" s="13">
        <f>Income_Statement!G17</f>
        <v>75763.7</v>
      </c>
    </row>
    <row r="8" spans="2:15" ht="18.75" x14ac:dyDescent="0.25">
      <c r="B8" s="14" t="s">
        <v>177</v>
      </c>
      <c r="C8" s="14">
        <f>ROUND(C6/C7*365, 2)</f>
        <v>70.31</v>
      </c>
      <c r="D8" s="14">
        <f t="shared" ref="D8:G8" si="0">ROUND(D6/D7*365, 2)</f>
        <v>97.18</v>
      </c>
      <c r="E8" s="14">
        <f t="shared" si="0"/>
        <v>185.71</v>
      </c>
      <c r="F8" s="14">
        <f t="shared" si="0"/>
        <v>392.24</v>
      </c>
      <c r="G8" s="14">
        <f t="shared" si="0"/>
        <v>331.96</v>
      </c>
    </row>
  </sheetData>
  <mergeCells count="1">
    <mergeCell ref="B5:G5"/>
  </mergeCells>
  <hyperlinks>
    <hyperlink ref="F1" location="Index_Data!A1" tooltip="Hi click here To return Index page" display="Index_Data!A1" xr:uid="{E8A554DB-EFB2-4D70-8797-70A7DE3E7E85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39D0E-BEAC-4A56-9038-EF9D04D97ED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5" width="14" bestFit="1" customWidth="1"/>
    <col min="6" max="6" width="13.140625" bestFit="1" customWidth="1"/>
    <col min="7" max="7" width="14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7937.85</v>
      </c>
      <c r="D6" s="13">
        <f>Balance_Sheet!D70</f>
        <v>14459.099181932252</v>
      </c>
      <c r="E6" s="13">
        <f>Balance_Sheet!E70</f>
        <v>27267.301652262016</v>
      </c>
      <c r="F6" s="13">
        <f>Balance_Sheet!F70</f>
        <v>48672.627440810167</v>
      </c>
      <c r="G6" s="13">
        <f>Balance_Sheet!G70</f>
        <v>68905.200679782414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7937.85</v>
      </c>
      <c r="D8" s="14">
        <f t="shared" ref="D8:G8" si="0">ROUND(D6/D7*365, 2)</f>
        <v>14459.1</v>
      </c>
      <c r="E8" s="14">
        <f t="shared" si="0"/>
        <v>27267.3</v>
      </c>
      <c r="F8" s="14">
        <f t="shared" si="0"/>
        <v>48672.63</v>
      </c>
      <c r="G8" s="14">
        <f t="shared" si="0"/>
        <v>68905.2</v>
      </c>
    </row>
  </sheetData>
  <mergeCells count="1">
    <mergeCell ref="B5:G5"/>
  </mergeCells>
  <hyperlinks>
    <hyperlink ref="F1" location="Index_Data!A1" tooltip="Hi click here To return Index page" display="Index_Data!A1" xr:uid="{C351E4F6-C22B-497A-818F-19FA75FAB18B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E5448-FEAE-4190-9FF8-C0C0A33FD2E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Balance_Sheet!B74</f>
        <v>Total Assets</v>
      </c>
      <c r="C7" s="13">
        <f>Balance_Sheet!C74</f>
        <v>207482.92</v>
      </c>
      <c r="D7" s="13">
        <f>Balance_Sheet!D74</f>
        <v>232676.96918193228</v>
      </c>
      <c r="E7" s="13">
        <f>Balance_Sheet!E74</f>
        <v>248893.23165226201</v>
      </c>
      <c r="F7" s="13">
        <f>Balance_Sheet!F74</f>
        <v>257871.16744081015</v>
      </c>
      <c r="G7" s="13">
        <f>Balance_Sheet!G74</f>
        <v>298938.7306797824</v>
      </c>
    </row>
    <row r="8" spans="2:15" ht="18.75" x14ac:dyDescent="0.25">
      <c r="B8" s="14" t="s">
        <v>182</v>
      </c>
      <c r="C8" s="14">
        <f>ROUND(C6/C7, 2)</f>
        <v>0.63</v>
      </c>
      <c r="D8" s="14">
        <f t="shared" ref="D8:G8" si="0">ROUND(D6/D7, 2)</f>
        <v>0.66</v>
      </c>
      <c r="E8" s="14">
        <f t="shared" si="0"/>
        <v>0.59</v>
      </c>
      <c r="F8" s="14">
        <f t="shared" si="0"/>
        <v>0.6</v>
      </c>
      <c r="G8" s="14">
        <f t="shared" si="0"/>
        <v>0.81</v>
      </c>
    </row>
  </sheetData>
  <mergeCells count="1">
    <mergeCell ref="B5:G5"/>
  </mergeCells>
  <hyperlinks>
    <hyperlink ref="F1" location="Index_Data!A1" tooltip="Hi click here To return Index page" display="Index_Data!A1" xr:uid="{AF6CCD99-2425-44EC-9ACB-1EF965148202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5A97-977D-4FE3-A5F2-748A37B9ECE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Balance_Sheet!B66</f>
        <v>Inventories</v>
      </c>
      <c r="C7" s="13">
        <f>Balance_Sheet!C66</f>
        <v>28331.040000000001</v>
      </c>
      <c r="D7" s="13">
        <f>Balance_Sheet!D66</f>
        <v>31656.1</v>
      </c>
      <c r="E7" s="13">
        <f>Balance_Sheet!E66</f>
        <v>31068.720000000001</v>
      </c>
      <c r="F7" s="13">
        <f>Balance_Sheet!F66</f>
        <v>33276.379999999997</v>
      </c>
      <c r="G7" s="13">
        <f>Balance_Sheet!G66</f>
        <v>48824.39</v>
      </c>
    </row>
    <row r="8" spans="2:15" ht="18.75" x14ac:dyDescent="0.25">
      <c r="B8" s="14" t="s">
        <v>184</v>
      </c>
      <c r="C8" s="14">
        <f>ROUND(C6/C7, 2)</f>
        <v>4.6500000000000004</v>
      </c>
      <c r="D8" s="14">
        <f t="shared" ref="D8:G8" si="0">ROUND(D6/D7, 2)</f>
        <v>4.8899999999999997</v>
      </c>
      <c r="E8" s="14">
        <f t="shared" si="0"/>
        <v>4.7</v>
      </c>
      <c r="F8" s="14">
        <f t="shared" si="0"/>
        <v>4.6500000000000004</v>
      </c>
      <c r="G8" s="14">
        <f t="shared" si="0"/>
        <v>4.96</v>
      </c>
    </row>
  </sheetData>
  <mergeCells count="1">
    <mergeCell ref="B5:G5"/>
  </mergeCells>
  <hyperlinks>
    <hyperlink ref="F1" location="Index_Data!A1" tooltip="Hi click here To return Index page" display="Index_Data!A1" xr:uid="{09EF082B-C6E4-4497-AF6B-B5CC60328F0C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92A84-4FEB-4D15-AD68-F44EE3ACFCE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Balance_Sheet!B68</f>
        <v>Trade Receivables</v>
      </c>
      <c r="C7" s="13">
        <f>Balance_Sheet!C68</f>
        <v>12415.52</v>
      </c>
      <c r="D7" s="13">
        <f>Balance_Sheet!D68</f>
        <v>11811</v>
      </c>
      <c r="E7" s="13">
        <f>Balance_Sheet!E68</f>
        <v>7884.91</v>
      </c>
      <c r="F7" s="13">
        <f>Balance_Sheet!F68</f>
        <v>9539.84</v>
      </c>
      <c r="G7" s="13">
        <f>Balance_Sheet!G68</f>
        <v>12246.43</v>
      </c>
    </row>
    <row r="8" spans="2:15" ht="18.75" x14ac:dyDescent="0.25">
      <c r="B8" s="14" t="s">
        <v>186</v>
      </c>
      <c r="C8" s="14">
        <f>ROUND(C6/C7, 2)</f>
        <v>10.61</v>
      </c>
      <c r="D8" s="14">
        <f t="shared" ref="D8:G8" si="0">ROUND(D6/D7, 2)</f>
        <v>13.1</v>
      </c>
      <c r="E8" s="14">
        <f t="shared" si="0"/>
        <v>18.53</v>
      </c>
      <c r="F8" s="14">
        <f t="shared" si="0"/>
        <v>16.22</v>
      </c>
      <c r="G8" s="14">
        <f t="shared" si="0"/>
        <v>19.79</v>
      </c>
    </row>
  </sheetData>
  <mergeCells count="1">
    <mergeCell ref="B5:G5"/>
  </mergeCells>
  <hyperlinks>
    <hyperlink ref="F1" location="Index_Data!A1" tooltip="Hi click here To return Index page" display="Index_Data!A1" xr:uid="{00106EA6-27D7-4621-B046-FC2F1FF1F86B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98985-405D-4427-A98B-6D6E2DBF877F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Balance_Sheet!B40</f>
        <v>Tangible Assets</v>
      </c>
      <c r="C7" s="13">
        <f>Balance_Sheet!C40</f>
        <v>90322.78</v>
      </c>
      <c r="D7" s="13">
        <f>Balance_Sheet!D40</f>
        <v>118450.97</v>
      </c>
      <c r="E7" s="13">
        <f>Balance_Sheet!E40</f>
        <v>128053.75999999999</v>
      </c>
      <c r="F7" s="13">
        <f>Balance_Sheet!F40</f>
        <v>128454.45</v>
      </c>
      <c r="G7" s="13">
        <f>Balance_Sheet!G40</f>
        <v>124504.16</v>
      </c>
    </row>
    <row r="8" spans="2:15" ht="18.75" x14ac:dyDescent="0.25">
      <c r="B8" s="14" t="s">
        <v>188</v>
      </c>
      <c r="C8" s="14">
        <f>ROUND(C6/C7, 2)</f>
        <v>1.46</v>
      </c>
      <c r="D8" s="14">
        <f t="shared" ref="D8:G8" si="0">ROUND(D6/D7, 2)</f>
        <v>1.31</v>
      </c>
      <c r="E8" s="14">
        <f t="shared" si="0"/>
        <v>1.1399999999999999</v>
      </c>
      <c r="F8" s="14">
        <f t="shared" si="0"/>
        <v>1.2</v>
      </c>
      <c r="G8" s="14">
        <f t="shared" si="0"/>
        <v>1.95</v>
      </c>
    </row>
  </sheetData>
  <mergeCells count="1">
    <mergeCell ref="B5:G5"/>
  </mergeCells>
  <hyperlinks>
    <hyperlink ref="F1" location="Index_Data!A1" tooltip="Hi click here To return Index page" display="Index_Data!A1" xr:uid="{0040BE2B-27F1-4985-A39A-B6725FC6C5CC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356A4-3F4A-428B-91BD-6541F148A0A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41205.43</v>
      </c>
      <c r="D6" s="13">
        <f>Income_Statement!D17</f>
        <v>54309.07</v>
      </c>
      <c r="E6" s="13">
        <f>Income_Statement!E17</f>
        <v>53592.83</v>
      </c>
      <c r="F6" s="13">
        <f>Income_Statement!F17</f>
        <v>45292.49</v>
      </c>
      <c r="G6" s="13">
        <f>Income_Statement!G17</f>
        <v>75763.7</v>
      </c>
    </row>
    <row r="7" spans="2:15" ht="18.75" x14ac:dyDescent="0.25">
      <c r="B7" s="12" t="str">
        <f>Balance_Sheet!B33</f>
        <v>Total Current Liabilities</v>
      </c>
      <c r="C7" s="13">
        <f>Balance_Sheet!C33</f>
        <v>48706.84</v>
      </c>
      <c r="D7" s="13">
        <f>Balance_Sheet!D33</f>
        <v>58688.149999999994</v>
      </c>
      <c r="E7" s="13">
        <f>Balance_Sheet!E33</f>
        <v>51705.72</v>
      </c>
      <c r="F7" s="13">
        <f>Balance_Sheet!F33</f>
        <v>78070.359999999986</v>
      </c>
      <c r="G7" s="13">
        <f>Balance_Sheet!G33</f>
        <v>87192.68</v>
      </c>
    </row>
    <row r="8" spans="2:15" ht="18.75" x14ac:dyDescent="0.25">
      <c r="B8" s="14" t="s">
        <v>190</v>
      </c>
      <c r="C8" s="14">
        <f>ROUND(C6/C7, 2)</f>
        <v>0.85</v>
      </c>
      <c r="D8" s="14">
        <f t="shared" ref="D8:G8" si="0">ROUND(D6/D7, 2)</f>
        <v>0.93</v>
      </c>
      <c r="E8" s="14">
        <f t="shared" si="0"/>
        <v>1.04</v>
      </c>
      <c r="F8" s="14">
        <f t="shared" si="0"/>
        <v>0.57999999999999996</v>
      </c>
      <c r="G8" s="14">
        <f t="shared" si="0"/>
        <v>0.87</v>
      </c>
    </row>
  </sheetData>
  <mergeCells count="1">
    <mergeCell ref="B5:G5"/>
  </mergeCells>
  <hyperlinks>
    <hyperlink ref="F1" location="Index_Data!A1" tooltip="Hi click here To return Index page" display="Index_Data!A1" xr:uid="{D0BF42C1-F9BB-49F6-A7AE-5446F19BCC9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8C142-E36E-47A0-B97D-912682D721A2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373CC49B-A0C5-49A9-939D-8836E3384F94}"/>
    <hyperlink ref="A2" location="ISMInput!A1" tooltip="Hi click here to view the sheet" display="ISMInput!A1" xr:uid="{2E55178B-4A7D-4D53-8046-5AA31ABD9804}"/>
    <hyperlink ref="A4" location="Income_Statement!A1" tooltip="Hi click here to view the sheet" display="Income_Statement!A1" xr:uid="{5B7FDE22-3621-42FD-90D7-EA191162CBD9}"/>
    <hyperlink ref="A5" location="Balance_Sheet!A1" tooltip="Hi click here to view the sheet" display="Balance_Sheet!A1" xr:uid="{BFD483A5-62CA-4364-A960-5795196B9386}"/>
    <hyperlink ref="A6" location="CashFlow_Statement!A1" tooltip="Hi click here to view the sheet" display="CashFlow_Statement!A1" xr:uid="{CDCD859D-4192-4E92-9BE9-7228272D3E11}"/>
    <hyperlink ref="A7" location="Ratios!A1" tooltip="Hi click here to view the sheet" display="Ratios!A1" xr:uid="{2DC5B0BE-B82C-4984-9CD5-86695E2ADDFC}"/>
    <hyperlink ref="A8" location="Earning__Per_Share!A1" tooltip="Hi click here to view the sheet" display="Earning__Per_Share!A1" xr:uid="{33640127-4F47-4F73-94E5-16262DFF0ABC}"/>
    <hyperlink ref="A9" location="Equity_Dividend_Per_Share!A1" tooltip="Hi click here to view the sheet" display="Equity_Dividend_Per_Share!A1" xr:uid="{74472D2F-4885-4B78-9717-7764B791BC51}"/>
    <hyperlink ref="A10" location="Book_Value__Per_Share!A1" tooltip="Hi click here to view the sheet" display="Book_Value__Per_Share!A1" xr:uid="{2470863C-E182-4647-BD10-F3204C84DDEA}"/>
    <hyperlink ref="A11" location="Dividend_Pay_Out_Ratio!A1" tooltip="Hi click here to view the sheet" display="Dividend_Pay_Out_Ratio!A1" xr:uid="{56B9D62D-BC78-426F-A8DC-CDB15BF26984}"/>
    <hyperlink ref="A12" location="Dividend_Retention_Ratio!A1" tooltip="Hi click here to view the sheet" display="Dividend_Retention_Ratio!A1" xr:uid="{BE2DEDC4-957D-4757-91C1-BBC2599EFC85}"/>
    <hyperlink ref="A13" location="Gross_Profit!A1" tooltip="Hi click here to view the sheet" display="Gross_Profit!A1" xr:uid="{0B18AE4E-CF24-4EF7-9286-AC77955A8003}"/>
    <hyperlink ref="A14" location="Net_Profit!A1" tooltip="Hi click here to view the sheet" display="Net_Profit!A1" xr:uid="{2459DBCE-2446-4304-ABB9-63558347916D}"/>
    <hyperlink ref="A15" location="Return_On_Assets!A1" tooltip="Hi click here to view the sheet" display="Return_On_Assets!A1" xr:uid="{E217623D-3394-435B-8372-40FA320FFBC2}"/>
    <hyperlink ref="A16" location="Return_On_Capital_Employeed!A1" tooltip="Hi click here to view the sheet" display="Return_On_Capital_Employeed!A1" xr:uid="{FDA1770A-1C71-4912-B119-E36140C070C2}"/>
    <hyperlink ref="A17" location="Return_On_Equity!A1" tooltip="Hi click here to view the sheet" display="Return_On_Equity!A1" xr:uid="{E8F46476-958A-4279-A2DC-63AAE5B0F9C4}"/>
    <hyperlink ref="A18" location="Debt_Equity_Ratio!A1" tooltip="Hi click here to view the sheet" display="Debt_Equity_Ratio!A1" xr:uid="{E1CB507E-52E0-4542-8A69-9F77432F40F6}"/>
    <hyperlink ref="A19" location="Current_Ratio!A1" tooltip="Hi click here to view the sheet" display="Current_Ratio!A1" xr:uid="{290AF7B6-4BC8-4B72-8A8D-3845FEAE0309}"/>
    <hyperlink ref="A20" location="Quick_Ratio!A1" tooltip="Hi click here to view the sheet" display="Quick_Ratio!A1" xr:uid="{065285AF-CA95-4EDB-8133-4D1A2D1A4443}"/>
    <hyperlink ref="A21" location="Interest_Coverage_Ratio!A1" tooltip="Hi click here to view the sheet" display="Interest_Coverage_Ratio!A1" xr:uid="{2BCD3E37-8830-4A0C-BD98-D38EE0540CFC}"/>
    <hyperlink ref="A22" location="Material_Consumed!A1" tooltip="Hi click here to view the sheet" display="Material_Consumed!A1" xr:uid="{A1381F89-BD17-46C7-A7B2-6C154049E8F3}"/>
    <hyperlink ref="A23" location="Defensive_Interval_Ratio!A1" tooltip="Hi click here to view the sheet" display="Defensive_Interval_Ratio!A1" xr:uid="{87BE5F49-F4C2-48DB-A585-E968CA6727BD}"/>
    <hyperlink ref="A24" location="Purchases_Per_Day!A1" tooltip="Hi click here to view the sheet" display="Purchases_Per_Day!A1" xr:uid="{7AC0D56A-2F32-42F0-84AF-882F0C2E1D2B}"/>
    <hyperlink ref="A25" location="Asset_TurnOver_Ratio!A1" tooltip="Hi click here to view the sheet" display="Asset_TurnOver_Ratio!A1" xr:uid="{38F3CDE6-C5CF-4A98-8732-DFA65BD45C1C}"/>
    <hyperlink ref="A26" location="Inventory_TurnOver_Ratio!A1" tooltip="Hi click here to view the sheet" display="Inventory_TurnOver_Ratio!A1" xr:uid="{EE48BD17-DD97-4A3B-A690-0C55AEEA5F1C}"/>
    <hyperlink ref="A27" location="Debtors_TurnOver_Ratio!A1" tooltip="Hi click here to view the sheet" display="Debtors_TurnOver_Ratio!A1" xr:uid="{11F68167-E014-400E-811C-97F51B417921}"/>
    <hyperlink ref="A28" location="Fixed_Assets_TurnOver_Ratio!A1" tooltip="Hi click here to view the sheet" display="Fixed_Assets_TurnOver_Ratio!A1" xr:uid="{27CB8D72-EFBF-4C38-92FA-50C962B41C5B}"/>
    <hyperlink ref="A29" location="Payable_TurnOver_Ratio!A1" tooltip="Hi click here to view the sheet" display="Payable_TurnOver_Ratio!A1" xr:uid="{CD2AD0A7-4FBB-427C-8A80-958D3A630008}"/>
    <hyperlink ref="A30" location="Inventory_Days!A1" tooltip="Hi click here to view the sheet" display="Inventory_Days!A1" xr:uid="{0B7A449A-2B5C-43D1-8821-61CF32A77BC3}"/>
    <hyperlink ref="A31" location="Payable_Days!A1" tooltip="Hi click here to view the sheet" display="Payable_Days!A1" xr:uid="{CCBAE418-3A57-44D9-9355-8ECEA75699A9}"/>
    <hyperlink ref="A32" location="Receivable_Days!A1" tooltip="Hi click here to view the sheet" display="Receivable_Days!A1" xr:uid="{B30C466E-B5EF-49C7-A8AC-6F148CBF5775}"/>
    <hyperlink ref="A33" location="Operating_Cycle!A1" tooltip="Hi click here to view the sheet" display="Operating_Cycle!A1" xr:uid="{E45AD873-A7F8-4FAC-B689-3550C1D6FA1F}"/>
    <hyperlink ref="A34" location="Cash_Conversion_Cycle_Days!A1" tooltip="Hi click here to view the sheet" display="Cash_Conversion_Cycle_Days!A1" xr:uid="{3C7AA826-A07B-4C1A-84CD-739EE7C2CA82}"/>
    <hyperlink ref="A35" location="NetWorthVsTotalLiabilties!A1" tooltip="Hi click here to view the sheet" display="NetWorthVsTotalLiabilties!A1" xr:uid="{841382C2-9DB2-4040-AE32-4BB8ADB6B3A1}"/>
    <hyperlink ref="A36" location="PBDITvsPBIT!A1" tooltip="Hi click here to view the sheet" display="PBDITvsPBIT!A1" xr:uid="{82952DB1-8596-47E1-B292-84D45D6EE478}"/>
    <hyperlink ref="A37" location="CAvsCL!A1" tooltip="Hi click here to view the sheet" display="CAvsCL!A1" xr:uid="{0913E99B-4D04-4F54-AF69-56E44672E3AA}"/>
    <hyperlink ref="A38" location="Long_And_Short_Term_Provisions!A1" tooltip="Hi click here to view the sheet" display="Long_And_Short_Term_Provisions!A1" xr:uid="{3881F032-DEA8-4F84-A3CF-ABA5BE69BCE6}"/>
    <hyperlink ref="A39" location="MaterialConsumed_DirectExpenses!A1" tooltip="Hi click here to view the sheet" display="MaterialConsumed_DirectExpenses!A1" xr:uid="{7237877B-2C81-440E-AB58-AF23116963F9}"/>
    <hyperlink ref="A40" location="Gross_Sales_In_Total_Income!A1" tooltip="Hi click here to view the sheet" display="Gross_Sales_In_Total_Income!A1" xr:uid="{9BB5D139-660E-4AD2-A509-AD3BDA719A2C}"/>
    <hyperlink ref="A41" location="Total_Debt_In_Liabilities!A1" tooltip="Hi click here to view the sheet" display="Total_Debt_In_Liabilities!A1" xr:uid="{6E7BE2A6-6121-49BD-9E1F-57D696E6BAAD}"/>
    <hyperlink ref="A42" location="Total_CL_In_Liabilities!A1" tooltip="Hi click here to view the sheet" display="Total_CL_In_Liabilities!A1" xr:uid="{F182F4E0-8CB0-4086-A616-A5E2B3AFDDAC}"/>
    <hyperlink ref="A43" location="Total_NCA_In_Assets!A1" tooltip="Hi click here to view the sheet" display="Total_NCA_In_Assets!A1" xr:uid="{79B78254-424B-4CEA-A436-6098B69277D1}"/>
    <hyperlink ref="A44" location="Total_CA_In_Assets!A1" tooltip="Hi click here to view the sheet" display="Total_CA_In_Assets!A1" xr:uid="{8682520D-8E24-4B7F-8E00-40F768D33488}"/>
    <hyperlink ref="A45" location="TotalExpenditureVsTotalIncome!A1" tooltip="Hi click here to view the sheet" display="TotalExpenditureVsTotalIncome!A1" xr:uid="{5C9297B4-BF71-4784-91FA-3C1B64AD7D30}"/>
    <hyperlink ref="A46" location="Net_Profit_CF_To_Balance_Sheet!A1" tooltip="Hi click here to view the sheet" display="Net_Profit_CF_To_Balance_Sheet!A1" xr:uid="{08A34B05-6DC9-474D-A531-B8916C94E286}"/>
    <hyperlink ref="A47" location="BS_Backup!A1" tooltip="Hi click here to view the sheet" display="BS_Backup!A1" xr:uid="{7BCC35A1-34FA-40D2-81E2-9D0D0612F23C}"/>
    <hyperlink ref="A48" location="ISM_Backup!A1" tooltip="Hi click here to view the sheet" display="ISM_Backup!A1" xr:uid="{DE7980F0-ED8C-42CE-91F1-50BB97DF9315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DE926-1AB7-41F9-9A71-9335A51775B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Balance_Sheet!B66</f>
        <v>Inventories</v>
      </c>
      <c r="C7" s="13">
        <f>Balance_Sheet!C66</f>
        <v>28331.040000000001</v>
      </c>
      <c r="D7" s="13">
        <f>Balance_Sheet!D66</f>
        <v>31656.1</v>
      </c>
      <c r="E7" s="13">
        <f>Balance_Sheet!E66</f>
        <v>31068.720000000001</v>
      </c>
      <c r="F7" s="13">
        <f>Balance_Sheet!F66</f>
        <v>33276.379999999997</v>
      </c>
      <c r="G7" s="13">
        <f>Balance_Sheet!G66</f>
        <v>48824.39</v>
      </c>
    </row>
    <row r="8" spans="2:15" ht="18.75" x14ac:dyDescent="0.25">
      <c r="B8" s="14" t="s">
        <v>192</v>
      </c>
      <c r="C8" s="14">
        <f>ROUND(365/C6*C7, 2)</f>
        <v>78.489999999999995</v>
      </c>
      <c r="D8" s="14">
        <f t="shared" ref="D8:G8" si="0">ROUND(365/D6*D7, 2)</f>
        <v>74.69</v>
      </c>
      <c r="E8" s="14">
        <f t="shared" si="0"/>
        <v>77.62</v>
      </c>
      <c r="F8" s="14">
        <f t="shared" si="0"/>
        <v>78.5</v>
      </c>
      <c r="G8" s="14">
        <f t="shared" si="0"/>
        <v>73.540000000000006</v>
      </c>
    </row>
  </sheetData>
  <mergeCells count="1">
    <mergeCell ref="B5:G5"/>
  </mergeCells>
  <hyperlinks>
    <hyperlink ref="F1" location="Index_Data!A1" tooltip="Hi click here To return Index page" display="Index_Data!A1" xr:uid="{4E9A9587-E241-44E1-8184-49088172EE11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43591-EBD4-41E3-ACD5-36AFD7C07A3D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41205.43</v>
      </c>
      <c r="D6" s="13">
        <f>Income_Statement!D17</f>
        <v>54309.07</v>
      </c>
      <c r="E6" s="13">
        <f>Income_Statement!E17</f>
        <v>53592.83</v>
      </c>
      <c r="F6" s="13">
        <f>Income_Statement!F17</f>
        <v>45292.49</v>
      </c>
      <c r="G6" s="13">
        <f>Income_Statement!G17</f>
        <v>75763.7</v>
      </c>
    </row>
    <row r="7" spans="2:15" ht="18.75" x14ac:dyDescent="0.25">
      <c r="B7" s="12" t="str">
        <f>Balance_Sheet!B33</f>
        <v>Total Current Liabilities</v>
      </c>
      <c r="C7" s="13">
        <f>Balance_Sheet!C33</f>
        <v>48706.84</v>
      </c>
      <c r="D7" s="13">
        <f>Balance_Sheet!D33</f>
        <v>58688.149999999994</v>
      </c>
      <c r="E7" s="13">
        <f>Balance_Sheet!E33</f>
        <v>51705.72</v>
      </c>
      <c r="F7" s="13">
        <f>Balance_Sheet!F33</f>
        <v>78070.359999999986</v>
      </c>
      <c r="G7" s="13">
        <f>Balance_Sheet!G33</f>
        <v>87192.68</v>
      </c>
    </row>
    <row r="8" spans="2:15" ht="18.75" x14ac:dyDescent="0.25">
      <c r="B8" s="14" t="s">
        <v>194</v>
      </c>
      <c r="C8" s="14">
        <f>ROUND(365/C6*C7, 2)</f>
        <v>431.45</v>
      </c>
      <c r="D8" s="14">
        <f t="shared" ref="D8:G8" si="0">ROUND(365/D6*D7, 2)</f>
        <v>394.43</v>
      </c>
      <c r="E8" s="14">
        <f t="shared" si="0"/>
        <v>352.15</v>
      </c>
      <c r="F8" s="14">
        <f t="shared" si="0"/>
        <v>629.15</v>
      </c>
      <c r="G8" s="14">
        <f t="shared" si="0"/>
        <v>420.06</v>
      </c>
    </row>
  </sheetData>
  <mergeCells count="1">
    <mergeCell ref="B5:G5"/>
  </mergeCells>
  <hyperlinks>
    <hyperlink ref="F1" location="Index_Data!A1" tooltip="Hi click here To return Index page" display="Index_Data!A1" xr:uid="{30B70575-8EF2-47FE-B038-D5DB30864CF3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0566A-DB68-4B34-9D10-F5F3486A10C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Balance_Sheet!B68</f>
        <v>Trade Receivables</v>
      </c>
      <c r="C7" s="13">
        <f>Balance_Sheet!C68</f>
        <v>12415.52</v>
      </c>
      <c r="D7" s="13">
        <f>Balance_Sheet!D68</f>
        <v>11811</v>
      </c>
      <c r="E7" s="13">
        <f>Balance_Sheet!E68</f>
        <v>7884.91</v>
      </c>
      <c r="F7" s="13">
        <f>Balance_Sheet!F68</f>
        <v>9539.84</v>
      </c>
      <c r="G7" s="13">
        <f>Balance_Sheet!G68</f>
        <v>12246.43</v>
      </c>
    </row>
    <row r="8" spans="2:15" ht="18.75" x14ac:dyDescent="0.25">
      <c r="B8" s="14" t="s">
        <v>196</v>
      </c>
      <c r="C8" s="14">
        <f>ROUND(365/C6*C7, 2)</f>
        <v>34.4</v>
      </c>
      <c r="D8" s="14">
        <f t="shared" ref="D8:G8" si="0">ROUND(365/D6*D7, 2)</f>
        <v>27.87</v>
      </c>
      <c r="E8" s="14">
        <f t="shared" si="0"/>
        <v>19.7</v>
      </c>
      <c r="F8" s="14">
        <f t="shared" si="0"/>
        <v>22.51</v>
      </c>
      <c r="G8" s="14">
        <f t="shared" si="0"/>
        <v>18.45</v>
      </c>
    </row>
  </sheetData>
  <mergeCells count="1">
    <mergeCell ref="B5:G5"/>
  </mergeCells>
  <hyperlinks>
    <hyperlink ref="F1" location="Index_Data!A1" tooltip="Hi click here To return Index page" display="Index_Data!A1" xr:uid="{E17E51F5-657B-410F-8885-073377A60D25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AA0E9-DC47-41DE-83D6-F4A9840B3542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Balance_Sheet!B66</f>
        <v>Inventories</v>
      </c>
      <c r="C7" s="13">
        <f>Balance_Sheet!C66</f>
        <v>28331.040000000001</v>
      </c>
      <c r="D7" s="13">
        <f>Balance_Sheet!D66</f>
        <v>31656.1</v>
      </c>
      <c r="E7" s="13">
        <f>Balance_Sheet!E66</f>
        <v>31068.720000000001</v>
      </c>
      <c r="F7" s="13">
        <f>Balance_Sheet!F66</f>
        <v>33276.379999999997</v>
      </c>
      <c r="G7" s="13">
        <f>Balance_Sheet!G66</f>
        <v>48824.39</v>
      </c>
    </row>
    <row r="8" spans="2:15" ht="18.75" x14ac:dyDescent="0.25">
      <c r="B8" s="12" t="s">
        <v>192</v>
      </c>
      <c r="C8" s="13">
        <f>ROUND(365/C6*C7, 2)</f>
        <v>78.489999999999995</v>
      </c>
      <c r="D8" s="13">
        <f t="shared" ref="D8:G8" si="0">ROUND(365/D6*D7, 2)</f>
        <v>74.69</v>
      </c>
      <c r="E8" s="13">
        <f t="shared" si="0"/>
        <v>77.62</v>
      </c>
      <c r="F8" s="13">
        <f t="shared" si="0"/>
        <v>78.5</v>
      </c>
      <c r="G8" s="13">
        <f t="shared" si="0"/>
        <v>73.540000000000006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41205.43</v>
      </c>
      <c r="D9" s="13">
        <f>Income_Statement!D17</f>
        <v>54309.07</v>
      </c>
      <c r="E9" s="13">
        <f>Income_Statement!E17</f>
        <v>53592.83</v>
      </c>
      <c r="F9" s="13">
        <f>Income_Statement!F17</f>
        <v>45292.49</v>
      </c>
      <c r="G9" s="13">
        <f>Income_Statement!G17</f>
        <v>75763.7</v>
      </c>
    </row>
    <row r="10" spans="2:15" ht="18.75" x14ac:dyDescent="0.25">
      <c r="B10" s="12" t="str">
        <f>Balance_Sheet!B33</f>
        <v>Total Current Liabilities</v>
      </c>
      <c r="C10" s="13">
        <f>Balance_Sheet!C33</f>
        <v>48706.84</v>
      </c>
      <c r="D10" s="13">
        <f>Balance_Sheet!D33</f>
        <v>58688.149999999994</v>
      </c>
      <c r="E10" s="13">
        <f>Balance_Sheet!E33</f>
        <v>51705.72</v>
      </c>
      <c r="F10" s="13">
        <f>Balance_Sheet!F33</f>
        <v>78070.359999999986</v>
      </c>
      <c r="G10" s="13">
        <f>Balance_Sheet!G33</f>
        <v>87192.68</v>
      </c>
    </row>
    <row r="11" spans="2:15" ht="18.75" x14ac:dyDescent="0.25">
      <c r="B11" s="12" t="s">
        <v>194</v>
      </c>
      <c r="C11" s="13">
        <f>ROUND(365/C9*C10, 2)</f>
        <v>431.45</v>
      </c>
      <c r="D11" s="13">
        <f t="shared" ref="D11:G11" si="1">ROUND(365/D9*D10, 2)</f>
        <v>394.43</v>
      </c>
      <c r="E11" s="13">
        <f t="shared" si="1"/>
        <v>352.15</v>
      </c>
      <c r="F11" s="13">
        <f t="shared" si="1"/>
        <v>629.15</v>
      </c>
      <c r="G11" s="13">
        <f t="shared" si="1"/>
        <v>420.06</v>
      </c>
    </row>
    <row r="12" spans="2:15" ht="18.75" x14ac:dyDescent="0.25">
      <c r="B12" s="14" t="s">
        <v>198</v>
      </c>
      <c r="C12" s="16">
        <f>ROUND(C11+C8, 2)</f>
        <v>509.94</v>
      </c>
      <c r="D12" s="16">
        <f t="shared" ref="D12:G12" si="2">ROUND(D11+D8, 2)</f>
        <v>469.12</v>
      </c>
      <c r="E12" s="16">
        <f t="shared" si="2"/>
        <v>429.77</v>
      </c>
      <c r="F12" s="16">
        <f t="shared" si="2"/>
        <v>707.65</v>
      </c>
      <c r="G12" s="16">
        <f t="shared" si="2"/>
        <v>493.6</v>
      </c>
    </row>
  </sheetData>
  <mergeCells count="1">
    <mergeCell ref="B5:G5"/>
  </mergeCells>
  <hyperlinks>
    <hyperlink ref="F1" location="Index_Data!A1" tooltip="Hi click here To return Index page" display="Index_Data!A1" xr:uid="{B9289BBE-7A25-42B0-8971-B1D77476C570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DCB4-595A-4516-ABAB-5D69AF423B2C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131741.49</v>
      </c>
      <c r="D6" s="13">
        <f>Income_Statement!D5</f>
        <v>154691.84</v>
      </c>
      <c r="E6" s="13">
        <f>Income_Statement!E5</f>
        <v>146106</v>
      </c>
      <c r="F6" s="13">
        <f>Income_Statement!F5</f>
        <v>154719.28</v>
      </c>
      <c r="G6" s="13">
        <f>Income_Statement!G5</f>
        <v>242326.87</v>
      </c>
    </row>
    <row r="7" spans="2:15" ht="18.75" x14ac:dyDescent="0.25">
      <c r="B7" s="12" t="str">
        <f>Balance_Sheet!B66</f>
        <v>Inventories</v>
      </c>
      <c r="C7" s="13">
        <f>Balance_Sheet!C66</f>
        <v>28331.040000000001</v>
      </c>
      <c r="D7" s="13">
        <f>Balance_Sheet!D66</f>
        <v>31656.1</v>
      </c>
      <c r="E7" s="13">
        <f>Balance_Sheet!E66</f>
        <v>31068.720000000001</v>
      </c>
      <c r="F7" s="13">
        <f>Balance_Sheet!F66</f>
        <v>33276.379999999997</v>
      </c>
      <c r="G7" s="13">
        <f>Balance_Sheet!G66</f>
        <v>48824.39</v>
      </c>
    </row>
    <row r="8" spans="2:15" ht="18.75" x14ac:dyDescent="0.25">
      <c r="B8" s="12" t="s">
        <v>192</v>
      </c>
      <c r="C8" s="13">
        <f>ROUND(365/C6*C7, 2)</f>
        <v>78.489999999999995</v>
      </c>
      <c r="D8" s="13">
        <f t="shared" ref="D8:G8" si="0">ROUND(365/D6*D7, 2)</f>
        <v>74.69</v>
      </c>
      <c r="E8" s="13">
        <f t="shared" si="0"/>
        <v>77.62</v>
      </c>
      <c r="F8" s="13">
        <f t="shared" si="0"/>
        <v>78.5</v>
      </c>
      <c r="G8" s="13">
        <f t="shared" si="0"/>
        <v>73.540000000000006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41205.43</v>
      </c>
      <c r="D9" s="13">
        <f>Income_Statement!D17</f>
        <v>54309.07</v>
      </c>
      <c r="E9" s="13">
        <f>Income_Statement!E17</f>
        <v>53592.83</v>
      </c>
      <c r="F9" s="13">
        <f>Income_Statement!F17</f>
        <v>45292.49</v>
      </c>
      <c r="G9" s="13">
        <f>Income_Statement!G17</f>
        <v>75763.7</v>
      </c>
    </row>
    <row r="10" spans="2:15" ht="18.75" x14ac:dyDescent="0.25">
      <c r="B10" s="12" t="str">
        <f>Balance_Sheet!B33</f>
        <v>Total Current Liabilities</v>
      </c>
      <c r="C10" s="13">
        <f>Balance_Sheet!C33</f>
        <v>48706.84</v>
      </c>
      <c r="D10" s="13">
        <f>Balance_Sheet!D33</f>
        <v>58688.149999999994</v>
      </c>
      <c r="E10" s="13">
        <f>Balance_Sheet!E33</f>
        <v>51705.72</v>
      </c>
      <c r="F10" s="13">
        <f>Balance_Sheet!F33</f>
        <v>78070.359999999986</v>
      </c>
      <c r="G10" s="13">
        <f>Balance_Sheet!G33</f>
        <v>87192.68</v>
      </c>
    </row>
    <row r="11" spans="2:15" ht="18.75" x14ac:dyDescent="0.25">
      <c r="B11" s="12" t="s">
        <v>194</v>
      </c>
      <c r="C11" s="13">
        <f>ROUND(365/C9*C10, 2)</f>
        <v>431.45</v>
      </c>
      <c r="D11" s="13">
        <f t="shared" ref="D11:G11" si="1">ROUND(365/D9*D10, 2)</f>
        <v>394.43</v>
      </c>
      <c r="E11" s="13">
        <f t="shared" si="1"/>
        <v>352.15</v>
      </c>
      <c r="F11" s="13">
        <f t="shared" si="1"/>
        <v>629.15</v>
      </c>
      <c r="G11" s="13">
        <f t="shared" si="1"/>
        <v>420.06</v>
      </c>
    </row>
    <row r="12" spans="2:15" ht="18.75" x14ac:dyDescent="0.25">
      <c r="B12" s="12" t="s">
        <v>200</v>
      </c>
      <c r="C12" s="13">
        <f>ROUND(C11+C8, 2)</f>
        <v>509.94</v>
      </c>
      <c r="D12" s="13">
        <f t="shared" ref="D12:G12" si="2">ROUND(D11+D8, 2)</f>
        <v>469.12</v>
      </c>
      <c r="E12" s="13">
        <f t="shared" si="2"/>
        <v>429.77</v>
      </c>
      <c r="F12" s="13">
        <f t="shared" si="2"/>
        <v>707.65</v>
      </c>
      <c r="G12" s="13">
        <f t="shared" si="2"/>
        <v>493.6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41205.43</v>
      </c>
      <c r="D13" s="13">
        <f>Income_Statement!D17</f>
        <v>54309.07</v>
      </c>
      <c r="E13" s="13">
        <f>Income_Statement!E17</f>
        <v>53592.83</v>
      </c>
      <c r="F13" s="13">
        <f>Income_Statement!F17</f>
        <v>45292.49</v>
      </c>
      <c r="G13" s="13">
        <f>Income_Statement!G17</f>
        <v>75763.7</v>
      </c>
    </row>
    <row r="14" spans="2:15" ht="18.75" x14ac:dyDescent="0.25">
      <c r="B14" s="12" t="str">
        <f>Balance_Sheet!B33</f>
        <v>Total Current Liabilities</v>
      </c>
      <c r="C14" s="13">
        <f>Balance_Sheet!C33</f>
        <v>48706.84</v>
      </c>
      <c r="D14" s="13">
        <f>Balance_Sheet!D33</f>
        <v>58688.149999999994</v>
      </c>
      <c r="E14" s="13">
        <f>Balance_Sheet!E33</f>
        <v>51705.72</v>
      </c>
      <c r="F14" s="13">
        <f>Balance_Sheet!F33</f>
        <v>78070.359999999986</v>
      </c>
      <c r="G14" s="13">
        <f>Balance_Sheet!G33</f>
        <v>87192.68</v>
      </c>
    </row>
    <row r="15" spans="2:15" ht="18.75" x14ac:dyDescent="0.25">
      <c r="B15" s="12" t="s">
        <v>194</v>
      </c>
      <c r="C15" s="13">
        <f>ROUND(365/C13*C14, 2)</f>
        <v>431.45</v>
      </c>
      <c r="D15" s="13">
        <f t="shared" ref="D15:G15" si="3">ROUND(365/D13*D14, 2)</f>
        <v>394.43</v>
      </c>
      <c r="E15" s="13">
        <f t="shared" si="3"/>
        <v>352.15</v>
      </c>
      <c r="F15" s="13">
        <f t="shared" si="3"/>
        <v>629.15</v>
      </c>
      <c r="G15" s="13">
        <f t="shared" si="3"/>
        <v>420.06</v>
      </c>
    </row>
    <row r="16" spans="2:15" ht="18.75" x14ac:dyDescent="0.25">
      <c r="B16" s="14" t="s">
        <v>201</v>
      </c>
      <c r="C16" s="16">
        <f>ROUND(C15-C12, 2)</f>
        <v>-78.489999999999995</v>
      </c>
      <c r="D16" s="16">
        <f t="shared" ref="D16:G16" si="4">ROUND(D15-D12, 2)</f>
        <v>-74.69</v>
      </c>
      <c r="E16" s="16">
        <f t="shared" si="4"/>
        <v>-77.62</v>
      </c>
      <c r="F16" s="16">
        <f t="shared" si="4"/>
        <v>-78.5</v>
      </c>
      <c r="G16" s="16">
        <f t="shared" si="4"/>
        <v>-73.540000000000006</v>
      </c>
    </row>
  </sheetData>
  <mergeCells count="1">
    <mergeCell ref="B5:G5"/>
  </mergeCells>
  <hyperlinks>
    <hyperlink ref="F1" location="Index_Data!A1" tooltip="Hi click here To return Index page" display="Index_Data!A1" xr:uid="{82D35EB7-0B6E-494B-BDFB-A1C7F7EABFEF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A1023-4AC4-475C-A939-49FA5A1FD1E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58595.6</v>
      </c>
      <c r="D5" s="13">
        <f>Balance_Sheet!D13</f>
        <v>68019.659181932264</v>
      </c>
      <c r="E5" s="13">
        <f>Balance_Sheet!E13</f>
        <v>72050.081652262015</v>
      </c>
      <c r="F5" s="13">
        <f>Balance_Sheet!F13</f>
        <v>86622.727440810166</v>
      </c>
      <c r="G5" s="13">
        <f>Balance_Sheet!G13</f>
        <v>127936.17067978242</v>
      </c>
    </row>
    <row r="6" spans="2:15" ht="18.75" x14ac:dyDescent="0.25">
      <c r="B6" s="12" t="str">
        <f>Balance_Sheet!B37</f>
        <v>Total Liabilities</v>
      </c>
      <c r="C6" s="13">
        <f>Balance_Sheet!C37</f>
        <v>207482.91999999998</v>
      </c>
      <c r="D6" s="13">
        <f>Balance_Sheet!D37</f>
        <v>232676.96918193225</v>
      </c>
      <c r="E6" s="13">
        <f>Balance_Sheet!E37</f>
        <v>248893.23165226204</v>
      </c>
      <c r="F6" s="13">
        <f>Balance_Sheet!F37</f>
        <v>257871.16744081012</v>
      </c>
      <c r="G6" s="13">
        <f>Balance_Sheet!G37</f>
        <v>298938.7306797824</v>
      </c>
    </row>
  </sheetData>
  <hyperlinks>
    <hyperlink ref="F1" location="Index_Data!A1" tooltip="Hi click here To return Index page" display="Index_Data!A1" xr:uid="{CB6FE3ED-0E67-4044-B2E9-61DA6BC167D0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AB32-FA91-42A3-A044-74CD3C3E9EA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31484.38037065012</v>
      </c>
      <c r="D5" s="13">
        <f>Income_Statement!D29</f>
        <v>32634.769181932264</v>
      </c>
      <c r="E5" s="13">
        <f>Income_Statement!E29</f>
        <v>24481.012470329762</v>
      </c>
      <c r="F5" s="13">
        <f>Income_Statement!F29</f>
        <v>39202.14578854815</v>
      </c>
      <c r="G5" s="13">
        <f>Income_Statement!G29</f>
        <v>67468.68323897224</v>
      </c>
    </row>
    <row r="6" spans="2:15" ht="18.75" x14ac:dyDescent="0.25">
      <c r="B6" s="12" t="str">
        <f>Income_Statement!B33</f>
        <v>PBIT</v>
      </c>
      <c r="C6" s="13">
        <f>Income_Statement!C33</f>
        <v>25522.72037065012</v>
      </c>
      <c r="D6" s="13">
        <f>Income_Statement!D33</f>
        <v>25292.939181932263</v>
      </c>
      <c r="E6" s="13">
        <f>Income_Statement!E33</f>
        <v>15773.342470329762</v>
      </c>
      <c r="F6" s="13">
        <f>Income_Statement!F33</f>
        <v>29968.505788548151</v>
      </c>
      <c r="G6" s="13">
        <f>Income_Statement!G33</f>
        <v>58367.813238972238</v>
      </c>
    </row>
  </sheetData>
  <hyperlinks>
    <hyperlink ref="F1" location="Index_Data!A1" tooltip="Hi click here To return Index page" display="Index_Data!A1" xr:uid="{91541DB0-9A30-4DBF-86B4-2DA0CCAB2248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C6EE7-11A6-425D-9E7A-132FFA90042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79139.170000000013</v>
      </c>
      <c r="D5" s="13">
        <f>Balance_Sheet!D72</f>
        <v>95878.829181932262</v>
      </c>
      <c r="E5" s="13">
        <f>Balance_Sheet!E72</f>
        <v>109299.36165226201</v>
      </c>
      <c r="F5" s="13">
        <f>Balance_Sheet!F72</f>
        <v>122913.14744081016</v>
      </c>
      <c r="G5" s="13">
        <f>Balance_Sheet!G72</f>
        <v>169978.64067978243</v>
      </c>
    </row>
    <row r="6" spans="2:15" ht="18.75" x14ac:dyDescent="0.25">
      <c r="B6" s="12" t="str">
        <f>Balance_Sheet!B33</f>
        <v>Total Current Liabilities</v>
      </c>
      <c r="C6" s="13">
        <f>Balance_Sheet!C33</f>
        <v>48706.84</v>
      </c>
      <c r="D6" s="13">
        <f>Balance_Sheet!D33</f>
        <v>58688.149999999994</v>
      </c>
      <c r="E6" s="13">
        <f>Balance_Sheet!E33</f>
        <v>51705.72</v>
      </c>
      <c r="F6" s="13">
        <f>Balance_Sheet!F33</f>
        <v>78070.359999999986</v>
      </c>
      <c r="G6" s="13">
        <f>Balance_Sheet!G33</f>
        <v>87192.68</v>
      </c>
    </row>
  </sheetData>
  <hyperlinks>
    <hyperlink ref="F1" location="Index_Data!A1" tooltip="Hi click here To return Index page" display="Index_Data!A1" xr:uid="{1D6B3219-5E09-44CF-AC0B-BD3480546F3F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516C-00F7-4760-A9D0-3176598AA2C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4338.24</v>
      </c>
      <c r="D5" s="13">
        <f>Balance_Sheet!D23</f>
        <v>4046.21</v>
      </c>
      <c r="E5" s="13">
        <f>Balance_Sheet!E23</f>
        <v>4235.07</v>
      </c>
      <c r="F5" s="13">
        <f>Balance_Sheet!F23</f>
        <v>4691.92</v>
      </c>
      <c r="G5" s="13">
        <f>Balance_Sheet!G23</f>
        <v>4825.9799999999996</v>
      </c>
    </row>
    <row r="6" spans="2:15" ht="18.75" x14ac:dyDescent="0.25">
      <c r="B6" s="12" t="str">
        <f>Balance_Sheet!B25</f>
        <v>Short Term Provisions</v>
      </c>
      <c r="C6" s="13">
        <f>Balance_Sheet!C25</f>
        <v>1269.6400000000001</v>
      </c>
      <c r="D6" s="13">
        <f>Balance_Sheet!D25</f>
        <v>1248.72</v>
      </c>
      <c r="E6" s="13">
        <f>Balance_Sheet!E25</f>
        <v>1663.67</v>
      </c>
      <c r="F6" s="13">
        <f>Balance_Sheet!F25</f>
        <v>4725.32</v>
      </c>
      <c r="G6" s="13">
        <f>Balance_Sheet!G25</f>
        <v>2768.49</v>
      </c>
    </row>
  </sheetData>
  <hyperlinks>
    <hyperlink ref="F1" location="Index_Data!A1" tooltip="Hi click here To return Index page" display="Index_Data!A1" xr:uid="{2D3EBB15-F192-467F-80E0-833C31D1EA30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C657C-9192-4741-93A1-F7FB825008C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41205.43</v>
      </c>
      <c r="D5" s="13">
        <f>Income_Statement!D17</f>
        <v>54309.07</v>
      </c>
      <c r="E5" s="13">
        <f>Income_Statement!E17</f>
        <v>53592.83</v>
      </c>
      <c r="F5" s="13">
        <f>Income_Statement!F17</f>
        <v>45292.49</v>
      </c>
      <c r="G5" s="13">
        <f>Income_Statement!G17</f>
        <v>75763.7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1E0D0C5A-51F6-4FFA-848D-A1855A6E89B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B7E2-5C73-4DA2-B178-E5B8039AAFAF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3" width="18.85546875" bestFit="1" customWidth="1"/>
    <col min="4" max="4" width="17.140625" bestFit="1" customWidth="1"/>
    <col min="5" max="11" width="18.85546875" bestFit="1" customWidth="1"/>
    <col min="12" max="12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131741.49</v>
      </c>
      <c r="D5" s="5">
        <v>154691.84</v>
      </c>
      <c r="E5" s="5">
        <v>146106</v>
      </c>
      <c r="F5" s="5">
        <v>154719.28</v>
      </c>
      <c r="G5" s="5">
        <v>242326.87</v>
      </c>
      <c r="H5" s="24">
        <f>GROWTH(C5:G5,C4:G4,H4)</f>
        <v>233556.155254237</v>
      </c>
      <c r="I5" s="24">
        <f t="shared" ref="I5:L5" si="0">GROWTH(D5:H5,D4:H4,I4)</f>
        <v>270750.30856392032</v>
      </c>
      <c r="J5" s="24">
        <f t="shared" si="0"/>
        <v>332896.69036385237</v>
      </c>
      <c r="K5" s="24">
        <f t="shared" si="0"/>
        <v>392240.4640082455</v>
      </c>
      <c r="L5" s="24">
        <f t="shared" si="0"/>
        <v>428460.39625583822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860.62</v>
      </c>
      <c r="D7" s="4">
        <v>0.21</v>
      </c>
      <c r="E7" s="4">
        <v>0</v>
      </c>
      <c r="F7" s="4">
        <v>0</v>
      </c>
      <c r="G7" s="4">
        <v>0</v>
      </c>
      <c r="H7" s="26">
        <f>H5*H8</f>
        <v>0</v>
      </c>
      <c r="I7" s="26">
        <f t="shared" ref="I7:L7" si="1">I5*I8</f>
        <v>0</v>
      </c>
      <c r="J7" s="26">
        <f t="shared" si="1"/>
        <v>0</v>
      </c>
      <c r="K7" s="26">
        <f t="shared" si="1"/>
        <v>0</v>
      </c>
      <c r="L7" s="26">
        <f t="shared" si="1"/>
        <v>0</v>
      </c>
    </row>
    <row r="8" spans="2:15" x14ac:dyDescent="0.25">
      <c r="B8" s="17" t="s">
        <v>239</v>
      </c>
      <c r="C8" s="18">
        <f>C7/Income_Statement!C5</f>
        <v>6.532642070466943E-3</v>
      </c>
      <c r="D8" s="18">
        <f>D7/Income_Statement!D5</f>
        <v>1.3575376697309954E-6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130880.87</v>
      </c>
      <c r="D9" s="7">
        <f t="shared" ref="D9:L9" si="3">D5 - D7</f>
        <v>154691.63</v>
      </c>
      <c r="E9" s="7">
        <f t="shared" si="3"/>
        <v>146106</v>
      </c>
      <c r="F9" s="7">
        <f t="shared" si="3"/>
        <v>154719.28</v>
      </c>
      <c r="G9" s="7">
        <f t="shared" si="3"/>
        <v>242326.87</v>
      </c>
      <c r="H9" s="27">
        <f t="shared" si="3"/>
        <v>233556.155254237</v>
      </c>
      <c r="I9" s="27">
        <f t="shared" si="3"/>
        <v>270750.30856392032</v>
      </c>
      <c r="J9" s="27">
        <f t="shared" si="3"/>
        <v>332896.69036385237</v>
      </c>
      <c r="K9" s="27">
        <f t="shared" si="3"/>
        <v>392240.4640082455</v>
      </c>
      <c r="L9" s="27">
        <f t="shared" si="3"/>
        <v>428460.39625583822</v>
      </c>
    </row>
    <row r="10" spans="2:15" x14ac:dyDescent="0.25">
      <c r="B10" s="19" t="s">
        <v>240</v>
      </c>
      <c r="C10" s="21">
        <f>C9/Income_Statement!C5</f>
        <v>0.99346735792953311</v>
      </c>
      <c r="D10" s="21">
        <f>D9/Income_Statement!D5</f>
        <v>0.99999864246233028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29">
        <f>H9/Income_Statement!H5</f>
        <v>1</v>
      </c>
      <c r="I10" s="29">
        <f>I9/Income_Statement!I5</f>
        <v>1</v>
      </c>
      <c r="J10" s="29">
        <f>J9/Income_Statement!J5</f>
        <v>1</v>
      </c>
      <c r="K10" s="29">
        <f>K9/Income_Statement!K5</f>
        <v>1</v>
      </c>
      <c r="L10" s="29">
        <f>L9/Income_Statement!L5</f>
        <v>1</v>
      </c>
    </row>
    <row r="11" spans="2:15" ht="18.75" x14ac:dyDescent="0.25">
      <c r="B11" s="8" t="s">
        <v>59</v>
      </c>
      <c r="C11" s="4">
        <v>909.45</v>
      </c>
      <c r="D11" s="4">
        <v>1420.58</v>
      </c>
      <c r="E11" s="5">
        <v>1821.99</v>
      </c>
      <c r="F11" s="5">
        <v>895.6</v>
      </c>
      <c r="G11" s="4">
        <v>784.89</v>
      </c>
      <c r="H11" s="26">
        <f>H5*H12</f>
        <v>1612.3063842375389</v>
      </c>
      <c r="I11" s="26">
        <f t="shared" ref="I11:L11" si="4">I5*I12</f>
        <v>1869.0684925717583</v>
      </c>
      <c r="J11" s="26">
        <f t="shared" si="4"/>
        <v>2298.0831251521868</v>
      </c>
      <c r="K11" s="26">
        <f t="shared" si="4"/>
        <v>2707.7505347199194</v>
      </c>
      <c r="L11" s="26">
        <f t="shared" si="4"/>
        <v>2957.7873103975985</v>
      </c>
    </row>
    <row r="12" spans="2:15" x14ac:dyDescent="0.25">
      <c r="B12" s="17" t="s">
        <v>241</v>
      </c>
      <c r="C12" s="18">
        <f>C11/Income_Statement!C5</f>
        <v>6.9032921974694541E-3</v>
      </c>
      <c r="D12" s="18">
        <f>D11/Income_Statement!D5</f>
        <v>9.1832898231736081E-3</v>
      </c>
      <c r="E12" s="18">
        <f>E11/Income_Statement!E5</f>
        <v>1.2470329760584781E-2</v>
      </c>
      <c r="F12" s="18">
        <f>F11/Income_Statement!F5</f>
        <v>5.7885481369871943E-3</v>
      </c>
      <c r="G12" s="18">
        <f>G11/Income_Statement!G5</f>
        <v>3.238972219630452E-3</v>
      </c>
      <c r="H12" s="25">
        <f>MEDIAN(C12:G12)</f>
        <v>6.9032921974694541E-3</v>
      </c>
      <c r="I12" s="25">
        <f t="shared" ref="I12:L12" si="5">H12</f>
        <v>6.9032921974694541E-3</v>
      </c>
      <c r="J12" s="25">
        <f t="shared" si="5"/>
        <v>6.9032921974694541E-3</v>
      </c>
      <c r="K12" s="25">
        <f t="shared" si="5"/>
        <v>6.9032921974694541E-3</v>
      </c>
      <c r="L12" s="25">
        <f t="shared" si="5"/>
        <v>6.9032921974694541E-3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131791.32037065012</v>
      </c>
      <c r="D15" s="7">
        <f t="shared" ref="D15:L15" si="8">SUM(D9:D13)</f>
        <v>156113.21918193228</v>
      </c>
      <c r="E15" s="7">
        <f t="shared" si="8"/>
        <v>147929.00247032975</v>
      </c>
      <c r="F15" s="7">
        <f t="shared" si="8"/>
        <v>155615.88578854816</v>
      </c>
      <c r="G15" s="7">
        <f t="shared" si="8"/>
        <v>243112.76323897223</v>
      </c>
      <c r="H15" s="27">
        <f t="shared" si="8"/>
        <v>235169.46854176675</v>
      </c>
      <c r="I15" s="27">
        <f t="shared" si="8"/>
        <v>272620.38395978429</v>
      </c>
      <c r="J15" s="27">
        <f t="shared" si="8"/>
        <v>335195.78039229673</v>
      </c>
      <c r="K15" s="27">
        <f t="shared" si="8"/>
        <v>394949.22144625761</v>
      </c>
      <c r="L15" s="27">
        <f t="shared" si="8"/>
        <v>431419.19046952802</v>
      </c>
    </row>
    <row r="16" spans="2:15" x14ac:dyDescent="0.25">
      <c r="B16" s="19" t="s">
        <v>243</v>
      </c>
      <c r="C16" s="21">
        <f>C15/Income_Statement!C5</f>
        <v>1.0003782435635891</v>
      </c>
      <c r="D16" s="21">
        <f>D15/Income_Statement!D5</f>
        <v>1.0091884561068785</v>
      </c>
      <c r="E16" s="21">
        <f>E15/Income_Statement!E5</f>
        <v>1.0124772594577207</v>
      </c>
      <c r="F16" s="21">
        <f>F15/Income_Statement!F5</f>
        <v>1.0057950488688168</v>
      </c>
      <c r="G16" s="21">
        <f>G15/Income_Statement!G5</f>
        <v>1.0032431122432779</v>
      </c>
      <c r="H16" s="29">
        <f>H15/Income_Statement!H5</f>
        <v>1.0069076033803244</v>
      </c>
      <c r="I16" s="29">
        <f>I15/Income_Statement!I5</f>
        <v>1.0069070111342919</v>
      </c>
      <c r="J16" s="29">
        <f>J15/Income_Statement!J5</f>
        <v>1.0069063168694512</v>
      </c>
      <c r="K16" s="29">
        <f>K15/Income_Statement!K5</f>
        <v>1.0069058592536113</v>
      </c>
      <c r="L16" s="29">
        <f>L15/Income_Statement!L5</f>
        <v>1.0069056422473248</v>
      </c>
    </row>
    <row r="17" spans="2:12" ht="18.75" x14ac:dyDescent="0.25">
      <c r="B17" s="8" t="s">
        <v>62</v>
      </c>
      <c r="C17" s="5">
        <v>41205.43</v>
      </c>
      <c r="D17" s="5">
        <v>54309.07</v>
      </c>
      <c r="E17" s="5">
        <v>53592.83</v>
      </c>
      <c r="F17" s="5">
        <v>45292.49</v>
      </c>
      <c r="G17" s="5">
        <v>75763.7</v>
      </c>
      <c r="H17" s="24">
        <f>H5*H18</f>
        <v>73021.528647794767</v>
      </c>
      <c r="I17" s="24">
        <f t="shared" ref="I17:L17" si="9">I5*I18</f>
        <v>84650.312006028427</v>
      </c>
      <c r="J17" s="24">
        <f t="shared" si="9"/>
        <v>104080.43061720644</v>
      </c>
      <c r="K17" s="24">
        <f t="shared" si="9"/>
        <v>122634.31142811984</v>
      </c>
      <c r="L17" s="24">
        <f t="shared" si="9"/>
        <v>133958.50375077454</v>
      </c>
    </row>
    <row r="18" spans="2:12" x14ac:dyDescent="0.25">
      <c r="B18" s="17" t="s">
        <v>244</v>
      </c>
      <c r="C18" s="18">
        <f>C17/Income_Statement!C5</f>
        <v>0.31277488967219064</v>
      </c>
      <c r="D18" s="18">
        <f>D17/Income_Statement!D5</f>
        <v>0.35107908730027387</v>
      </c>
      <c r="E18" s="18">
        <f>E17/Income_Statement!E5</f>
        <v>0.36680786552229205</v>
      </c>
      <c r="F18" s="18">
        <f>F17/Income_Statement!F5</f>
        <v>0.29273979299800257</v>
      </c>
      <c r="G18" s="18">
        <f>G17/Income_Statement!G5</f>
        <v>0.31265084222810291</v>
      </c>
      <c r="H18" s="25">
        <f>G18</f>
        <v>0.31265084222810291</v>
      </c>
      <c r="I18" s="25">
        <f t="shared" ref="I18:L18" si="10">H18</f>
        <v>0.31265084222810291</v>
      </c>
      <c r="J18" s="25">
        <f t="shared" si="10"/>
        <v>0.31265084222810291</v>
      </c>
      <c r="K18" s="25">
        <f t="shared" si="10"/>
        <v>0.31265084222810291</v>
      </c>
      <c r="L18" s="25">
        <f t="shared" si="10"/>
        <v>0.31265084222810291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17606.189999999999</v>
      </c>
      <c r="D21" s="5">
        <v>18758.87</v>
      </c>
      <c r="E21" s="5">
        <v>19152.23</v>
      </c>
      <c r="F21" s="5">
        <v>19908.810000000001</v>
      </c>
      <c r="G21" s="5">
        <v>23264.1</v>
      </c>
      <c r="H21" s="24">
        <f>H5*H22</f>
        <v>22422.085307543875</v>
      </c>
      <c r="I21" s="24">
        <f t="shared" ref="I21:L21" si="13">I5*I22</f>
        <v>25992.834609970814</v>
      </c>
      <c r="J21" s="24">
        <f t="shared" si="13"/>
        <v>31959.072034783832</v>
      </c>
      <c r="K21" s="24">
        <f t="shared" si="13"/>
        <v>37656.250744022829</v>
      </c>
      <c r="L21" s="24">
        <f t="shared" si="13"/>
        <v>41133.471927960134</v>
      </c>
    </row>
    <row r="22" spans="2:12" x14ac:dyDescent="0.25">
      <c r="B22" s="17" t="s">
        <v>246</v>
      </c>
      <c r="C22" s="18">
        <f>C21/Income_Statement!C5</f>
        <v>0.13364195288819034</v>
      </c>
      <c r="D22" s="18">
        <f>D21/Income_Statement!D5</f>
        <v>0.12126606031707943</v>
      </c>
      <c r="E22" s="18">
        <f>E21/Income_Statement!E5</f>
        <v>0.13108448660561509</v>
      </c>
      <c r="F22" s="18">
        <f>F21/Income_Statement!F5</f>
        <v>0.12867698195079502</v>
      </c>
      <c r="G22" s="18">
        <f>G21/Income_Statement!G5</f>
        <v>9.6002973174208861E-2</v>
      </c>
      <c r="H22" s="25">
        <f>G22</f>
        <v>9.6002973174208861E-2</v>
      </c>
      <c r="I22" s="25">
        <f t="shared" ref="I22:L22" si="14">H22</f>
        <v>9.6002973174208861E-2</v>
      </c>
      <c r="J22" s="25">
        <f t="shared" si="14"/>
        <v>9.6002973174208861E-2</v>
      </c>
      <c r="K22" s="25">
        <f t="shared" si="14"/>
        <v>9.6002973174208861E-2</v>
      </c>
      <c r="L22" s="25">
        <f t="shared" si="14"/>
        <v>9.6002973174208861E-2</v>
      </c>
    </row>
    <row r="23" spans="2:12" ht="18.75" x14ac:dyDescent="0.25">
      <c r="B23" s="8" t="s">
        <v>69</v>
      </c>
      <c r="C23" s="5">
        <v>41495.32</v>
      </c>
      <c r="D23" s="5">
        <v>50410.51</v>
      </c>
      <c r="E23" s="5">
        <v>50702.93</v>
      </c>
      <c r="F23" s="5">
        <v>51212.44</v>
      </c>
      <c r="G23" s="5">
        <v>76616.28</v>
      </c>
      <c r="H23" s="24">
        <f>H5*H24</f>
        <v>76375.299779500798</v>
      </c>
      <c r="I23" s="24">
        <f t="shared" ref="I23:L23" si="15">I5*I24</f>
        <v>88538.176009328774</v>
      </c>
      <c r="J23" s="24">
        <f t="shared" si="15"/>
        <v>108860.69131625524</v>
      </c>
      <c r="K23" s="24">
        <f t="shared" si="15"/>
        <v>128266.7245128697</v>
      </c>
      <c r="L23" s="24">
        <f t="shared" si="15"/>
        <v>140111.02029001093</v>
      </c>
    </row>
    <row r="24" spans="2:12" x14ac:dyDescent="0.25">
      <c r="B24" s="17" t="s">
        <v>247</v>
      </c>
      <c r="C24" s="18">
        <f>C23/Income_Statement!C5</f>
        <v>0.31497533540876155</v>
      </c>
      <c r="D24" s="18">
        <f>D23/Income_Statement!D5</f>
        <v>0.32587698226357642</v>
      </c>
      <c r="E24" s="18">
        <f>E23/Income_Statement!E5</f>
        <v>0.34702839034673455</v>
      </c>
      <c r="F24" s="18">
        <f>F23/Income_Statement!F5</f>
        <v>0.33100231593632029</v>
      </c>
      <c r="G24" s="18">
        <f>G23/Income_Statement!G5</f>
        <v>0.31616914789515499</v>
      </c>
      <c r="H24" s="25">
        <f>AVERAGE(C24:G24)</f>
        <v>0.32701043437010957</v>
      </c>
      <c r="I24" s="25">
        <f t="shared" ref="I24:L24" si="16">H24</f>
        <v>0.32701043437010957</v>
      </c>
      <c r="J24" s="25">
        <f t="shared" si="16"/>
        <v>0.32701043437010957</v>
      </c>
      <c r="K24" s="25">
        <f t="shared" si="16"/>
        <v>0.32701043437010957</v>
      </c>
      <c r="L24" s="25">
        <f t="shared" si="16"/>
        <v>0.32701043437010957</v>
      </c>
    </row>
    <row r="25" spans="2:12" ht="18.75" x14ac:dyDescent="0.25">
      <c r="B25" s="9" t="s">
        <v>108</v>
      </c>
      <c r="C25" s="7">
        <f>C17+C19+C21+C23</f>
        <v>100306.94</v>
      </c>
      <c r="D25" s="7">
        <f t="shared" ref="D25:L25" si="17">D17+D19+D21+D23</f>
        <v>123478.45000000001</v>
      </c>
      <c r="E25" s="7">
        <f t="shared" si="17"/>
        <v>123447.98999999999</v>
      </c>
      <c r="F25" s="7">
        <f t="shared" si="17"/>
        <v>116413.74</v>
      </c>
      <c r="G25" s="7">
        <f t="shared" si="17"/>
        <v>175644.08</v>
      </c>
      <c r="H25" s="27">
        <f t="shared" si="17"/>
        <v>171818.91373483944</v>
      </c>
      <c r="I25" s="27">
        <f t="shared" si="17"/>
        <v>199181.32262532803</v>
      </c>
      <c r="J25" s="27">
        <f t="shared" si="17"/>
        <v>244900.19396824553</v>
      </c>
      <c r="K25" s="27">
        <f t="shared" si="17"/>
        <v>288557.2866850124</v>
      </c>
      <c r="L25" s="27">
        <f t="shared" si="17"/>
        <v>315202.99596874561</v>
      </c>
    </row>
    <row r="26" spans="2:12" x14ac:dyDescent="0.25">
      <c r="B26" s="19" t="s">
        <v>248</v>
      </c>
      <c r="C26" s="21">
        <f>C25/Income_Statement!C5</f>
        <v>0.76139217796914249</v>
      </c>
      <c r="D26" s="21">
        <f>D25/Income_Statement!D5</f>
        <v>0.79822212988092978</v>
      </c>
      <c r="E26" s="21">
        <f>E25/Income_Statement!E5</f>
        <v>0.84492074247464166</v>
      </c>
      <c r="F26" s="21">
        <f>F25/Income_Statement!F5</f>
        <v>0.75241909088511794</v>
      </c>
      <c r="G26" s="21">
        <f>G25/Income_Statement!G5</f>
        <v>0.72482296329746676</v>
      </c>
      <c r="H26" s="29">
        <f>H25/Income_Statement!H5</f>
        <v>0.7356642497724214</v>
      </c>
      <c r="I26" s="29">
        <f>I25/Income_Statement!I5</f>
        <v>0.7356642497724214</v>
      </c>
      <c r="J26" s="29">
        <f>J25/Income_Statement!J5</f>
        <v>0.7356642497724214</v>
      </c>
      <c r="K26" s="29">
        <f>K25/Income_Statement!K5</f>
        <v>0.7356642497724214</v>
      </c>
      <c r="L26" s="29">
        <f>L25/Income_Statement!L5</f>
        <v>0.7356642497724214</v>
      </c>
    </row>
    <row r="27" spans="2:12" ht="18.75" x14ac:dyDescent="0.25">
      <c r="B27" s="9" t="s">
        <v>109</v>
      </c>
      <c r="C27" s="7">
        <f xml:space="preserve"> C15-C25-C11</f>
        <v>30574.93037065012</v>
      </c>
      <c r="D27" s="7">
        <f t="shared" ref="D27:L27" si="18" xml:space="preserve"> D15-D25-D11</f>
        <v>31214.189181932263</v>
      </c>
      <c r="E27" s="7">
        <f t="shared" si="18"/>
        <v>22659.022470329761</v>
      </c>
      <c r="F27" s="7">
        <f t="shared" si="18"/>
        <v>38306.545788548152</v>
      </c>
      <c r="G27" s="7">
        <f t="shared" si="18"/>
        <v>66683.793238972241</v>
      </c>
      <c r="H27" s="27">
        <f t="shared" si="18"/>
        <v>61738.248422689765</v>
      </c>
      <c r="I27" s="27">
        <f t="shared" si="18"/>
        <v>71569.992841884494</v>
      </c>
      <c r="J27" s="27">
        <f t="shared" si="18"/>
        <v>87997.503298899013</v>
      </c>
      <c r="K27" s="27">
        <f t="shared" si="18"/>
        <v>103684.18422652529</v>
      </c>
      <c r="L27" s="27">
        <f t="shared" si="18"/>
        <v>113258.40719038481</v>
      </c>
    </row>
    <row r="28" spans="2:12" x14ac:dyDescent="0.25">
      <c r="B28" s="19" t="s">
        <v>249</v>
      </c>
      <c r="C28" s="21">
        <f>C27/Income_Statement!C5</f>
        <v>0.23208277339697708</v>
      </c>
      <c r="D28" s="21">
        <f>D27/Income_Statement!D5</f>
        <v>0.20178303640277512</v>
      </c>
      <c r="E28" s="21">
        <f>E27/Income_Statement!E5</f>
        <v>0.15508618722249437</v>
      </c>
      <c r="F28" s="21">
        <f>F27/Income_Statement!F5</f>
        <v>0.24758740984671174</v>
      </c>
      <c r="G28" s="21">
        <f>G27/Income_Statement!G5</f>
        <v>0.27518117672618081</v>
      </c>
      <c r="H28" s="29">
        <f>H27/Income_Statement!H5</f>
        <v>0.26434006141043354</v>
      </c>
      <c r="I28" s="29">
        <f>I27/Income_Statement!I5</f>
        <v>0.2643394691644011</v>
      </c>
      <c r="J28" s="29">
        <f>J27/Income_Statement!J5</f>
        <v>0.26433877489956037</v>
      </c>
      <c r="K28" s="29">
        <f>K27/Income_Statement!K5</f>
        <v>0.26433831728372037</v>
      </c>
      <c r="L28" s="29">
        <f>L27/Income_Statement!L5</f>
        <v>0.26433810027743387</v>
      </c>
    </row>
    <row r="29" spans="2:12" ht="18.75" x14ac:dyDescent="0.25">
      <c r="B29" s="9" t="s">
        <v>110</v>
      </c>
      <c r="C29" s="7">
        <f xml:space="preserve"> C27+C11</f>
        <v>31484.38037065012</v>
      </c>
      <c r="D29" s="7">
        <f t="shared" ref="D29:L29" si="19" xml:space="preserve"> D27+D11</f>
        <v>32634.769181932264</v>
      </c>
      <c r="E29" s="7">
        <f t="shared" si="19"/>
        <v>24481.012470329762</v>
      </c>
      <c r="F29" s="7">
        <f t="shared" si="19"/>
        <v>39202.14578854815</v>
      </c>
      <c r="G29" s="7">
        <f t="shared" si="19"/>
        <v>67468.68323897224</v>
      </c>
      <c r="H29" s="27">
        <f t="shared" si="19"/>
        <v>63350.554806927306</v>
      </c>
      <c r="I29" s="27">
        <f t="shared" si="19"/>
        <v>73439.061334456259</v>
      </c>
      <c r="J29" s="27">
        <f t="shared" si="19"/>
        <v>90295.586424051202</v>
      </c>
      <c r="K29" s="27">
        <f t="shared" si="19"/>
        <v>106391.93476124521</v>
      </c>
      <c r="L29" s="27">
        <f t="shared" si="19"/>
        <v>116216.19450078241</v>
      </c>
    </row>
    <row r="30" spans="2:12" x14ac:dyDescent="0.25">
      <c r="B30" s="19" t="s">
        <v>250</v>
      </c>
      <c r="C30" s="21">
        <f>C29/Income_Statement!C5</f>
        <v>0.23898606559444655</v>
      </c>
      <c r="D30" s="21">
        <f>D29/Income_Statement!D5</f>
        <v>0.21096632622594874</v>
      </c>
      <c r="E30" s="21">
        <f>E29/Income_Statement!E5</f>
        <v>0.16755651698307916</v>
      </c>
      <c r="F30" s="21">
        <f>F29/Income_Statement!F5</f>
        <v>0.25337595798369894</v>
      </c>
      <c r="G30" s="21">
        <f>G29/Income_Statement!G5</f>
        <v>0.27842014894581124</v>
      </c>
      <c r="H30" s="29">
        <f>H29/Income_Statement!H5</f>
        <v>0.27124335360790303</v>
      </c>
      <c r="I30" s="29">
        <f>I29/Income_Statement!I5</f>
        <v>0.27124276136187059</v>
      </c>
      <c r="J30" s="29">
        <f>J29/Income_Statement!J5</f>
        <v>0.2712420670970298</v>
      </c>
      <c r="K30" s="29">
        <f>K29/Income_Statement!K5</f>
        <v>0.2712416094811898</v>
      </c>
      <c r="L30" s="29">
        <f>L29/Income_Statement!L5</f>
        <v>0.27124139247490331</v>
      </c>
    </row>
    <row r="31" spans="2:12" ht="18.75" x14ac:dyDescent="0.25">
      <c r="B31" s="8" t="s">
        <v>68</v>
      </c>
      <c r="C31" s="5">
        <v>5961.66</v>
      </c>
      <c r="D31" s="5">
        <v>7341.83</v>
      </c>
      <c r="E31" s="5">
        <v>8707.67</v>
      </c>
      <c r="F31" s="5">
        <v>9233.64</v>
      </c>
      <c r="G31" s="5">
        <v>9100.8700000000008</v>
      </c>
      <c r="H31" s="24">
        <f>Balance_Sheet!H40*H62</f>
        <v>8995.2404329173951</v>
      </c>
      <c r="I31" s="24">
        <f>Balance_Sheet!I40*I62</f>
        <v>9714.075055060468</v>
      </c>
      <c r="J31" s="24">
        <f>Balance_Sheet!J40*J62</f>
        <v>10638.125174686007</v>
      </c>
      <c r="K31" s="24">
        <f>Balance_Sheet!K40*K62</f>
        <v>11690.158304783085</v>
      </c>
      <c r="L31" s="24">
        <f>Balance_Sheet!L40*L62</f>
        <v>12551.351161038147</v>
      </c>
    </row>
    <row r="32" spans="2:12" x14ac:dyDescent="0.25">
      <c r="B32" s="17" t="s">
        <v>251</v>
      </c>
      <c r="C32" s="18">
        <f>C31/Income_Statement!C5</f>
        <v>4.5252714236039084E-2</v>
      </c>
      <c r="D32" s="18">
        <f>D31/Income_Statement!D5</f>
        <v>4.7461003760767215E-2</v>
      </c>
      <c r="E32" s="18">
        <f>E31/Income_Statement!E5</f>
        <v>5.9598305339958663E-2</v>
      </c>
      <c r="F32" s="18">
        <f>F31/Income_Statement!F5</f>
        <v>5.9679957145612361E-2</v>
      </c>
      <c r="G32" s="18">
        <f>G31/Income_Statement!G5</f>
        <v>3.7556173609637269E-2</v>
      </c>
      <c r="H32" s="25">
        <f>H31/Income_Statement!H5</f>
        <v>3.851425120064015E-2</v>
      </c>
      <c r="I32" s="25">
        <f>I31/Income_Statement!I5</f>
        <v>3.5878352665910676E-2</v>
      </c>
      <c r="J32" s="25">
        <f>J31/Income_Statement!J5</f>
        <v>3.1956235921296351E-2</v>
      </c>
      <c r="K32" s="25">
        <f>K31/Income_Statement!K5</f>
        <v>2.9803550060396981E-2</v>
      </c>
      <c r="L32" s="25">
        <f>L31/Income_Statement!L5</f>
        <v>2.929407541681776E-2</v>
      </c>
    </row>
    <row r="33" spans="2:12" ht="18.75" x14ac:dyDescent="0.25">
      <c r="B33" s="9" t="s">
        <v>111</v>
      </c>
      <c r="C33" s="7">
        <f xml:space="preserve"> C29-C31</f>
        <v>25522.72037065012</v>
      </c>
      <c r="D33" s="7">
        <f t="shared" ref="D33:L33" si="20" xml:space="preserve"> D29-D31</f>
        <v>25292.939181932263</v>
      </c>
      <c r="E33" s="7">
        <f t="shared" si="20"/>
        <v>15773.342470329762</v>
      </c>
      <c r="F33" s="7">
        <f t="shared" si="20"/>
        <v>29968.505788548151</v>
      </c>
      <c r="G33" s="7">
        <f t="shared" si="20"/>
        <v>58367.813238972238</v>
      </c>
      <c r="H33" s="27">
        <f t="shared" si="20"/>
        <v>54355.314374009911</v>
      </c>
      <c r="I33" s="27">
        <f t="shared" si="20"/>
        <v>63724.986279395787</v>
      </c>
      <c r="J33" s="27">
        <f t="shared" si="20"/>
        <v>79657.461249365195</v>
      </c>
      <c r="K33" s="27">
        <f t="shared" si="20"/>
        <v>94701.776456462132</v>
      </c>
      <c r="L33" s="27">
        <f t="shared" si="20"/>
        <v>103664.84333974426</v>
      </c>
    </row>
    <row r="34" spans="2:12" x14ac:dyDescent="0.25">
      <c r="B34" s="19" t="s">
        <v>252</v>
      </c>
      <c r="C34" s="21">
        <f>C33/Income_Statement!C5</f>
        <v>0.19373335135840747</v>
      </c>
      <c r="D34" s="21">
        <f>D33/Income_Statement!D5</f>
        <v>0.16350532246518151</v>
      </c>
      <c r="E34" s="21">
        <f>E33/Income_Statement!E5</f>
        <v>0.10795821164312049</v>
      </c>
      <c r="F34" s="21">
        <f>F33/Income_Statement!F5</f>
        <v>0.19369600083808658</v>
      </c>
      <c r="G34" s="21">
        <f>G33/Income_Statement!G5</f>
        <v>0.24086397533617399</v>
      </c>
      <c r="H34" s="29">
        <f>H33/Income_Statement!H5</f>
        <v>0.23272910240726288</v>
      </c>
      <c r="I34" s="29">
        <f>I33/Income_Statement!I5</f>
        <v>0.23536440869595987</v>
      </c>
      <c r="J34" s="29">
        <f>J33/Income_Statement!J5</f>
        <v>0.23928583117573346</v>
      </c>
      <c r="K34" s="29">
        <f>K33/Income_Statement!K5</f>
        <v>0.24143805942079283</v>
      </c>
      <c r="L34" s="29">
        <f>L33/Income_Statement!L5</f>
        <v>0.24194731705808553</v>
      </c>
    </row>
    <row r="35" spans="2:12" ht="18.75" x14ac:dyDescent="0.25">
      <c r="B35" s="8" t="s">
        <v>67</v>
      </c>
      <c r="C35" s="5">
        <v>5501.79</v>
      </c>
      <c r="D35" s="5">
        <v>7660.1</v>
      </c>
      <c r="E35" s="5">
        <v>7580.72</v>
      </c>
      <c r="F35" s="5">
        <v>7606.71</v>
      </c>
      <c r="G35" s="5">
        <v>5462.2</v>
      </c>
      <c r="H35" s="24">
        <f>Balance_Sheet!H21*H63</f>
        <v>5803.4586927200307</v>
      </c>
      <c r="I35" s="24">
        <f>Balance_Sheet!I21*I63</f>
        <v>6267.2295145824401</v>
      </c>
      <c r="J35" s="24">
        <f>Balance_Sheet!J21*J63</f>
        <v>6863.3984032916987</v>
      </c>
      <c r="K35" s="24">
        <f>Balance_Sheet!K21*K63</f>
        <v>7542.1385636229979</v>
      </c>
      <c r="L35" s="24">
        <f>Balance_Sheet!L21*L63</f>
        <v>8097.7541082030484</v>
      </c>
    </row>
    <row r="36" spans="2:12" x14ac:dyDescent="0.25">
      <c r="B36" s="17" t="s">
        <v>253</v>
      </c>
      <c r="C36" s="18">
        <f>C35/Income_Statement!C5</f>
        <v>4.1762014381346378E-2</v>
      </c>
      <c r="D36" s="18">
        <f>D35/Income_Statement!D5</f>
        <v>4.9518449066220951E-2</v>
      </c>
      <c r="E36" s="18">
        <f>E35/Income_Statement!E5</f>
        <v>5.1885069743884578E-2</v>
      </c>
      <c r="F36" s="18">
        <f>F35/Income_Statement!F5</f>
        <v>4.9164590217844861E-2</v>
      </c>
      <c r="G36" s="18">
        <f>G35/Income_Statement!G5</f>
        <v>2.2540628697098261E-2</v>
      </c>
      <c r="H36" s="25">
        <f>H35/Income_Statement!H5</f>
        <v>2.484823697496942E-2</v>
      </c>
      <c r="I36" s="25">
        <f>I35/Income_Statement!I5</f>
        <v>2.3147635723203011E-2</v>
      </c>
      <c r="J36" s="25">
        <f>J35/Income_Statement!J5</f>
        <v>2.0617202279151772E-2</v>
      </c>
      <c r="K36" s="25">
        <f>K35/Income_Statement!K5</f>
        <v>1.922835417476064E-2</v>
      </c>
      <c r="L36" s="25">
        <f>L35/Income_Statement!L5</f>
        <v>1.8899656021808358E-2</v>
      </c>
    </row>
    <row r="37" spans="2:12" ht="18.75" x14ac:dyDescent="0.25">
      <c r="B37" s="9" t="s">
        <v>112</v>
      </c>
      <c r="C37" s="7">
        <f xml:space="preserve"> C33-C35</f>
        <v>20020.93037065012</v>
      </c>
      <c r="D37" s="7">
        <f t="shared" ref="D37:L37" si="21" xml:space="preserve"> D33-D35</f>
        <v>17632.839181932264</v>
      </c>
      <c r="E37" s="7">
        <f t="shared" si="21"/>
        <v>8192.622470329763</v>
      </c>
      <c r="F37" s="7">
        <f t="shared" si="21"/>
        <v>22361.795788548152</v>
      </c>
      <c r="G37" s="7">
        <f t="shared" si="21"/>
        <v>52905.613238972241</v>
      </c>
      <c r="H37" s="27">
        <f t="shared" si="21"/>
        <v>48551.855681289882</v>
      </c>
      <c r="I37" s="27">
        <f t="shared" si="21"/>
        <v>57457.756764813348</v>
      </c>
      <c r="J37" s="27">
        <f t="shared" si="21"/>
        <v>72794.062846073502</v>
      </c>
      <c r="K37" s="27">
        <f t="shared" si="21"/>
        <v>87159.637892839135</v>
      </c>
      <c r="L37" s="27">
        <f t="shared" si="21"/>
        <v>95567.089231541206</v>
      </c>
    </row>
    <row r="38" spans="2:12" x14ac:dyDescent="0.25">
      <c r="B38" s="19" t="s">
        <v>254</v>
      </c>
      <c r="C38" s="21">
        <f>C37/Income_Statement!C5</f>
        <v>0.15197133697706106</v>
      </c>
      <c r="D38" s="21">
        <f>D37/Income_Statement!D5</f>
        <v>0.11398687339896058</v>
      </c>
      <c r="E38" s="21">
        <f>E37/Income_Statement!E5</f>
        <v>5.6073141899235915E-2</v>
      </c>
      <c r="F38" s="21">
        <f>F37/Income_Statement!F5</f>
        <v>0.14453141062024172</v>
      </c>
      <c r="G38" s="21">
        <f>G37/Income_Statement!G5</f>
        <v>0.21832334663907574</v>
      </c>
      <c r="H38" s="29">
        <f>H37/Income_Statement!H5</f>
        <v>0.20788086543229345</v>
      </c>
      <c r="I38" s="29">
        <f>I37/Income_Statement!I5</f>
        <v>0.21221677297275687</v>
      </c>
      <c r="J38" s="29">
        <f>J37/Income_Statement!J5</f>
        <v>0.2186686288965817</v>
      </c>
      <c r="K38" s="29">
        <f>K37/Income_Statement!K5</f>
        <v>0.2222097052460322</v>
      </c>
      <c r="L38" s="29">
        <f>L37/Income_Statement!L5</f>
        <v>0.22304766103627718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20020.93037065012</v>
      </c>
      <c r="D41" s="7">
        <f t="shared" ref="D41:L41" si="24" xml:space="preserve"> D37+D39</f>
        <v>17632.839181932264</v>
      </c>
      <c r="E41" s="7">
        <f t="shared" si="24"/>
        <v>8192.622470329763</v>
      </c>
      <c r="F41" s="7">
        <f t="shared" si="24"/>
        <v>22361.795788548152</v>
      </c>
      <c r="G41" s="7">
        <f t="shared" si="24"/>
        <v>52905.613238972241</v>
      </c>
      <c r="H41" s="27">
        <f t="shared" si="24"/>
        <v>48551.855681289882</v>
      </c>
      <c r="I41" s="27">
        <f t="shared" si="24"/>
        <v>57457.756764813348</v>
      </c>
      <c r="J41" s="27">
        <f t="shared" si="24"/>
        <v>72794.062846073502</v>
      </c>
      <c r="K41" s="27">
        <f t="shared" si="24"/>
        <v>87159.637892839135</v>
      </c>
      <c r="L41" s="27">
        <f t="shared" si="24"/>
        <v>95567.089231541206</v>
      </c>
    </row>
    <row r="42" spans="2:12" x14ac:dyDescent="0.25">
      <c r="B42" s="19" t="s">
        <v>256</v>
      </c>
      <c r="C42" s="21">
        <f>C41/Income_Statement!C5</f>
        <v>0.15197133697706106</v>
      </c>
      <c r="D42" s="21">
        <f>D41/Income_Statement!D5</f>
        <v>0.11398687339896058</v>
      </c>
      <c r="E42" s="21">
        <f>E41/Income_Statement!E5</f>
        <v>5.6073141899235915E-2</v>
      </c>
      <c r="F42" s="21">
        <f>F41/Income_Statement!F5</f>
        <v>0.14453141062024172</v>
      </c>
      <c r="G42" s="21">
        <f>G41/Income_Statement!G5</f>
        <v>0.21832334663907574</v>
      </c>
      <c r="H42" s="29">
        <f>H41/Income_Statement!H5</f>
        <v>0.20788086543229345</v>
      </c>
      <c r="I42" s="29">
        <f>I41/Income_Statement!I5</f>
        <v>0.21221677297275687</v>
      </c>
      <c r="J42" s="29">
        <f>J41/Income_Statement!J5</f>
        <v>0.2186686288965817</v>
      </c>
      <c r="K42" s="29">
        <f>K41/Income_Statement!K5</f>
        <v>0.2222097052460322</v>
      </c>
      <c r="L42" s="29">
        <f>L41/Income_Statement!L5</f>
        <v>0.22304766103627718</v>
      </c>
    </row>
    <row r="43" spans="2:12" ht="18.75" x14ac:dyDescent="0.25">
      <c r="B43" s="8" t="s">
        <v>72</v>
      </c>
      <c r="C43" s="4">
        <v>9599.1200000000008</v>
      </c>
      <c r="D43" s="5">
        <v>-120.97</v>
      </c>
      <c r="E43" s="5">
        <v>-4929.58</v>
      </c>
      <c r="F43" s="4">
        <v>-1043.1600000000001</v>
      </c>
      <c r="G43" s="5">
        <v>-134.06</v>
      </c>
      <c r="H43" s="24">
        <f>H5*H44</f>
        <v>-129.20786775887879</v>
      </c>
      <c r="I43" s="24">
        <f t="shared" ref="I43:L43" si="25">I5*I44</f>
        <v>-149.78440635196236</v>
      </c>
      <c r="J43" s="24">
        <f t="shared" si="25"/>
        <v>-184.1650094773974</v>
      </c>
      <c r="K43" s="24">
        <f t="shared" si="25"/>
        <v>-216.99515454041639</v>
      </c>
      <c r="L43" s="24">
        <f t="shared" si="25"/>
        <v>-237.03273484305589</v>
      </c>
    </row>
    <row r="44" spans="2:12" x14ac:dyDescent="0.25">
      <c r="B44" s="17" t="s">
        <v>257</v>
      </c>
      <c r="C44" s="18">
        <f>C43/Income_Statement!C5</f>
        <v>7.2863302214055736E-2</v>
      </c>
      <c r="D44" s="18">
        <f>D43/Income_Statement!D5</f>
        <v>-7.8200634241599304E-4</v>
      </c>
      <c r="E44" s="18">
        <f>E43/Income_Statement!E5</f>
        <v>-3.3739750592035919E-2</v>
      </c>
      <c r="F44" s="18">
        <f>F43/Income_Statement!F5</f>
        <v>-6.7422754294099614E-3</v>
      </c>
      <c r="G44" s="18">
        <f>G43/Income_Statement!G5</f>
        <v>-5.5321970691900573E-4</v>
      </c>
      <c r="H44" s="25">
        <f>G44</f>
        <v>-5.5321970691900573E-4</v>
      </c>
      <c r="I44" s="25">
        <f t="shared" ref="I44:L44" si="26">H44</f>
        <v>-5.5321970691900573E-4</v>
      </c>
      <c r="J44" s="25">
        <f t="shared" si="26"/>
        <v>-5.5321970691900573E-4</v>
      </c>
      <c r="K44" s="25">
        <f t="shared" si="26"/>
        <v>-5.5321970691900573E-4</v>
      </c>
      <c r="L44" s="25">
        <f t="shared" si="26"/>
        <v>-5.5321970691900573E-4</v>
      </c>
    </row>
    <row r="45" spans="2:12" ht="18.75" x14ac:dyDescent="0.25">
      <c r="B45" s="9" t="s">
        <v>115</v>
      </c>
      <c r="C45" s="7">
        <f xml:space="preserve"> C41+C43</f>
        <v>29620.050370650119</v>
      </c>
      <c r="D45" s="7">
        <f t="shared" ref="D45:L45" si="27" xml:space="preserve"> D41+D43</f>
        <v>17511.869181932263</v>
      </c>
      <c r="E45" s="7">
        <f t="shared" si="27"/>
        <v>3263.0424703297631</v>
      </c>
      <c r="F45" s="7">
        <f t="shared" si="27"/>
        <v>21318.635788548152</v>
      </c>
      <c r="G45" s="7">
        <f t="shared" si="27"/>
        <v>52771.553238972243</v>
      </c>
      <c r="H45" s="27">
        <f t="shared" si="27"/>
        <v>48422.647813531003</v>
      </c>
      <c r="I45" s="27">
        <f t="shared" si="27"/>
        <v>57307.972358461389</v>
      </c>
      <c r="J45" s="27">
        <f t="shared" si="27"/>
        <v>72609.897836596108</v>
      </c>
      <c r="K45" s="27">
        <f t="shared" si="27"/>
        <v>86942.642738298717</v>
      </c>
      <c r="L45" s="27">
        <f t="shared" si="27"/>
        <v>95330.056496698147</v>
      </c>
    </row>
    <row r="46" spans="2:12" x14ac:dyDescent="0.25">
      <c r="B46" s="19" t="s">
        <v>258</v>
      </c>
      <c r="C46" s="21">
        <f>C45/Income_Statement!C5</f>
        <v>0.22483463919111679</v>
      </c>
      <c r="D46" s="21">
        <f>D45/Income_Statement!D5</f>
        <v>0.11320486705654458</v>
      </c>
      <c r="E46" s="21">
        <f>E45/Income_Statement!E5</f>
        <v>2.2333391307199999E-2</v>
      </c>
      <c r="F46" s="21">
        <f>F45/Income_Statement!F5</f>
        <v>0.13778913519083175</v>
      </c>
      <c r="G46" s="21">
        <f>G45/Income_Statement!G5</f>
        <v>0.21777012693215675</v>
      </c>
      <c r="H46" s="29">
        <f>H45/Income_Statement!H5</f>
        <v>0.20732764572537446</v>
      </c>
      <c r="I46" s="29">
        <f>I45/Income_Statement!I5</f>
        <v>0.21166355326583788</v>
      </c>
      <c r="J46" s="29">
        <f>J45/Income_Statement!J5</f>
        <v>0.21811540918966271</v>
      </c>
      <c r="K46" s="29">
        <f>K45/Income_Statement!K5</f>
        <v>0.22165648553911318</v>
      </c>
      <c r="L46" s="29">
        <f>L45/Income_Statement!L5</f>
        <v>0.22249444132935817</v>
      </c>
    </row>
    <row r="47" spans="2:12" ht="18.75" x14ac:dyDescent="0.25">
      <c r="B47" s="8" t="s">
        <v>79</v>
      </c>
      <c r="C47" s="5">
        <v>3405.39</v>
      </c>
      <c r="D47" s="5">
        <v>6718.43</v>
      </c>
      <c r="E47" s="5">
        <v>-2552.9</v>
      </c>
      <c r="F47" s="5">
        <v>5653.9</v>
      </c>
      <c r="G47" s="5">
        <v>8477.5499999999993</v>
      </c>
      <c r="H47" s="24">
        <f>H45*H64</f>
        <v>7778.914827703763</v>
      </c>
      <c r="I47" s="24">
        <f t="shared" ref="I47:L47" si="28">I45*I64</f>
        <v>9206.3085364840808</v>
      </c>
      <c r="J47" s="24">
        <f t="shared" si="28"/>
        <v>11664.504863389986</v>
      </c>
      <c r="K47" s="24">
        <f t="shared" si="28"/>
        <v>13967.00600432088</v>
      </c>
      <c r="L47" s="24">
        <f t="shared" si="28"/>
        <v>15314.412232550061</v>
      </c>
    </row>
    <row r="48" spans="2:12" x14ac:dyDescent="0.25">
      <c r="B48" s="17" t="s">
        <v>259</v>
      </c>
      <c r="C48" s="18">
        <f>C47/Income_Statement!C5</f>
        <v>2.5849032070306782E-2</v>
      </c>
      <c r="D48" s="18">
        <f>D47/Income_Statement!D5</f>
        <v>4.3431056221194343E-2</v>
      </c>
      <c r="E48" s="18">
        <f>E47/Income_Statement!E5</f>
        <v>-1.747293061202141E-2</v>
      </c>
      <c r="F48" s="18">
        <f>F47/Income_Statement!F5</f>
        <v>3.6542957025136102E-2</v>
      </c>
      <c r="G48" s="18">
        <f>G47/Income_Statement!G5</f>
        <v>3.4983945445257472E-2</v>
      </c>
      <c r="H48" s="25">
        <f>H47/Income_Statement!H5</f>
        <v>3.3306400421072371E-2</v>
      </c>
      <c r="I48" s="25">
        <f>I47/Income_Statement!I5</f>
        <v>3.4002947532414729E-2</v>
      </c>
      <c r="J48" s="25">
        <f>J47/Income_Statement!J5</f>
        <v>3.5039413731151284E-2</v>
      </c>
      <c r="K48" s="25">
        <f>K47/Income_Statement!K5</f>
        <v>3.5608274224423905E-2</v>
      </c>
      <c r="L48" s="25">
        <f>L47/Income_Statement!L5</f>
        <v>3.574288864589871E-2</v>
      </c>
    </row>
    <row r="49" spans="2:12" ht="18.75" x14ac:dyDescent="0.25">
      <c r="B49" s="9" t="s">
        <v>116</v>
      </c>
      <c r="C49" s="7">
        <f xml:space="preserve"> C45-C47</f>
        <v>26214.660370650119</v>
      </c>
      <c r="D49" s="7">
        <f t="shared" ref="D49:L49" si="29" xml:space="preserve"> D45-D47</f>
        <v>10793.439181932263</v>
      </c>
      <c r="E49" s="7">
        <f t="shared" si="29"/>
        <v>5815.9424703297627</v>
      </c>
      <c r="F49" s="7">
        <f t="shared" si="29"/>
        <v>15664.735788548152</v>
      </c>
      <c r="G49" s="7">
        <f t="shared" si="29"/>
        <v>44294.003238972247</v>
      </c>
      <c r="H49" s="27">
        <f t="shared" si="29"/>
        <v>40643.732985827242</v>
      </c>
      <c r="I49" s="27">
        <f t="shared" si="29"/>
        <v>48101.663821977309</v>
      </c>
      <c r="J49" s="27">
        <f t="shared" si="29"/>
        <v>60945.392973206122</v>
      </c>
      <c r="K49" s="27">
        <f t="shared" si="29"/>
        <v>72975.636733977837</v>
      </c>
      <c r="L49" s="27">
        <f t="shared" si="29"/>
        <v>80015.644264148083</v>
      </c>
    </row>
    <row r="50" spans="2:12" x14ac:dyDescent="0.25">
      <c r="B50" s="19" t="s">
        <v>260</v>
      </c>
      <c r="C50" s="21">
        <f>C49/Income_Statement!C5</f>
        <v>0.19898560712081001</v>
      </c>
      <c r="D50" s="21">
        <f>D49/Income_Statement!D5</f>
        <v>6.9773810835350225E-2</v>
      </c>
      <c r="E50" s="21">
        <f>E49/Income_Statement!E5</f>
        <v>3.9806321919221406E-2</v>
      </c>
      <c r="F50" s="21">
        <f>F49/Income_Statement!F5</f>
        <v>0.10124617816569566</v>
      </c>
      <c r="G50" s="21">
        <f>G49/Income_Statement!G5</f>
        <v>0.18278618148689929</v>
      </c>
      <c r="H50" s="29">
        <f>H49/Income_Statement!H5</f>
        <v>0.1740212453043021</v>
      </c>
      <c r="I50" s="29">
        <f>I49/Income_Statement!I5</f>
        <v>0.17766060573342315</v>
      </c>
      <c r="J50" s="29">
        <f>J49/Income_Statement!J5</f>
        <v>0.18307599545851144</v>
      </c>
      <c r="K50" s="29">
        <f>K49/Income_Statement!K5</f>
        <v>0.18604821131468929</v>
      </c>
      <c r="L50" s="29">
        <f>L49/Income_Statement!L5</f>
        <v>0.18675155268345944</v>
      </c>
    </row>
    <row r="51" spans="2:12" ht="18.75" x14ac:dyDescent="0.25">
      <c r="B51" s="8" t="s">
        <v>88</v>
      </c>
      <c r="C51" s="5">
        <v>1236.18</v>
      </c>
      <c r="D51" s="5">
        <v>1144.76</v>
      </c>
      <c r="E51" s="5">
        <v>1488.13</v>
      </c>
      <c r="F51" s="5">
        <v>1144.75</v>
      </c>
      <c r="G51" s="5">
        <v>3004.16</v>
      </c>
      <c r="H51" s="24">
        <f>H5*H52</f>
        <v>2895.4282262159727</v>
      </c>
      <c r="I51" s="24">
        <f t="shared" ref="I51:L51" si="30">I5*I52</f>
        <v>3356.5293315404388</v>
      </c>
      <c r="J51" s="24">
        <f t="shared" si="30"/>
        <v>4126.9666930599597</v>
      </c>
      <c r="K51" s="24">
        <f t="shared" si="30"/>
        <v>4862.6597304500765</v>
      </c>
      <c r="L51" s="24">
        <f t="shared" si="30"/>
        <v>5311.6832814121644</v>
      </c>
    </row>
    <row r="52" spans="2:12" x14ac:dyDescent="0.25">
      <c r="B52" s="17" t="s">
        <v>261</v>
      </c>
      <c r="C52" s="18">
        <f>C51/Income_Statement!C5</f>
        <v>9.3833764898210888E-3</v>
      </c>
      <c r="D52" s="18">
        <f>D51/Income_Statement!D5</f>
        <v>7.4002610609583547E-3</v>
      </c>
      <c r="E52" s="18">
        <f>E51/Income_Statement!E5</f>
        <v>1.0185276443130331E-2</v>
      </c>
      <c r="F52" s="18">
        <f>F51/Income_Statement!F5</f>
        <v>7.3988839658509272E-3</v>
      </c>
      <c r="G52" s="18">
        <f>G51/Income_Statement!G5</f>
        <v>1.2397139450528123E-2</v>
      </c>
      <c r="H52" s="25">
        <f>G52</f>
        <v>1.2397139450528123E-2</v>
      </c>
      <c r="I52" s="25">
        <f t="shared" ref="I52:L52" si="31">H52</f>
        <v>1.2397139450528123E-2</v>
      </c>
      <c r="J52" s="25">
        <f t="shared" si="31"/>
        <v>1.2397139450528123E-2</v>
      </c>
      <c r="K52" s="25">
        <f t="shared" si="31"/>
        <v>1.2397139450528123E-2</v>
      </c>
      <c r="L52" s="25">
        <f t="shared" si="31"/>
        <v>1.2397139450528123E-2</v>
      </c>
    </row>
    <row r="53" spans="2:12" ht="18.75" x14ac:dyDescent="0.25">
      <c r="B53" s="8" t="s">
        <v>89</v>
      </c>
      <c r="C53" s="4">
        <v>95.47</v>
      </c>
      <c r="D53" s="4">
        <v>224.61</v>
      </c>
      <c r="E53" s="4">
        <v>297.39999999999998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7.2467678936984851E-4</v>
      </c>
      <c r="D54" s="18">
        <f>D53/Income_Statement!D5</f>
        <v>1.4519835047537091E-3</v>
      </c>
      <c r="E54" s="18">
        <f>E53/Income_Statement!E5</f>
        <v>2.0355084664558606E-3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24883.010370650118</v>
      </c>
      <c r="D55" s="7">
        <f t="shared" ref="D55:L55" si="34" xml:space="preserve"> D49-D51-D53</f>
        <v>9424.0691819322619</v>
      </c>
      <c r="E55" s="7">
        <f t="shared" si="34"/>
        <v>4030.4124703297625</v>
      </c>
      <c r="F55" s="7">
        <f t="shared" si="34"/>
        <v>14519.985788548152</v>
      </c>
      <c r="G55" s="7">
        <f t="shared" si="34"/>
        <v>41289.843238972244</v>
      </c>
      <c r="H55" s="27">
        <f t="shared" si="34"/>
        <v>37748.304759611266</v>
      </c>
      <c r="I55" s="27">
        <f t="shared" si="34"/>
        <v>44745.134490436867</v>
      </c>
      <c r="J55" s="27">
        <f t="shared" si="34"/>
        <v>56818.426280146159</v>
      </c>
      <c r="K55" s="27">
        <f t="shared" si="34"/>
        <v>68112.977003527762</v>
      </c>
      <c r="L55" s="27">
        <f t="shared" si="34"/>
        <v>74703.960982735924</v>
      </c>
    </row>
    <row r="56" spans="2:12" x14ac:dyDescent="0.25">
      <c r="B56" s="19" t="s">
        <v>263</v>
      </c>
      <c r="C56" s="21">
        <f>C55/Income_Statement!C5</f>
        <v>0.18887755384161906</v>
      </c>
      <c r="D56" s="21">
        <f>D55/Income_Statement!D5</f>
        <v>6.0921566269638155E-2</v>
      </c>
      <c r="E56" s="21">
        <f>E55/Income_Statement!E5</f>
        <v>2.7585537009635213E-2</v>
      </c>
      <c r="F56" s="21">
        <f>F55/Income_Statement!F5</f>
        <v>9.3847294199844722E-2</v>
      </c>
      <c r="G56" s="21">
        <f>G55/Income_Statement!G5</f>
        <v>0.17038904203637115</v>
      </c>
      <c r="H56" s="29">
        <f>H55/Income_Statement!H5</f>
        <v>0.16162410585377396</v>
      </c>
      <c r="I56" s="29">
        <f>I55/Income_Statement!I5</f>
        <v>0.16526346628289501</v>
      </c>
      <c r="J56" s="29">
        <f>J55/Income_Statement!J5</f>
        <v>0.1706788560079833</v>
      </c>
      <c r="K56" s="29">
        <f>K55/Income_Statement!K5</f>
        <v>0.17365107186416118</v>
      </c>
      <c r="L56" s="29">
        <f>L55/Income_Statement!L5</f>
        <v>0.17435441323293133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128</v>
      </c>
      <c r="D60" s="4">
        <v>88</v>
      </c>
      <c r="E60" s="4">
        <v>12</v>
      </c>
      <c r="F60" s="4">
        <v>64</v>
      </c>
      <c r="G60" s="4">
        <v>332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204.80203414570406</v>
      </c>
      <c r="D61" s="4">
        <f t="shared" ref="D61:G61" si="35">D49/D60</f>
        <v>122.65271797650298</v>
      </c>
      <c r="E61" s="4">
        <f t="shared" si="35"/>
        <v>484.66187252748023</v>
      </c>
      <c r="F61" s="4">
        <f t="shared" si="35"/>
        <v>244.76149669606488</v>
      </c>
      <c r="G61" s="4">
        <f t="shared" si="35"/>
        <v>133.41567240654291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6.6003947177002295E-2</v>
      </c>
      <c r="D62" s="23">
        <f>D31/Balance_Sheet!D40</f>
        <v>6.1982016694333529E-2</v>
      </c>
      <c r="E62" s="23">
        <f>E31/Balance_Sheet!E40</f>
        <v>6.8000111828032228E-2</v>
      </c>
      <c r="F62" s="23">
        <f>F31/Balance_Sheet!F40</f>
        <v>7.1882601186646314E-2</v>
      </c>
      <c r="G62" s="23">
        <f>G31/Balance_Sheet!G40</f>
        <v>7.3096914994647572E-2</v>
      </c>
      <c r="H62" s="23">
        <f>MEDIAN(C62:G62)</f>
        <v>6.8000111828032228E-2</v>
      </c>
      <c r="I62" s="23">
        <f t="shared" ref="I62:L62" si="36">H62</f>
        <v>6.8000111828032228E-2</v>
      </c>
      <c r="J62" s="23">
        <f t="shared" si="36"/>
        <v>6.8000111828032228E-2</v>
      </c>
      <c r="K62" s="23">
        <f t="shared" si="36"/>
        <v>6.8000111828032228E-2</v>
      </c>
      <c r="L62" s="23">
        <f t="shared" si="36"/>
        <v>6.8000111828032228E-2</v>
      </c>
    </row>
    <row r="63" spans="2:12" x14ac:dyDescent="0.25">
      <c r="B63" t="s">
        <v>267</v>
      </c>
      <c r="C63" s="23">
        <f>C35/Balance_Sheet!C21</f>
        <v>5.5437026092066452E-2</v>
      </c>
      <c r="D63" s="23">
        <f>D35/Balance_Sheet!D21</f>
        <v>7.3935834957294416E-2</v>
      </c>
      <c r="E63" s="23">
        <f>E35/Balance_Sheet!E21</f>
        <v>6.1857761387662573E-2</v>
      </c>
      <c r="F63" s="23">
        <f>F35/Balance_Sheet!F21</f>
        <v>8.4605109200030254E-2</v>
      </c>
      <c r="G63" s="23">
        <f>G35/Balance_Sheet!G21</f>
        <v>6.7306220754842064E-2</v>
      </c>
      <c r="H63" s="23">
        <f>G63</f>
        <v>6.7306220754842064E-2</v>
      </c>
      <c r="I63" s="23">
        <f t="shared" ref="I63:L63" si="37">H63</f>
        <v>6.7306220754842064E-2</v>
      </c>
      <c r="J63" s="23">
        <f t="shared" si="37"/>
        <v>6.7306220754842064E-2</v>
      </c>
      <c r="K63" s="23">
        <f t="shared" si="37"/>
        <v>6.7306220754842064E-2</v>
      </c>
      <c r="L63" s="23">
        <f t="shared" si="37"/>
        <v>6.7306220754842064E-2</v>
      </c>
    </row>
    <row r="64" spans="2:12" x14ac:dyDescent="0.25">
      <c r="B64" t="s">
        <v>268</v>
      </c>
      <c r="C64" s="23">
        <f>C47/Income_Statement!C45</f>
        <v>0.11496908200312612</v>
      </c>
      <c r="D64" s="23">
        <f>D47/Income_Statement!D45</f>
        <v>0.38365007928061096</v>
      </c>
      <c r="E64" s="23">
        <f>E47/Income_Statement!E45</f>
        <v>-0.78236799649806699</v>
      </c>
      <c r="F64" s="23">
        <f>F47/Income_Statement!F45</f>
        <v>0.26520927774548952</v>
      </c>
      <c r="G64" s="23">
        <f>G47/Income_Statement!G45</f>
        <v>0.1606462095517639</v>
      </c>
      <c r="H64" s="23">
        <f>G64</f>
        <v>0.1606462095517639</v>
      </c>
      <c r="I64" s="23">
        <f t="shared" ref="I64:L64" si="38">H64</f>
        <v>0.1606462095517639</v>
      </c>
      <c r="J64" s="23">
        <f t="shared" si="38"/>
        <v>0.1606462095517639</v>
      </c>
      <c r="K64" s="23">
        <f t="shared" si="38"/>
        <v>0.1606462095517639</v>
      </c>
      <c r="L64" s="23">
        <f t="shared" si="38"/>
        <v>0.1606462095517639</v>
      </c>
    </row>
    <row r="65" spans="2:12" x14ac:dyDescent="0.25">
      <c r="B65" t="s">
        <v>269</v>
      </c>
      <c r="C65" s="23">
        <f>C53/Income_Statement!C51</f>
        <v>7.7229853257616193E-2</v>
      </c>
      <c r="D65" s="23">
        <f>D53/Income_Statement!D51</f>
        <v>0.19620706523638143</v>
      </c>
      <c r="E65" s="23">
        <f>E53/Income_Statement!E51</f>
        <v>0.19984813154764702</v>
      </c>
      <c r="F65" s="23">
        <f>F53/Income_Statement!F51</f>
        <v>0</v>
      </c>
      <c r="G65" s="23">
        <f>G53/Income_Statement!G51</f>
        <v>0</v>
      </c>
      <c r="H65" s="23">
        <f>G65</f>
        <v>0</v>
      </c>
      <c r="I65" s="23">
        <f t="shared" ref="I65:L65" si="39">H65</f>
        <v>0</v>
      </c>
      <c r="J65" s="23">
        <f t="shared" si="39"/>
        <v>0</v>
      </c>
      <c r="K65" s="23">
        <f t="shared" si="39"/>
        <v>0</v>
      </c>
      <c r="L65" s="23">
        <f t="shared" si="39"/>
        <v>0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A2348B71-A1E8-4538-86D2-98F60D9D3063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D9C-1D2D-45C9-97B9-D2532859A44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131741.49</v>
      </c>
      <c r="D5" s="13">
        <f>Income_Statement!D5</f>
        <v>154691.84</v>
      </c>
      <c r="E5" s="13">
        <f>Income_Statement!E5</f>
        <v>146106</v>
      </c>
      <c r="F5" s="13">
        <f>Income_Statement!F5</f>
        <v>154719.28</v>
      </c>
      <c r="G5" s="13">
        <f>Income_Statement!G5</f>
        <v>242326.87</v>
      </c>
    </row>
    <row r="6" spans="2:15" ht="18.75" x14ac:dyDescent="0.25">
      <c r="B6" s="12" t="str">
        <f>Income_Statement!B15</f>
        <v>Total Income</v>
      </c>
      <c r="C6" s="13">
        <f>Income_Statement!C15</f>
        <v>131791.32037065012</v>
      </c>
      <c r="D6" s="13">
        <f>Income_Statement!D15</f>
        <v>156113.21918193228</v>
      </c>
      <c r="E6" s="13">
        <f>Income_Statement!E15</f>
        <v>147929.00247032975</v>
      </c>
      <c r="F6" s="13">
        <f>Income_Statement!F15</f>
        <v>155615.88578854816</v>
      </c>
      <c r="G6" s="13">
        <f>Income_Statement!G15</f>
        <v>243112.76323897223</v>
      </c>
    </row>
  </sheetData>
  <hyperlinks>
    <hyperlink ref="F1" location="Index_Data!A1" tooltip="Hi click here To return Index page" display="Index_Data!A1" xr:uid="{48815449-0A4E-4C60-9685-3C178E1040E9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D539-A486-4F58-8646-57C84DD0224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207482.91999999998</v>
      </c>
      <c r="D5" s="13">
        <f>Balance_Sheet!D37</f>
        <v>232676.96918193225</v>
      </c>
      <c r="E5" s="13">
        <f>Balance_Sheet!E37</f>
        <v>248893.23165226204</v>
      </c>
      <c r="F5" s="13">
        <f>Balance_Sheet!F37</f>
        <v>257871.16744081012</v>
      </c>
      <c r="G5" s="13">
        <f>Balance_Sheet!G37</f>
        <v>298938.7306797824</v>
      </c>
    </row>
    <row r="6" spans="2:15" ht="18.75" x14ac:dyDescent="0.25">
      <c r="B6" s="12" t="str">
        <f>Balance_Sheet!B21</f>
        <v>Total Debt</v>
      </c>
      <c r="C6" s="13">
        <f>Balance_Sheet!C21</f>
        <v>99243.96</v>
      </c>
      <c r="D6" s="13">
        <f>Balance_Sheet!D21</f>
        <v>103604.7</v>
      </c>
      <c r="E6" s="13">
        <f>Balance_Sheet!E21</f>
        <v>122550.83</v>
      </c>
      <c r="F6" s="13">
        <f>Balance_Sheet!F21</f>
        <v>89908.4</v>
      </c>
      <c r="G6" s="13">
        <f>Balance_Sheet!G21</f>
        <v>81154.459999999992</v>
      </c>
    </row>
  </sheetData>
  <hyperlinks>
    <hyperlink ref="F1" location="Index_Data!A1" tooltip="Hi click here To return Index page" display="Index_Data!A1" xr:uid="{4AF3C8F7-257C-46B5-9789-E65B5CD9BC8B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4B14A-8E4B-4602-AC35-DD1FE9BF723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207482.91999999998</v>
      </c>
      <c r="D5" s="13">
        <f>Balance_Sheet!D37</f>
        <v>232676.96918193225</v>
      </c>
      <c r="E5" s="13">
        <f>Balance_Sheet!E37</f>
        <v>248893.23165226204</v>
      </c>
      <c r="F5" s="13">
        <f>Balance_Sheet!F37</f>
        <v>257871.16744081012</v>
      </c>
      <c r="G5" s="13">
        <f>Balance_Sheet!G37</f>
        <v>298938.7306797824</v>
      </c>
    </row>
    <row r="6" spans="2:15" ht="18.75" x14ac:dyDescent="0.25">
      <c r="B6" s="12" t="str">
        <f>Balance_Sheet!B33</f>
        <v>Total Current Liabilities</v>
      </c>
      <c r="C6" s="13">
        <f>Balance_Sheet!C33</f>
        <v>48706.84</v>
      </c>
      <c r="D6" s="13">
        <f>Balance_Sheet!D33</f>
        <v>58688.149999999994</v>
      </c>
      <c r="E6" s="13">
        <f>Balance_Sheet!E33</f>
        <v>51705.72</v>
      </c>
      <c r="F6" s="13">
        <f>Balance_Sheet!F33</f>
        <v>78070.359999999986</v>
      </c>
      <c r="G6" s="13">
        <f>Balance_Sheet!G33</f>
        <v>87192.68</v>
      </c>
    </row>
  </sheetData>
  <hyperlinks>
    <hyperlink ref="F1" location="Index_Data!A1" tooltip="Hi click here To return Index page" display="Index_Data!A1" xr:uid="{C7967170-2B64-42CF-8986-0FDE8E46D1BF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0D7E-8F81-4413-A334-86D52CF4FCA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207482.92</v>
      </c>
      <c r="D5" s="13">
        <f>Balance_Sheet!D74</f>
        <v>232676.96918193228</v>
      </c>
      <c r="E5" s="13">
        <f>Balance_Sheet!E74</f>
        <v>248893.23165226201</v>
      </c>
      <c r="F5" s="13">
        <f>Balance_Sheet!F74</f>
        <v>257871.16744081015</v>
      </c>
      <c r="G5" s="13">
        <f>Balance_Sheet!G74</f>
        <v>298938.7306797824</v>
      </c>
    </row>
    <row r="6" spans="2:15" ht="18.75" x14ac:dyDescent="0.25">
      <c r="B6" s="12" t="str">
        <f>Balance_Sheet!B54</f>
        <v>Total Non Current Assets</v>
      </c>
      <c r="C6" s="13">
        <f>Balance_Sheet!C54</f>
        <v>128343.75</v>
      </c>
      <c r="D6" s="13">
        <f>Balance_Sheet!D54</f>
        <v>136798.14000000001</v>
      </c>
      <c r="E6" s="13">
        <f>Balance_Sheet!E54</f>
        <v>139593.87</v>
      </c>
      <c r="F6" s="13">
        <f>Balance_Sheet!F54</f>
        <v>134958.01999999999</v>
      </c>
      <c r="G6" s="13">
        <f>Balance_Sheet!G54</f>
        <v>128960.08999999998</v>
      </c>
    </row>
  </sheetData>
  <hyperlinks>
    <hyperlink ref="F1" location="Index_Data!A1" tooltip="Hi click here To return Index page" display="Index_Data!A1" xr:uid="{95EB12F7-2BDF-45E0-825E-C355487569AC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D37D2-874C-4B7A-9612-66FC383DE2C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207482.92</v>
      </c>
      <c r="D5" s="13">
        <f>Balance_Sheet!D74</f>
        <v>232676.96918193228</v>
      </c>
      <c r="E5" s="13">
        <f>Balance_Sheet!E74</f>
        <v>248893.23165226201</v>
      </c>
      <c r="F5" s="13">
        <f>Balance_Sheet!F74</f>
        <v>257871.16744081015</v>
      </c>
      <c r="G5" s="13">
        <f>Balance_Sheet!G74</f>
        <v>298938.7306797824</v>
      </c>
    </row>
    <row r="6" spans="2:15" ht="18.75" x14ac:dyDescent="0.25">
      <c r="B6" s="12" t="str">
        <f>Balance_Sheet!B72</f>
        <v>Total Current Assets</v>
      </c>
      <c r="C6" s="13">
        <f>Balance_Sheet!C72</f>
        <v>79139.170000000013</v>
      </c>
      <c r="D6" s="13">
        <f>Balance_Sheet!D72</f>
        <v>95878.829181932262</v>
      </c>
      <c r="E6" s="13">
        <f>Balance_Sheet!E72</f>
        <v>109299.36165226201</v>
      </c>
      <c r="F6" s="13">
        <f>Balance_Sheet!F72</f>
        <v>122913.14744081016</v>
      </c>
      <c r="G6" s="13">
        <f>Balance_Sheet!G72</f>
        <v>169978.64067978243</v>
      </c>
    </row>
  </sheetData>
  <hyperlinks>
    <hyperlink ref="F1" location="Index_Data!A1" tooltip="Hi click here To return Index page" display="Index_Data!A1" xr:uid="{F58429D1-5DB5-44D6-AE8E-B95BC2F5F1A8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63ACA-CF39-4D51-81CE-9DE6CE17B38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100306.94</v>
      </c>
      <c r="D5" s="13">
        <f>Income_Statement!D25</f>
        <v>123478.45000000001</v>
      </c>
      <c r="E5" s="13">
        <f>Income_Statement!E25</f>
        <v>123447.98999999999</v>
      </c>
      <c r="F5" s="13">
        <f>Income_Statement!F25</f>
        <v>116413.74</v>
      </c>
      <c r="G5" s="13">
        <f>Income_Statement!G25</f>
        <v>175644.08</v>
      </c>
    </row>
    <row r="6" spans="2:15" ht="18.75" x14ac:dyDescent="0.25">
      <c r="B6" s="12" t="str">
        <f>Income_Statement!B15</f>
        <v>Total Income</v>
      </c>
      <c r="C6" s="13">
        <f>Income_Statement!C15</f>
        <v>131791.32037065012</v>
      </c>
      <c r="D6" s="13">
        <f>Income_Statement!D15</f>
        <v>156113.21918193228</v>
      </c>
      <c r="E6" s="13">
        <f>Income_Statement!E15</f>
        <v>147929.00247032975</v>
      </c>
      <c r="F6" s="13">
        <f>Income_Statement!F15</f>
        <v>155615.88578854816</v>
      </c>
      <c r="G6" s="13">
        <f>Income_Statement!G15</f>
        <v>243112.76323897223</v>
      </c>
    </row>
  </sheetData>
  <hyperlinks>
    <hyperlink ref="F1" location="Index_Data!A1" tooltip="Hi click here To return Index page" display="Index_Data!A1" xr:uid="{718362A6-C4A9-4BCB-B13A-B60FD01ED844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6B36-898C-45BE-9256-BFAC939F819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24883.010370650118</v>
      </c>
      <c r="D5" s="13">
        <f>Income_Statement!D55</f>
        <v>9424.0691819322619</v>
      </c>
      <c r="E5" s="13">
        <f>Income_Statement!E55</f>
        <v>4030.4124703297625</v>
      </c>
      <c r="F5" s="13">
        <f>Income_Statement!F55</f>
        <v>14519.985788548152</v>
      </c>
      <c r="G5" s="13">
        <f>Income_Statement!G55</f>
        <v>41289.843238972244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26214.660370650119</v>
      </c>
      <c r="D6" s="13">
        <f>Income_Statement!D49</f>
        <v>10793.439181932263</v>
      </c>
      <c r="E6" s="13">
        <f>Income_Statement!E49</f>
        <v>5815.9424703297627</v>
      </c>
      <c r="F6" s="13">
        <f>Income_Statement!F49</f>
        <v>15664.735788548152</v>
      </c>
      <c r="G6" s="13">
        <f>Income_Statement!G49</f>
        <v>44294.003238972247</v>
      </c>
    </row>
  </sheetData>
  <hyperlinks>
    <hyperlink ref="F1" location="Index_Data!A1" tooltip="Hi click here To return Index page" display="Index_Data!A1" xr:uid="{512D7C93-D15F-4ADE-A639-28539D8578A9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4AAB7-A6DC-4FD7-9902-AD6A44489FDC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1144.95</v>
      </c>
      <c r="D5" s="5">
        <v>1144.94</v>
      </c>
      <c r="E5" s="5">
        <v>1144.95</v>
      </c>
      <c r="F5" s="5">
        <v>1197.6099999999999</v>
      </c>
      <c r="G5" s="5">
        <v>1221.21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1144.95</v>
      </c>
      <c r="D7" s="7">
        <f t="shared" ref="D7:G7" si="0">D5+D6</f>
        <v>1144.94</v>
      </c>
      <c r="E7" s="7">
        <f t="shared" si="0"/>
        <v>1144.95</v>
      </c>
      <c r="F7" s="7">
        <f t="shared" si="0"/>
        <v>1197.6099999999999</v>
      </c>
      <c r="G7" s="7">
        <f t="shared" si="0"/>
        <v>1221.21</v>
      </c>
    </row>
    <row r="8" spans="2:15" ht="18.75" x14ac:dyDescent="0.25">
      <c r="B8" s="8" t="s">
        <v>7</v>
      </c>
      <c r="C8" s="5">
        <v>57450.65</v>
      </c>
      <c r="D8" s="5">
        <f>Income_Statement!D55+C8</f>
        <v>66874.719181932262</v>
      </c>
      <c r="E8" s="5">
        <f>Income_Statement!E55+D8</f>
        <v>70905.131652262018</v>
      </c>
      <c r="F8" s="5">
        <f>Income_Statement!F55+E8</f>
        <v>85425.117440810165</v>
      </c>
      <c r="G8" s="5">
        <f>Income_Statement!G55+F8</f>
        <v>126714.96067978241</v>
      </c>
    </row>
    <row r="9" spans="2:15" ht="18.75" x14ac:dyDescent="0.25">
      <c r="B9" s="9" t="s">
        <v>122</v>
      </c>
      <c r="C9" s="7">
        <f>C7+C8</f>
        <v>58595.6</v>
      </c>
      <c r="D9" s="7">
        <f t="shared" ref="D9:G9" si="1">D7+D8</f>
        <v>68019.659181932264</v>
      </c>
      <c r="E9" s="7">
        <f t="shared" si="1"/>
        <v>72050.081652262015</v>
      </c>
      <c r="F9" s="7">
        <f t="shared" si="1"/>
        <v>86622.727440810166</v>
      </c>
      <c r="G9" s="7">
        <f t="shared" si="1"/>
        <v>127936.17067978242</v>
      </c>
    </row>
    <row r="10" spans="2:15" ht="18.75" x14ac:dyDescent="0.25">
      <c r="B10" s="8" t="s">
        <v>12</v>
      </c>
      <c r="C10" s="5">
        <v>72789.100000000006</v>
      </c>
      <c r="D10" s="5">
        <v>80342.73</v>
      </c>
      <c r="E10" s="5">
        <v>94104.97</v>
      </c>
      <c r="F10" s="5">
        <v>65698.009999999995</v>
      </c>
      <c r="G10" s="5">
        <v>44764.07</v>
      </c>
    </row>
    <row r="11" spans="2:15" ht="18.75" x14ac:dyDescent="0.25">
      <c r="B11" s="8" t="s">
        <v>13</v>
      </c>
      <c r="C11" s="5">
        <v>10569.88</v>
      </c>
      <c r="D11" s="5">
        <v>12459.89</v>
      </c>
      <c r="E11" s="5">
        <v>9261.3799999999992</v>
      </c>
      <c r="F11" s="5">
        <v>9241.42</v>
      </c>
      <c r="G11" s="5">
        <v>12325.78</v>
      </c>
    </row>
    <row r="12" spans="2:15" ht="18.75" x14ac:dyDescent="0.25">
      <c r="B12" s="8" t="s">
        <v>18</v>
      </c>
      <c r="C12" s="5">
        <v>15884.98</v>
      </c>
      <c r="D12" s="5">
        <v>10802.08</v>
      </c>
      <c r="E12" s="5">
        <v>19184.48</v>
      </c>
      <c r="F12" s="5">
        <v>14968.97</v>
      </c>
      <c r="G12" s="5">
        <v>24064.61</v>
      </c>
    </row>
    <row r="13" spans="2:15" ht="18.75" x14ac:dyDescent="0.25">
      <c r="B13" s="9" t="s">
        <v>123</v>
      </c>
      <c r="C13" s="7">
        <f>C10+C11+C12</f>
        <v>99243.96</v>
      </c>
      <c r="D13" s="7">
        <f t="shared" ref="D13:G13" si="2">D10+D11+D12</f>
        <v>103604.7</v>
      </c>
      <c r="E13" s="7">
        <f t="shared" si="2"/>
        <v>122550.83</v>
      </c>
      <c r="F13" s="7">
        <f t="shared" si="2"/>
        <v>89908.4</v>
      </c>
      <c r="G13" s="7">
        <f t="shared" si="2"/>
        <v>81154.459999999992</v>
      </c>
    </row>
    <row r="14" spans="2:15" ht="18.75" x14ac:dyDescent="0.25">
      <c r="B14" s="8" t="s">
        <v>15</v>
      </c>
      <c r="C14" s="5">
        <v>4338.24</v>
      </c>
      <c r="D14" s="5">
        <v>4046.21</v>
      </c>
      <c r="E14" s="5">
        <v>4235.07</v>
      </c>
      <c r="F14" s="5">
        <v>4691.92</v>
      </c>
      <c r="G14" s="5">
        <v>4825.9799999999996</v>
      </c>
    </row>
    <row r="15" spans="2:15" ht="18.75" x14ac:dyDescent="0.25">
      <c r="B15" s="8" t="s">
        <v>21</v>
      </c>
      <c r="C15" s="5">
        <v>1269.6400000000001</v>
      </c>
      <c r="D15" s="5">
        <v>1248.72</v>
      </c>
      <c r="E15" s="5">
        <v>1663.67</v>
      </c>
      <c r="F15" s="5">
        <v>4725.32</v>
      </c>
      <c r="G15" s="5">
        <v>2768.49</v>
      </c>
    </row>
    <row r="16" spans="2:15" ht="18.75" x14ac:dyDescent="0.25">
      <c r="B16" s="8" t="s">
        <v>14</v>
      </c>
      <c r="C16" s="5">
        <v>4592.17</v>
      </c>
      <c r="D16" s="5">
        <v>4409.8900000000003</v>
      </c>
      <c r="E16" s="5">
        <v>4994.22</v>
      </c>
      <c r="F16" s="5">
        <v>17480.28</v>
      </c>
      <c r="G16" s="5">
        <v>15843.31</v>
      </c>
    </row>
    <row r="17" spans="2:7" ht="18.75" x14ac:dyDescent="0.25">
      <c r="B17" s="8" t="s">
        <v>19</v>
      </c>
      <c r="C17" s="5">
        <v>20413.810000000001</v>
      </c>
      <c r="D17" s="5">
        <v>21716.959999999999</v>
      </c>
      <c r="E17" s="5">
        <v>21380.85</v>
      </c>
      <c r="F17" s="5">
        <v>25967.49</v>
      </c>
      <c r="G17" s="5">
        <v>36764.870000000003</v>
      </c>
    </row>
    <row r="18" spans="2:7" ht="18.75" x14ac:dyDescent="0.25">
      <c r="B18" s="8" t="s">
        <v>20</v>
      </c>
      <c r="C18" s="5">
        <v>18092.98</v>
      </c>
      <c r="D18" s="5">
        <v>27266.37</v>
      </c>
      <c r="E18" s="5">
        <v>19431.91</v>
      </c>
      <c r="F18" s="5">
        <v>25205.35</v>
      </c>
      <c r="G18" s="5">
        <v>26990.03</v>
      </c>
    </row>
    <row r="19" spans="2:7" ht="18.75" x14ac:dyDescent="0.25">
      <c r="B19" s="9" t="s">
        <v>22</v>
      </c>
      <c r="C19" s="7">
        <f>C14+C15+C16+C17+C18</f>
        <v>48706.84</v>
      </c>
      <c r="D19" s="7">
        <f t="shared" ref="D19:G19" si="3">D14+D15+D16+D17+D18</f>
        <v>58688.149999999994</v>
      </c>
      <c r="E19" s="7">
        <f t="shared" si="3"/>
        <v>51705.72</v>
      </c>
      <c r="F19" s="7">
        <f t="shared" si="3"/>
        <v>78070.359999999986</v>
      </c>
      <c r="G19" s="7">
        <f t="shared" si="3"/>
        <v>87192.68</v>
      </c>
    </row>
    <row r="20" spans="2:7" ht="18.75" x14ac:dyDescent="0.25">
      <c r="B20" s="8" t="s">
        <v>10</v>
      </c>
      <c r="C20" s="5">
        <v>936.52</v>
      </c>
      <c r="D20" s="5">
        <v>2364.46</v>
      </c>
      <c r="E20" s="5">
        <v>2586.6</v>
      </c>
      <c r="F20" s="5">
        <v>3269.68</v>
      </c>
      <c r="G20" s="4">
        <v>2655.42</v>
      </c>
    </row>
    <row r="21" spans="2:7" ht="18.75" x14ac:dyDescent="0.25">
      <c r="B21" s="9" t="s">
        <v>124</v>
      </c>
      <c r="C21" s="7">
        <f>C9+C13+C19+C20</f>
        <v>207482.91999999998</v>
      </c>
      <c r="D21" s="7">
        <f t="shared" ref="D21:G21" si="4">D9+D13+D19+D20</f>
        <v>232676.96918193225</v>
      </c>
      <c r="E21" s="7">
        <f t="shared" si="4"/>
        <v>248893.23165226204</v>
      </c>
      <c r="F21" s="7">
        <f t="shared" si="4"/>
        <v>257871.16744081012</v>
      </c>
      <c r="G21" s="7">
        <f t="shared" si="4"/>
        <v>298938.7306797824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90322.78</v>
      </c>
      <c r="D23" s="5">
        <v>118450.97</v>
      </c>
      <c r="E23" s="5">
        <v>128053.75999999999</v>
      </c>
      <c r="F23" s="5">
        <v>128454.45</v>
      </c>
      <c r="G23" s="5">
        <v>124504.16</v>
      </c>
    </row>
    <row r="24" spans="2:7" ht="18.75" x14ac:dyDescent="0.25">
      <c r="B24" s="8" t="s">
        <v>27</v>
      </c>
      <c r="C24" s="5">
        <v>1682.66</v>
      </c>
      <c r="D24" s="5">
        <v>1994.32</v>
      </c>
      <c r="E24" s="5">
        <v>2442.37</v>
      </c>
      <c r="F24" s="5">
        <v>2976.04</v>
      </c>
      <c r="G24" s="5">
        <v>4472.47</v>
      </c>
    </row>
    <row r="25" spans="2:7" ht="18.75" x14ac:dyDescent="0.25">
      <c r="B25" s="8" t="s">
        <v>125</v>
      </c>
      <c r="C25" s="4"/>
      <c r="D25" s="5">
        <f>Income_Statement!D31</f>
        <v>7341.83</v>
      </c>
      <c r="E25" s="5">
        <f>Income_Statement!E31+D25</f>
        <v>16049.5</v>
      </c>
      <c r="F25" s="5">
        <f>Income_Statement!F31+E25</f>
        <v>25283.14</v>
      </c>
      <c r="G25" s="5">
        <f>Income_Statement!G31+F25</f>
        <v>34384.01</v>
      </c>
    </row>
    <row r="26" spans="2:7" ht="18.75" x14ac:dyDescent="0.25">
      <c r="B26" s="9" t="s">
        <v>126</v>
      </c>
      <c r="C26" s="7">
        <f>C23+C24-C25</f>
        <v>92005.440000000002</v>
      </c>
      <c r="D26" s="7">
        <f t="shared" ref="D26:G26" si="5">D23+D24-D25</f>
        <v>113103.46</v>
      </c>
      <c r="E26" s="7">
        <f t="shared" si="5"/>
        <v>114446.62999999999</v>
      </c>
      <c r="F26" s="7">
        <f t="shared" si="5"/>
        <v>106147.34999999999</v>
      </c>
      <c r="G26" s="7">
        <f t="shared" si="5"/>
        <v>94592.62</v>
      </c>
    </row>
    <row r="27" spans="2:7" ht="18.75" x14ac:dyDescent="0.25">
      <c r="B27" s="8" t="s">
        <v>30</v>
      </c>
      <c r="C27" s="5">
        <v>2990.5</v>
      </c>
      <c r="D27" s="5">
        <v>3213.31</v>
      </c>
      <c r="E27" s="5">
        <v>2853.31</v>
      </c>
      <c r="F27" s="5">
        <v>3463.04</v>
      </c>
      <c r="G27" s="5">
        <v>4615.43</v>
      </c>
    </row>
    <row r="28" spans="2:7" ht="18.75" x14ac:dyDescent="0.25">
      <c r="B28" s="8" t="s">
        <v>36</v>
      </c>
      <c r="C28" s="5">
        <v>14908.97</v>
      </c>
      <c r="D28" s="5">
        <v>2524.86</v>
      </c>
      <c r="E28" s="5">
        <v>3431.87</v>
      </c>
      <c r="F28" s="5">
        <v>7218.89</v>
      </c>
      <c r="G28" s="5">
        <v>8524.42</v>
      </c>
    </row>
    <row r="29" spans="2:7" ht="18.75" x14ac:dyDescent="0.25">
      <c r="B29" s="8" t="s">
        <v>28</v>
      </c>
      <c r="C29" s="5">
        <v>18438.84</v>
      </c>
      <c r="D29" s="5">
        <v>17956.509999999998</v>
      </c>
      <c r="E29" s="5">
        <v>18862.060000000001</v>
      </c>
      <c r="F29" s="5">
        <v>18128.740000000002</v>
      </c>
      <c r="G29" s="5">
        <v>21227.62</v>
      </c>
    </row>
    <row r="30" spans="2:7" ht="18.75" x14ac:dyDescent="0.25">
      <c r="B30" s="9" t="s">
        <v>127</v>
      </c>
      <c r="C30" s="7">
        <f>C26+C27+C28+C29</f>
        <v>128343.75</v>
      </c>
      <c r="D30" s="7">
        <f t="shared" ref="D30:G30" si="6">D26+D27+D28+D29</f>
        <v>136798.14000000001</v>
      </c>
      <c r="E30" s="7">
        <f t="shared" si="6"/>
        <v>139593.87</v>
      </c>
      <c r="F30" s="7">
        <f t="shared" si="6"/>
        <v>134958.01999999999</v>
      </c>
      <c r="G30" s="7">
        <f t="shared" si="6"/>
        <v>128960.08999999998</v>
      </c>
    </row>
    <row r="31" spans="2:7" ht="18.75" x14ac:dyDescent="0.25">
      <c r="B31" s="8" t="s">
        <v>31</v>
      </c>
      <c r="C31" s="5">
        <v>1035.8</v>
      </c>
      <c r="D31" s="5">
        <v>808.95</v>
      </c>
      <c r="E31" s="5">
        <v>1270.33</v>
      </c>
      <c r="F31" s="4">
        <v>1578.02</v>
      </c>
      <c r="G31" s="5">
        <v>3023.93</v>
      </c>
    </row>
    <row r="32" spans="2:7" ht="18.75" x14ac:dyDescent="0.25">
      <c r="B32" s="8" t="s">
        <v>32</v>
      </c>
      <c r="C32" s="5">
        <v>717.34</v>
      </c>
      <c r="D32" s="4">
        <v>613.34</v>
      </c>
      <c r="E32" s="4">
        <v>488.71</v>
      </c>
      <c r="F32" s="4">
        <v>91.93</v>
      </c>
      <c r="G32" s="4">
        <v>1282.44</v>
      </c>
    </row>
    <row r="33" spans="2:7" ht="18.75" x14ac:dyDescent="0.25">
      <c r="B33" s="8" t="s">
        <v>33</v>
      </c>
      <c r="C33" s="5">
        <v>24417.84</v>
      </c>
      <c r="D33" s="5">
        <v>26872.69</v>
      </c>
      <c r="E33" s="5">
        <v>33026.89</v>
      </c>
      <c r="F33" s="5">
        <v>25359.74</v>
      </c>
      <c r="G33" s="5">
        <v>28633.81</v>
      </c>
    </row>
    <row r="34" spans="2:7" ht="18.75" x14ac:dyDescent="0.25">
      <c r="B34" s="8" t="s">
        <v>40</v>
      </c>
      <c r="C34" s="4">
        <v>256.48</v>
      </c>
      <c r="D34" s="4">
        <v>239.7</v>
      </c>
      <c r="E34" s="4">
        <v>215.68</v>
      </c>
      <c r="F34" s="4">
        <v>5.59</v>
      </c>
      <c r="G34" s="4">
        <v>5.84</v>
      </c>
    </row>
    <row r="35" spans="2:7" ht="18.75" x14ac:dyDescent="0.25">
      <c r="B35" s="8" t="s">
        <v>41</v>
      </c>
      <c r="C35" s="5">
        <v>4027.3</v>
      </c>
      <c r="D35" s="5">
        <v>9417.9500000000007</v>
      </c>
      <c r="E35" s="5">
        <v>8076.82</v>
      </c>
      <c r="F35" s="5">
        <v>4389.0200000000004</v>
      </c>
      <c r="G35" s="5">
        <v>7056.6</v>
      </c>
    </row>
    <row r="36" spans="2:7" ht="18.75" x14ac:dyDescent="0.25">
      <c r="B36" s="8" t="s">
        <v>37</v>
      </c>
      <c r="C36" s="5">
        <v>28331.040000000001</v>
      </c>
      <c r="D36" s="5">
        <v>31656.1</v>
      </c>
      <c r="E36" s="5">
        <v>31068.720000000001</v>
      </c>
      <c r="F36" s="5">
        <v>33276.379999999997</v>
      </c>
      <c r="G36" s="5">
        <v>48824.39</v>
      </c>
    </row>
    <row r="37" spans="2:7" ht="18.75" x14ac:dyDescent="0.25">
      <c r="B37" s="8" t="s">
        <v>38</v>
      </c>
      <c r="C37" s="5">
        <v>12415.52</v>
      </c>
      <c r="D37" s="5">
        <v>11811</v>
      </c>
      <c r="E37" s="5">
        <v>7884.91</v>
      </c>
      <c r="F37" s="5">
        <v>9539.84</v>
      </c>
      <c r="G37" s="5">
        <v>12246.43</v>
      </c>
    </row>
    <row r="38" spans="2:7" ht="18.75" x14ac:dyDescent="0.25">
      <c r="B38" s="8" t="s">
        <v>39</v>
      </c>
      <c r="C38" s="5">
        <v>7937.85</v>
      </c>
      <c r="D38" s="5">
        <f>CashFlow_Statement!D48+C38</f>
        <v>14459.099181932252</v>
      </c>
      <c r="E38" s="5">
        <f>CashFlow_Statement!E48+D38</f>
        <v>27267.301652262016</v>
      </c>
      <c r="F38" s="5">
        <f>CashFlow_Statement!F48+E38</f>
        <v>48672.627440810167</v>
      </c>
      <c r="G38" s="5">
        <f>CashFlow_Statement!G48+F38</f>
        <v>68905.200679782414</v>
      </c>
    </row>
    <row r="39" spans="2:7" ht="18.75" x14ac:dyDescent="0.25">
      <c r="B39" s="9" t="s">
        <v>42</v>
      </c>
      <c r="C39" s="7">
        <f>C31+C32+C33+C34+C35+C36+C37+C38</f>
        <v>79139.170000000013</v>
      </c>
      <c r="D39" s="7">
        <f t="shared" ref="D39:G39" si="7">D31+D32+D33+D34+D35+D36+D37+D38</f>
        <v>95878.829181932262</v>
      </c>
      <c r="E39" s="7">
        <f t="shared" si="7"/>
        <v>109299.36165226201</v>
      </c>
      <c r="F39" s="7">
        <f t="shared" si="7"/>
        <v>122913.14744081016</v>
      </c>
      <c r="G39" s="7">
        <f t="shared" si="7"/>
        <v>169978.64067978243</v>
      </c>
    </row>
    <row r="40" spans="2:7" ht="18.75" x14ac:dyDescent="0.25">
      <c r="B40" s="9" t="s">
        <v>43</v>
      </c>
      <c r="C40" s="7">
        <f>C30+C39</f>
        <v>207482.92</v>
      </c>
      <c r="D40" s="7">
        <f t="shared" ref="D40:G40" si="8">D30+D39</f>
        <v>232676.96918193228</v>
      </c>
      <c r="E40" s="7">
        <f t="shared" si="8"/>
        <v>248893.23165226201</v>
      </c>
      <c r="F40" s="7">
        <f t="shared" si="8"/>
        <v>257871.16744081015</v>
      </c>
      <c r="G40" s="7">
        <f t="shared" si="8"/>
        <v>298938.7306797824</v>
      </c>
    </row>
  </sheetData>
  <mergeCells count="1">
    <mergeCell ref="B3:G3"/>
  </mergeCells>
  <hyperlinks>
    <hyperlink ref="F1" location="Index_Data!A1" tooltip="Hi click here To return Index page" display="Index_Data!A1" xr:uid="{7A7AE62A-A6FD-4903-9B6A-1770F0DE20CF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C44BC-2796-4A7E-B75E-BA941F9433D8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3" width="18.85546875" bestFit="1" customWidth="1"/>
    <col min="4" max="5" width="17.140625" bestFit="1" customWidth="1"/>
    <col min="6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131741.49</v>
      </c>
      <c r="D5" s="5">
        <v>154691.84</v>
      </c>
      <c r="E5" s="5">
        <v>146106</v>
      </c>
      <c r="F5" s="5">
        <v>154719.28</v>
      </c>
      <c r="G5" s="5">
        <v>242326.87</v>
      </c>
    </row>
    <row r="6" spans="2:15" ht="18.75" x14ac:dyDescent="0.25">
      <c r="B6" s="8" t="s">
        <v>98</v>
      </c>
      <c r="C6" s="4">
        <v>860.62</v>
      </c>
      <c r="D6" s="4">
        <v>0.21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130880.87</v>
      </c>
      <c r="D7" s="7">
        <f t="shared" ref="D7:G7" si="0">D5 - D6</f>
        <v>154691.63</v>
      </c>
      <c r="E7" s="7">
        <f t="shared" si="0"/>
        <v>146106</v>
      </c>
      <c r="F7" s="7">
        <f t="shared" si="0"/>
        <v>154719.28</v>
      </c>
      <c r="G7" s="7">
        <f t="shared" si="0"/>
        <v>242326.87</v>
      </c>
    </row>
    <row r="8" spans="2:15" ht="18.75" x14ac:dyDescent="0.25">
      <c r="B8" s="8" t="s">
        <v>59</v>
      </c>
      <c r="C8" s="4">
        <v>909.45</v>
      </c>
      <c r="D8" s="4">
        <v>1420.58</v>
      </c>
      <c r="E8" s="5">
        <v>1821.99</v>
      </c>
      <c r="F8" s="5">
        <v>895.6</v>
      </c>
      <c r="G8" s="4">
        <v>784.89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131790.32</v>
      </c>
      <c r="D10" s="7">
        <f t="shared" ref="D10:G10" si="1">SUM(D7:D9)</f>
        <v>156112.21</v>
      </c>
      <c r="E10" s="7">
        <f t="shared" si="1"/>
        <v>147927.99</v>
      </c>
      <c r="F10" s="7">
        <f t="shared" si="1"/>
        <v>155614.88</v>
      </c>
      <c r="G10" s="7">
        <f t="shared" si="1"/>
        <v>243111.76</v>
      </c>
    </row>
    <row r="11" spans="2:15" ht="18.75" x14ac:dyDescent="0.25">
      <c r="B11" s="8" t="s">
        <v>62</v>
      </c>
      <c r="C11" s="5">
        <v>41205.43</v>
      </c>
      <c r="D11" s="5">
        <v>54309.07</v>
      </c>
      <c r="E11" s="5">
        <v>53592.83</v>
      </c>
      <c r="F11" s="5">
        <v>45292.49</v>
      </c>
      <c r="G11" s="5">
        <v>75763.7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17606.189999999999</v>
      </c>
      <c r="D13" s="5">
        <v>18758.87</v>
      </c>
      <c r="E13" s="5">
        <v>19152.23</v>
      </c>
      <c r="F13" s="5">
        <v>19908.810000000001</v>
      </c>
      <c r="G13" s="5">
        <v>23264.1</v>
      </c>
    </row>
    <row r="14" spans="2:15" ht="18.75" x14ac:dyDescent="0.25">
      <c r="B14" s="8" t="s">
        <v>69</v>
      </c>
      <c r="C14" s="5">
        <v>41495.32</v>
      </c>
      <c r="D14" s="5">
        <v>50410.51</v>
      </c>
      <c r="E14" s="5">
        <v>50702.93</v>
      </c>
      <c r="F14" s="5">
        <v>51212.44</v>
      </c>
      <c r="G14" s="5">
        <v>76616.28</v>
      </c>
    </row>
    <row r="15" spans="2:15" ht="18.75" x14ac:dyDescent="0.25">
      <c r="B15" s="9" t="s">
        <v>108</v>
      </c>
      <c r="C15" s="7">
        <f>C11+C12+C13+C14</f>
        <v>100306.94</v>
      </c>
      <c r="D15" s="7">
        <f t="shared" ref="D15:G15" si="2">D11+D12+D13+D14</f>
        <v>123478.45000000001</v>
      </c>
      <c r="E15" s="7">
        <f t="shared" si="2"/>
        <v>123447.98999999999</v>
      </c>
      <c r="F15" s="7">
        <f t="shared" si="2"/>
        <v>116413.74</v>
      </c>
      <c r="G15" s="7">
        <f t="shared" si="2"/>
        <v>175644.08</v>
      </c>
    </row>
    <row r="16" spans="2:15" ht="18.75" x14ac:dyDescent="0.25">
      <c r="B16" s="9" t="s">
        <v>109</v>
      </c>
      <c r="C16" s="7">
        <f xml:space="preserve"> C10-C15-C8</f>
        <v>30573.930000000004</v>
      </c>
      <c r="D16" s="7">
        <f t="shared" ref="D16:G16" si="3" xml:space="preserve"> D10-D15-D8</f>
        <v>31213.179999999978</v>
      </c>
      <c r="E16" s="7">
        <f t="shared" si="3"/>
        <v>22658.01</v>
      </c>
      <c r="F16" s="7">
        <f t="shared" si="3"/>
        <v>38305.54</v>
      </c>
      <c r="G16" s="7">
        <f t="shared" si="3"/>
        <v>66682.790000000023</v>
      </c>
    </row>
    <row r="17" spans="2:7" ht="18.75" x14ac:dyDescent="0.25">
      <c r="B17" s="9" t="s">
        <v>110</v>
      </c>
      <c r="C17" s="7">
        <f xml:space="preserve"> C16+C8</f>
        <v>31483.380000000005</v>
      </c>
      <c r="D17" s="7">
        <f t="shared" ref="D17:G17" si="4" xml:space="preserve"> D16+D8</f>
        <v>32633.75999999998</v>
      </c>
      <c r="E17" s="7">
        <f t="shared" si="4"/>
        <v>24480</v>
      </c>
      <c r="F17" s="7">
        <f t="shared" si="4"/>
        <v>39201.14</v>
      </c>
      <c r="G17" s="7">
        <f t="shared" si="4"/>
        <v>67467.680000000022</v>
      </c>
    </row>
    <row r="18" spans="2:7" ht="18.75" x14ac:dyDescent="0.25">
      <c r="B18" s="8" t="s">
        <v>68</v>
      </c>
      <c r="C18" s="5">
        <v>5961.66</v>
      </c>
      <c r="D18" s="5">
        <v>7341.83</v>
      </c>
      <c r="E18" s="5">
        <v>8707.67</v>
      </c>
      <c r="F18" s="5">
        <v>9233.64</v>
      </c>
      <c r="G18" s="5">
        <v>9100.8700000000008</v>
      </c>
    </row>
    <row r="19" spans="2:7" ht="18.75" x14ac:dyDescent="0.25">
      <c r="B19" s="9" t="s">
        <v>111</v>
      </c>
      <c r="C19" s="7">
        <f xml:space="preserve"> C17-C18</f>
        <v>25521.720000000005</v>
      </c>
      <c r="D19" s="7">
        <f t="shared" ref="D19:G19" si="5" xml:space="preserve"> D17-D18</f>
        <v>25291.929999999978</v>
      </c>
      <c r="E19" s="7">
        <f t="shared" si="5"/>
        <v>15772.33</v>
      </c>
      <c r="F19" s="7">
        <f t="shared" si="5"/>
        <v>29967.5</v>
      </c>
      <c r="G19" s="7">
        <f t="shared" si="5"/>
        <v>58366.810000000019</v>
      </c>
    </row>
    <row r="20" spans="2:7" ht="18.75" x14ac:dyDescent="0.25">
      <c r="B20" s="8" t="s">
        <v>67</v>
      </c>
      <c r="C20" s="5">
        <v>5501.79</v>
      </c>
      <c r="D20" s="5">
        <v>7660.1</v>
      </c>
      <c r="E20" s="5">
        <v>7580.72</v>
      </c>
      <c r="F20" s="5">
        <v>7606.71</v>
      </c>
      <c r="G20" s="5">
        <v>5462.2</v>
      </c>
    </row>
    <row r="21" spans="2:7" ht="18.75" x14ac:dyDescent="0.25">
      <c r="B21" s="9" t="s">
        <v>112</v>
      </c>
      <c r="C21" s="7">
        <f xml:space="preserve"> C19-C20</f>
        <v>20019.930000000004</v>
      </c>
      <c r="D21" s="7">
        <f t="shared" ref="D21:G21" si="6" xml:space="preserve"> D19-D20</f>
        <v>17631.82999999998</v>
      </c>
      <c r="E21" s="7">
        <f t="shared" si="6"/>
        <v>8191.61</v>
      </c>
      <c r="F21" s="7">
        <f t="shared" si="6"/>
        <v>22360.79</v>
      </c>
      <c r="G21" s="7">
        <f t="shared" si="6"/>
        <v>52904.610000000022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20019.930000000004</v>
      </c>
      <c r="D23" s="7">
        <f t="shared" ref="D23:G23" si="7" xml:space="preserve"> D21+D22</f>
        <v>17631.82999999998</v>
      </c>
      <c r="E23" s="7">
        <f t="shared" si="7"/>
        <v>8191.61</v>
      </c>
      <c r="F23" s="7">
        <f t="shared" si="7"/>
        <v>22360.79</v>
      </c>
      <c r="G23" s="7">
        <f t="shared" si="7"/>
        <v>52904.610000000022</v>
      </c>
    </row>
    <row r="24" spans="2:7" ht="18.75" x14ac:dyDescent="0.25">
      <c r="B24" s="8" t="s">
        <v>72</v>
      </c>
      <c r="C24" s="4">
        <v>9599.1200000000008</v>
      </c>
      <c r="D24" s="5">
        <v>-120.97</v>
      </c>
      <c r="E24" s="5">
        <v>-4929.58</v>
      </c>
      <c r="F24" s="4">
        <v>-1043.1600000000001</v>
      </c>
      <c r="G24" s="5">
        <v>-134.06</v>
      </c>
    </row>
    <row r="25" spans="2:7" ht="18.75" x14ac:dyDescent="0.25">
      <c r="B25" s="9" t="s">
        <v>115</v>
      </c>
      <c r="C25" s="7">
        <f xml:space="preserve"> C23+C24</f>
        <v>29619.050000000003</v>
      </c>
      <c r="D25" s="7">
        <f t="shared" ref="D25:G25" si="8" xml:space="preserve"> D23+D24</f>
        <v>17510.859999999979</v>
      </c>
      <c r="E25" s="7">
        <f t="shared" si="8"/>
        <v>3262.0299999999997</v>
      </c>
      <c r="F25" s="7">
        <f t="shared" si="8"/>
        <v>21317.63</v>
      </c>
      <c r="G25" s="7">
        <f t="shared" si="8"/>
        <v>52770.550000000025</v>
      </c>
    </row>
    <row r="26" spans="2:7" ht="18.75" x14ac:dyDescent="0.25">
      <c r="B26" s="8" t="s">
        <v>79</v>
      </c>
      <c r="C26" s="5">
        <v>3405.39</v>
      </c>
      <c r="D26" s="5">
        <v>6718.43</v>
      </c>
      <c r="E26" s="5">
        <v>-2552.9</v>
      </c>
      <c r="F26" s="5">
        <v>5653.9</v>
      </c>
      <c r="G26" s="5">
        <v>8477.5499999999993</v>
      </c>
    </row>
    <row r="27" spans="2:7" ht="18.75" x14ac:dyDescent="0.25">
      <c r="B27" s="9" t="s">
        <v>116</v>
      </c>
      <c r="C27" s="7">
        <f xml:space="preserve"> C25-C26</f>
        <v>26213.660000000003</v>
      </c>
      <c r="D27" s="7">
        <f t="shared" ref="D27:G27" si="9" xml:space="preserve"> D25-D26</f>
        <v>10792.429999999978</v>
      </c>
      <c r="E27" s="7">
        <f t="shared" si="9"/>
        <v>5814.93</v>
      </c>
      <c r="F27" s="7">
        <f t="shared" si="9"/>
        <v>15663.730000000001</v>
      </c>
      <c r="G27" s="7">
        <f t="shared" si="9"/>
        <v>44293.000000000029</v>
      </c>
    </row>
    <row r="28" spans="2:7" ht="18.75" x14ac:dyDescent="0.25">
      <c r="B28" s="8" t="s">
        <v>88</v>
      </c>
      <c r="C28" s="5">
        <v>1236.18</v>
      </c>
      <c r="D28" s="5">
        <v>1144.76</v>
      </c>
      <c r="E28" s="5">
        <v>1488.13</v>
      </c>
      <c r="F28" s="5">
        <v>1144.75</v>
      </c>
      <c r="G28" s="5">
        <v>3004.16</v>
      </c>
    </row>
    <row r="29" spans="2:7" ht="18.75" x14ac:dyDescent="0.25">
      <c r="B29" s="8" t="s">
        <v>89</v>
      </c>
      <c r="C29" s="4">
        <v>95.47</v>
      </c>
      <c r="D29" s="4">
        <v>224.61</v>
      </c>
      <c r="E29" s="4">
        <v>297.39999999999998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24882.010000000002</v>
      </c>
      <c r="D30" s="7">
        <f t="shared" ref="D30:G30" si="10" xml:space="preserve"> D27-D28-D29</f>
        <v>9423.0599999999777</v>
      </c>
      <c r="E30" s="7">
        <f t="shared" si="10"/>
        <v>4029.4</v>
      </c>
      <c r="F30" s="7">
        <f t="shared" si="10"/>
        <v>14518.980000000001</v>
      </c>
      <c r="G30" s="7">
        <f t="shared" si="10"/>
        <v>41288.840000000026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128</v>
      </c>
      <c r="D34" s="4">
        <v>88</v>
      </c>
      <c r="E34" s="4">
        <v>12</v>
      </c>
      <c r="F34" s="4">
        <v>64</v>
      </c>
      <c r="G34" s="4">
        <v>332</v>
      </c>
    </row>
    <row r="35" spans="2:7" ht="18.75" x14ac:dyDescent="0.25">
      <c r="B35" s="8" t="s">
        <v>118</v>
      </c>
      <c r="C35" s="4">
        <f>C27/C34</f>
        <v>204.79421875000003</v>
      </c>
      <c r="D35" s="4">
        <f t="shared" ref="D35:G35" si="11">D27/D34</f>
        <v>122.64124999999976</v>
      </c>
      <c r="E35" s="4">
        <f t="shared" si="11"/>
        <v>484.57750000000004</v>
      </c>
      <c r="F35" s="4">
        <f t="shared" si="11"/>
        <v>244.74578125000002</v>
      </c>
      <c r="G35" s="4">
        <f t="shared" si="11"/>
        <v>133.41265060240971</v>
      </c>
    </row>
  </sheetData>
  <mergeCells count="1">
    <mergeCell ref="B3:G3"/>
  </mergeCells>
  <hyperlinks>
    <hyperlink ref="F1" location="Index_Data!A1" tooltip="Hi click here To return Index page" display="Index_Data!A1" xr:uid="{85B9D59C-5135-4C1F-B64C-342FE6A2274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63953-B2FB-480C-9976-AB4D7F86C4F0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0" width="18.85546875" bestFit="1" customWidth="1"/>
    <col min="11" max="11" width="17.140625" bestFit="1" customWidth="1"/>
    <col min="12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1144.95</v>
      </c>
      <c r="D5" s="5">
        <v>1144.94</v>
      </c>
      <c r="E5" s="5">
        <v>1144.95</v>
      </c>
      <c r="F5" s="5">
        <v>1197.6099999999999</v>
      </c>
      <c r="G5" s="5">
        <v>1221.21</v>
      </c>
      <c r="H5" s="24">
        <f>G5</f>
        <v>1221.21</v>
      </c>
      <c r="I5" s="24">
        <f t="shared" ref="I5:L5" si="0">H5</f>
        <v>1221.21</v>
      </c>
      <c r="J5" s="24">
        <f t="shared" si="0"/>
        <v>1221.21</v>
      </c>
      <c r="K5" s="24">
        <f t="shared" si="0"/>
        <v>1221.21</v>
      </c>
      <c r="L5" s="24">
        <f t="shared" si="0"/>
        <v>1221.21</v>
      </c>
    </row>
    <row r="6" spans="2:15" x14ac:dyDescent="0.25">
      <c r="B6" s="17" t="s">
        <v>203</v>
      </c>
      <c r="C6" s="18">
        <f>C5/Balance_Sheet!C74</f>
        <v>5.518285553336149E-3</v>
      </c>
      <c r="D6" s="18">
        <f>D5/Balance_Sheet!D74</f>
        <v>4.9207276681722673E-3</v>
      </c>
      <c r="E6" s="18">
        <f>E5/Balance_Sheet!E74</f>
        <v>4.6001652692575111E-3</v>
      </c>
      <c r="F6" s="18">
        <f>F5/Balance_Sheet!F74</f>
        <v>4.6442183198898744E-3</v>
      </c>
      <c r="G6" s="18">
        <f>G5/Balance_Sheet!G74</f>
        <v>4.0851514864701068E-3</v>
      </c>
      <c r="H6" s="25">
        <f>G6</f>
        <v>4.0851514864701068E-3</v>
      </c>
      <c r="I6" s="25">
        <f t="shared" ref="I6:L6" si="1">H6</f>
        <v>4.0851514864701068E-3</v>
      </c>
      <c r="J6" s="25">
        <f t="shared" si="1"/>
        <v>4.0851514864701068E-3</v>
      </c>
      <c r="K6" s="25">
        <f t="shared" si="1"/>
        <v>4.0851514864701068E-3</v>
      </c>
      <c r="L6" s="25">
        <f t="shared" si="1"/>
        <v>4.0851514864701068E-3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1144.95</v>
      </c>
      <c r="D9" s="7">
        <f t="shared" ref="D9:L9" si="4">D5+D7</f>
        <v>1144.94</v>
      </c>
      <c r="E9" s="7">
        <f t="shared" si="4"/>
        <v>1144.95</v>
      </c>
      <c r="F9" s="7">
        <f t="shared" si="4"/>
        <v>1197.6099999999999</v>
      </c>
      <c r="G9" s="7">
        <f t="shared" si="4"/>
        <v>1221.21</v>
      </c>
      <c r="H9" s="27">
        <f t="shared" si="4"/>
        <v>1221.21</v>
      </c>
      <c r="I9" s="27">
        <f t="shared" si="4"/>
        <v>1221.21</v>
      </c>
      <c r="J9" s="27">
        <f t="shared" si="4"/>
        <v>1221.21</v>
      </c>
      <c r="K9" s="27">
        <f t="shared" si="4"/>
        <v>1221.21</v>
      </c>
      <c r="L9" s="27">
        <f t="shared" si="4"/>
        <v>1221.21</v>
      </c>
    </row>
    <row r="10" spans="2:15" x14ac:dyDescent="0.25">
      <c r="B10" s="19" t="s">
        <v>205</v>
      </c>
      <c r="C10" s="20">
        <f>C9/Balance_Sheet!C74</f>
        <v>5.518285553336149E-3</v>
      </c>
      <c r="D10" s="20">
        <f>D9/Balance_Sheet!D74</f>
        <v>4.9207276681722673E-3</v>
      </c>
      <c r="E10" s="20">
        <f>E9/Balance_Sheet!E74</f>
        <v>4.6001652692575111E-3</v>
      </c>
      <c r="F10" s="20">
        <f>F9/Balance_Sheet!F74</f>
        <v>4.6442183198898744E-3</v>
      </c>
      <c r="G10" s="20">
        <f>G9/Balance_Sheet!G74</f>
        <v>4.0851514864701068E-3</v>
      </c>
      <c r="H10" s="28">
        <f>H9/Balance_Sheet!H74</f>
        <v>3.8449338537250781E-3</v>
      </c>
      <c r="I10" s="28">
        <f>I9/Balance_Sheet!I74</f>
        <v>3.5604114268134616E-3</v>
      </c>
      <c r="J10" s="28">
        <f>J9/Balance_Sheet!J74</f>
        <v>3.2511466211338235E-3</v>
      </c>
      <c r="K10" s="28">
        <f>K9/Balance_Sheet!K74</f>
        <v>2.9585660516334815E-3</v>
      </c>
      <c r="L10" s="28">
        <f>L9/Balance_Sheet!L74</f>
        <v>2.7555682826257664E-3</v>
      </c>
    </row>
    <row r="11" spans="2:15" ht="18.75" x14ac:dyDescent="0.25">
      <c r="B11" s="8" t="s">
        <v>7</v>
      </c>
      <c r="C11" s="5">
        <v>57450.65</v>
      </c>
      <c r="D11" s="5">
        <f>Income_Statement!D55+C11</f>
        <v>66874.719181932262</v>
      </c>
      <c r="E11" s="5">
        <f>Income_Statement!E55+D11</f>
        <v>70905.131652262018</v>
      </c>
      <c r="F11" s="5">
        <f>Income_Statement!F55+E11</f>
        <v>85425.117440810165</v>
      </c>
      <c r="G11" s="5">
        <f>Income_Statement!G55+F11</f>
        <v>126714.96067978241</v>
      </c>
      <c r="H11" s="24">
        <f>H74-H9-H21-H33-H35</f>
        <v>142536.61540510043</v>
      </c>
      <c r="I11" s="24">
        <f t="shared" ref="I11:L11" si="5">I74-I9-I21-I33-I35</f>
        <v>154024.6949696118</v>
      </c>
      <c r="J11" s="24">
        <f t="shared" si="5"/>
        <v>168792.44255900852</v>
      </c>
      <c r="K11" s="24">
        <f t="shared" si="5"/>
        <v>185605.54815885541</v>
      </c>
      <c r="L11" s="24">
        <f t="shared" si="5"/>
        <v>199368.7480742303</v>
      </c>
    </row>
    <row r="12" spans="2:15" x14ac:dyDescent="0.25">
      <c r="B12" s="17" t="s">
        <v>206</v>
      </c>
      <c r="C12" s="18">
        <f>C11/Balance_Sheet!C74</f>
        <v>0.27689339440566962</v>
      </c>
      <c r="D12" s="18">
        <f>D11/Balance_Sheet!D74</f>
        <v>0.2874144330530724</v>
      </c>
      <c r="E12" s="18">
        <f>E11/Balance_Sheet!E74</f>
        <v>0.28488171888629826</v>
      </c>
      <c r="F12" s="18">
        <f>F11/Balance_Sheet!F74</f>
        <v>0.33127052663000028</v>
      </c>
      <c r="G12" s="18">
        <f>G11/Balance_Sheet!G74</f>
        <v>0.42388271466743166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58595.6</v>
      </c>
      <c r="D13" s="7">
        <f t="shared" ref="D13:L13" si="6">D9+D11</f>
        <v>68019.659181932264</v>
      </c>
      <c r="E13" s="7">
        <f t="shared" si="6"/>
        <v>72050.081652262015</v>
      </c>
      <c r="F13" s="7">
        <f t="shared" si="6"/>
        <v>86622.727440810166</v>
      </c>
      <c r="G13" s="7">
        <f t="shared" si="6"/>
        <v>127936.17067978242</v>
      </c>
      <c r="H13" s="27">
        <f t="shared" si="6"/>
        <v>143757.82540510042</v>
      </c>
      <c r="I13" s="27">
        <f t="shared" si="6"/>
        <v>155245.90496961179</v>
      </c>
      <c r="J13" s="27">
        <f t="shared" si="6"/>
        <v>170013.65255900851</v>
      </c>
      <c r="K13" s="27">
        <f t="shared" si="6"/>
        <v>186826.7581588554</v>
      </c>
      <c r="L13" s="27">
        <f t="shared" si="6"/>
        <v>200589.95807423029</v>
      </c>
    </row>
    <row r="14" spans="2:15" x14ac:dyDescent="0.25">
      <c r="B14" s="19" t="s">
        <v>207</v>
      </c>
      <c r="C14" s="20">
        <f>C13/Balance_Sheet!C74</f>
        <v>0.28241167995900573</v>
      </c>
      <c r="D14" s="20">
        <f>D13/Balance_Sheet!D74</f>
        <v>0.29233516072124466</v>
      </c>
      <c r="E14" s="20">
        <f>E13/Balance_Sheet!E74</f>
        <v>0.28948188415555576</v>
      </c>
      <c r="F14" s="20">
        <f>F13/Balance_Sheet!F74</f>
        <v>0.33591474494989015</v>
      </c>
      <c r="G14" s="20">
        <f>G13/Balance_Sheet!G74</f>
        <v>0.42796786615390181</v>
      </c>
      <c r="H14" s="28">
        <f>H13/Balance_Sheet!H74</f>
        <v>0.45261611814345581</v>
      </c>
      <c r="I14" s="28">
        <f>I13/Balance_Sheet!I74</f>
        <v>0.4526160889771641</v>
      </c>
      <c r="J14" s="28">
        <f>J13/Balance_Sheet!J74</f>
        <v>0.45261610375270456</v>
      </c>
      <c r="K14" s="28">
        <f>K13/Balance_Sheet!K74</f>
        <v>0.45261609733422437</v>
      </c>
      <c r="L14" s="28">
        <f>L13/Balance_Sheet!L74</f>
        <v>0.45261611539586249</v>
      </c>
    </row>
    <row r="15" spans="2:15" ht="18.75" x14ac:dyDescent="0.25">
      <c r="B15" s="8" t="s">
        <v>12</v>
      </c>
      <c r="C15" s="5">
        <v>72789.100000000006</v>
      </c>
      <c r="D15" s="5">
        <v>80342.73</v>
      </c>
      <c r="E15" s="5">
        <v>94104.97</v>
      </c>
      <c r="F15" s="5">
        <v>65698.009999999995</v>
      </c>
      <c r="G15" s="5">
        <v>44764.07</v>
      </c>
      <c r="H15" s="24">
        <f>ROUND(H74*H16,2)</f>
        <v>47560.77</v>
      </c>
      <c r="I15" s="24">
        <f t="shared" ref="I15:L15" si="7">ROUND(I74*I16,2)</f>
        <v>51361.48</v>
      </c>
      <c r="J15" s="24">
        <f t="shared" si="7"/>
        <v>56247.23</v>
      </c>
      <c r="K15" s="24">
        <f t="shared" si="7"/>
        <v>61809.68</v>
      </c>
      <c r="L15" s="24">
        <f t="shared" si="7"/>
        <v>66363.08</v>
      </c>
    </row>
    <row r="16" spans="2:15" x14ac:dyDescent="0.25">
      <c r="B16" s="17" t="s">
        <v>208</v>
      </c>
      <c r="C16" s="18">
        <f>C15/Balance_Sheet!C74</f>
        <v>0.35081972048590798</v>
      </c>
      <c r="D16" s="18">
        <f>D15/Balance_Sheet!D74</f>
        <v>0.34529730330628156</v>
      </c>
      <c r="E16" s="18">
        <f>E15/Balance_Sheet!E74</f>
        <v>0.37809372868554963</v>
      </c>
      <c r="F16" s="18">
        <f>F15/Balance_Sheet!F74</f>
        <v>0.25477066960221456</v>
      </c>
      <c r="G16" s="18">
        <f>G15/Balance_Sheet!G74</f>
        <v>0.14974329320997365</v>
      </c>
      <c r="H16" s="25">
        <f>G16</f>
        <v>0.14974329320997365</v>
      </c>
      <c r="I16" s="25">
        <f t="shared" ref="I16:L16" si="8">H16</f>
        <v>0.14974329320997365</v>
      </c>
      <c r="J16" s="25">
        <f t="shared" si="8"/>
        <v>0.14974329320997365</v>
      </c>
      <c r="K16" s="25">
        <f t="shared" si="8"/>
        <v>0.14974329320997365</v>
      </c>
      <c r="L16" s="25">
        <f t="shared" si="8"/>
        <v>0.14974329320997365</v>
      </c>
    </row>
    <row r="17" spans="2:12" ht="18.75" x14ac:dyDescent="0.25">
      <c r="B17" s="8" t="s">
        <v>13</v>
      </c>
      <c r="C17" s="5">
        <v>10569.88</v>
      </c>
      <c r="D17" s="5">
        <v>12459.89</v>
      </c>
      <c r="E17" s="5">
        <v>9261.3799999999992</v>
      </c>
      <c r="F17" s="5">
        <v>9241.42</v>
      </c>
      <c r="G17" s="5">
        <v>12325.78</v>
      </c>
      <c r="H17" s="24">
        <f>H74*H18</f>
        <v>13095.850385077614</v>
      </c>
      <c r="I17" s="24">
        <f t="shared" ref="I17:L17" si="9">I74*I18</f>
        <v>14142.37638653147</v>
      </c>
      <c r="J17" s="24">
        <f t="shared" si="9"/>
        <v>15487.667692865612</v>
      </c>
      <c r="K17" s="24">
        <f t="shared" si="9"/>
        <v>17019.284886711528</v>
      </c>
      <c r="L17" s="24">
        <f t="shared" si="9"/>
        <v>18273.065053907034</v>
      </c>
    </row>
    <row r="18" spans="2:12" x14ac:dyDescent="0.25">
      <c r="B18" s="17" t="s">
        <v>209</v>
      </c>
      <c r="C18" s="18">
        <f>C17/Balance_Sheet!C74</f>
        <v>5.0943374037728015E-2</v>
      </c>
      <c r="D18" s="18">
        <f>D17/Balance_Sheet!D74</f>
        <v>5.355016460721343E-2</v>
      </c>
      <c r="E18" s="18">
        <f>E17/Balance_Sheet!E74</f>
        <v>3.7210252518796567E-2</v>
      </c>
      <c r="F18" s="18">
        <f>F17/Balance_Sheet!F74</f>
        <v>3.5837352782455631E-2</v>
      </c>
      <c r="G18" s="18">
        <f>G17/Balance_Sheet!G74</f>
        <v>4.1231793458048588E-2</v>
      </c>
      <c r="H18" s="25">
        <f>MEDIAN(C18:G18)</f>
        <v>4.1231793458048588E-2</v>
      </c>
      <c r="I18" s="25">
        <f t="shared" ref="I18:L18" si="10">H18</f>
        <v>4.1231793458048588E-2</v>
      </c>
      <c r="J18" s="25">
        <f t="shared" si="10"/>
        <v>4.1231793458048588E-2</v>
      </c>
      <c r="K18" s="25">
        <f t="shared" si="10"/>
        <v>4.1231793458048588E-2</v>
      </c>
      <c r="L18" s="25">
        <f t="shared" si="10"/>
        <v>4.1231793458048588E-2</v>
      </c>
    </row>
    <row r="19" spans="2:12" ht="18.75" x14ac:dyDescent="0.25">
      <c r="B19" s="8" t="s">
        <v>18</v>
      </c>
      <c r="C19" s="5">
        <v>15884.98</v>
      </c>
      <c r="D19" s="5">
        <v>10802.08</v>
      </c>
      <c r="E19" s="5">
        <v>19184.48</v>
      </c>
      <c r="F19" s="5">
        <v>14968.97</v>
      </c>
      <c r="G19" s="5">
        <v>24064.61</v>
      </c>
      <c r="H19" s="24">
        <f>ROUND(H74*H20,2)</f>
        <v>25568.080000000002</v>
      </c>
      <c r="I19" s="24">
        <f t="shared" ref="I19:L19" si="11">ROUND(I74*I20,2)</f>
        <v>27611.3</v>
      </c>
      <c r="J19" s="24">
        <f t="shared" si="11"/>
        <v>30237.82</v>
      </c>
      <c r="K19" s="24">
        <f t="shared" si="11"/>
        <v>33228.120000000003</v>
      </c>
      <c r="L19" s="24">
        <f t="shared" si="11"/>
        <v>35675.97</v>
      </c>
    </row>
    <row r="20" spans="2:12" x14ac:dyDescent="0.25">
      <c r="B20" s="17" t="s">
        <v>210</v>
      </c>
      <c r="C20" s="18">
        <f>C19/Balance_Sheet!C74</f>
        <v>7.6560422419349017E-2</v>
      </c>
      <c r="D20" s="18">
        <f>D19/Balance_Sheet!D74</f>
        <v>4.6425222221086068E-2</v>
      </c>
      <c r="E20" s="18">
        <f>E19/Balance_Sheet!E74</f>
        <v>7.7079155076435951E-2</v>
      </c>
      <c r="F20" s="18">
        <f>F19/Balance_Sheet!F74</f>
        <v>5.8048250017853846E-2</v>
      </c>
      <c r="G20" s="18">
        <f>G19/Balance_Sheet!G74</f>
        <v>8.0500141100075667E-2</v>
      </c>
      <c r="H20" s="25">
        <f>G20</f>
        <v>8.0500141100075667E-2</v>
      </c>
      <c r="I20" s="25">
        <f t="shared" ref="I20:L20" si="12">H20</f>
        <v>8.0500141100075667E-2</v>
      </c>
      <c r="J20" s="25">
        <f t="shared" si="12"/>
        <v>8.0500141100075667E-2</v>
      </c>
      <c r="K20" s="25">
        <f t="shared" si="12"/>
        <v>8.0500141100075667E-2</v>
      </c>
      <c r="L20" s="25">
        <f t="shared" si="12"/>
        <v>8.0500141100075667E-2</v>
      </c>
    </row>
    <row r="21" spans="2:12" ht="18.75" x14ac:dyDescent="0.25">
      <c r="B21" s="9" t="s">
        <v>123</v>
      </c>
      <c r="C21" s="7">
        <f>C15+C17+C19</f>
        <v>99243.96</v>
      </c>
      <c r="D21" s="7">
        <f t="shared" ref="D21:G21" si="13">D15+D17+D19</f>
        <v>103604.7</v>
      </c>
      <c r="E21" s="7">
        <f t="shared" si="13"/>
        <v>122550.83</v>
      </c>
      <c r="F21" s="7">
        <f t="shared" si="13"/>
        <v>89908.4</v>
      </c>
      <c r="G21" s="7">
        <f t="shared" si="13"/>
        <v>81154.459999999992</v>
      </c>
      <c r="H21" s="27">
        <f>ROUND(H74*H22,2)</f>
        <v>86224.7</v>
      </c>
      <c r="I21" s="27">
        <f t="shared" ref="I21:L21" si="14">ROUND(I74*I22,2)</f>
        <v>93115.16</v>
      </c>
      <c r="J21" s="27">
        <f t="shared" si="14"/>
        <v>101972.72</v>
      </c>
      <c r="K21" s="27">
        <f t="shared" si="14"/>
        <v>112057.08</v>
      </c>
      <c r="L21" s="27">
        <f t="shared" si="14"/>
        <v>120312.12</v>
      </c>
    </row>
    <row r="22" spans="2:12" x14ac:dyDescent="0.25">
      <c r="B22" s="19" t="s">
        <v>211</v>
      </c>
      <c r="C22" s="20">
        <f>C21/Balance_Sheet!C74</f>
        <v>0.47832351694298497</v>
      </c>
      <c r="D22" s="20">
        <f>D21/Balance_Sheet!D74</f>
        <v>0.44527269013458104</v>
      </c>
      <c r="E22" s="20">
        <f>E21/Balance_Sheet!E74</f>
        <v>0.49238313628078212</v>
      </c>
      <c r="F22" s="20">
        <f>F21/Balance_Sheet!F74</f>
        <v>0.34865627240252406</v>
      </c>
      <c r="G22" s="20">
        <f>G21/Balance_Sheet!G74</f>
        <v>0.27147522776809785</v>
      </c>
      <c r="H22" s="28">
        <f>G22</f>
        <v>0.27147522776809785</v>
      </c>
      <c r="I22" s="28">
        <f t="shared" ref="I22:L22" si="15">H22</f>
        <v>0.27147522776809785</v>
      </c>
      <c r="J22" s="28">
        <f t="shared" si="15"/>
        <v>0.27147522776809785</v>
      </c>
      <c r="K22" s="28">
        <f t="shared" si="15"/>
        <v>0.27147522776809785</v>
      </c>
      <c r="L22" s="28">
        <f t="shared" si="15"/>
        <v>0.27147522776809785</v>
      </c>
    </row>
    <row r="23" spans="2:12" ht="18.75" x14ac:dyDescent="0.25">
      <c r="B23" s="8" t="s">
        <v>15</v>
      </c>
      <c r="C23" s="5">
        <v>4338.24</v>
      </c>
      <c r="D23" s="5">
        <v>4046.21</v>
      </c>
      <c r="E23" s="5">
        <v>4235.07</v>
      </c>
      <c r="F23" s="5">
        <v>4691.92</v>
      </c>
      <c r="G23" s="5">
        <v>4825.9799999999996</v>
      </c>
      <c r="H23" s="24">
        <f>H74*H24</f>
        <v>5523.2728772119599</v>
      </c>
      <c r="I23" s="24">
        <f t="shared" ref="I23:L23" si="16">I74*I24</f>
        <v>5964.6530479654084</v>
      </c>
      <c r="J23" s="24">
        <f t="shared" si="16"/>
        <v>6532.0397212807338</v>
      </c>
      <c r="K23" s="24">
        <f t="shared" si="16"/>
        <v>7178.0107316612493</v>
      </c>
      <c r="L23" s="24">
        <f t="shared" si="16"/>
        <v>7706.8018973993703</v>
      </c>
    </row>
    <row r="24" spans="2:12" x14ac:dyDescent="0.25">
      <c r="B24" s="17" t="s">
        <v>212</v>
      </c>
      <c r="C24" s="18">
        <f>C23/Balance_Sheet!C74</f>
        <v>2.0908901802615846E-2</v>
      </c>
      <c r="D24" s="18">
        <f>D23/Balance_Sheet!D74</f>
        <v>1.7389817368801255E-2</v>
      </c>
      <c r="E24" s="18">
        <f>E23/Balance_Sheet!E74</f>
        <v>1.7015609351390373E-2</v>
      </c>
      <c r="F24" s="18">
        <f>F23/Balance_Sheet!F74</f>
        <v>1.8194822036771321E-2</v>
      </c>
      <c r="G24" s="18">
        <f>G23/Balance_Sheet!G74</f>
        <v>1.6143709411710519E-2</v>
      </c>
      <c r="H24" s="25">
        <f>MEDIAN(C24:G24)</f>
        <v>1.7389817368801255E-2</v>
      </c>
      <c r="I24" s="25">
        <f t="shared" ref="I24:L24" si="17">H24</f>
        <v>1.7389817368801255E-2</v>
      </c>
      <c r="J24" s="25">
        <f t="shared" si="17"/>
        <v>1.7389817368801255E-2</v>
      </c>
      <c r="K24" s="25">
        <f t="shared" si="17"/>
        <v>1.7389817368801255E-2</v>
      </c>
      <c r="L24" s="25">
        <f t="shared" si="17"/>
        <v>1.7389817368801255E-2</v>
      </c>
    </row>
    <row r="25" spans="2:12" ht="18.75" x14ac:dyDescent="0.25">
      <c r="B25" s="8" t="s">
        <v>21</v>
      </c>
      <c r="C25" s="5">
        <v>1269.6400000000001</v>
      </c>
      <c r="D25" s="5">
        <v>1248.72</v>
      </c>
      <c r="E25" s="5">
        <v>1663.67</v>
      </c>
      <c r="F25" s="5">
        <v>4725.32</v>
      </c>
      <c r="G25" s="5">
        <v>2768.49</v>
      </c>
      <c r="H25" s="24">
        <f>H74*H26</f>
        <v>2123.0272947715157</v>
      </c>
      <c r="I25" s="24">
        <f t="shared" ref="I25:L25" si="18">I74*I26</f>
        <v>2292.6843388307789</v>
      </c>
      <c r="J25" s="24">
        <f t="shared" si="18"/>
        <v>2510.7755722203001</v>
      </c>
      <c r="K25" s="24">
        <f t="shared" si="18"/>
        <v>2759.0729345192331</v>
      </c>
      <c r="L25" s="24">
        <f t="shared" si="18"/>
        <v>2962.3288849409269</v>
      </c>
    </row>
    <row r="26" spans="2:12" x14ac:dyDescent="0.25">
      <c r="B26" s="17" t="s">
        <v>213</v>
      </c>
      <c r="C26" s="18">
        <f>C25/Balance_Sheet!C74</f>
        <v>6.1192506833815524E-3</v>
      </c>
      <c r="D26" s="18">
        <f>D25/Balance_Sheet!D74</f>
        <v>5.3667537633413746E-3</v>
      </c>
      <c r="E26" s="18">
        <f>E25/Balance_Sheet!E74</f>
        <v>6.6842717616539095E-3</v>
      </c>
      <c r="F26" s="18">
        <f>F25/Balance_Sheet!F74</f>
        <v>1.8324344078073849E-2</v>
      </c>
      <c r="G26" s="18">
        <f>G25/Balance_Sheet!G74</f>
        <v>9.2610616018355772E-3</v>
      </c>
      <c r="H26" s="25">
        <f>MEDIAN(C26:G26)</f>
        <v>6.6842717616539095E-3</v>
      </c>
      <c r="I26" s="25">
        <f t="shared" ref="I26:L26" si="19">H26</f>
        <v>6.6842717616539095E-3</v>
      </c>
      <c r="J26" s="25">
        <f t="shared" si="19"/>
        <v>6.6842717616539095E-3</v>
      </c>
      <c r="K26" s="25">
        <f t="shared" si="19"/>
        <v>6.6842717616539095E-3</v>
      </c>
      <c r="L26" s="25">
        <f t="shared" si="19"/>
        <v>6.6842717616539095E-3</v>
      </c>
    </row>
    <row r="27" spans="2:12" ht="18.75" x14ac:dyDescent="0.25">
      <c r="B27" s="8" t="s">
        <v>14</v>
      </c>
      <c r="C27" s="5">
        <v>4592.17</v>
      </c>
      <c r="D27" s="5">
        <v>4409.8900000000003</v>
      </c>
      <c r="E27" s="5">
        <v>4994.22</v>
      </c>
      <c r="F27" s="5">
        <v>17480.28</v>
      </c>
      <c r="G27" s="5">
        <v>15843.31</v>
      </c>
      <c r="H27" s="24">
        <f>ROUND(H74*H28,2)</f>
        <v>16833.14</v>
      </c>
      <c r="I27" s="24">
        <f t="shared" ref="I27:L27" si="20">ROUND(I74*I28,2)</f>
        <v>18178.330000000002</v>
      </c>
      <c r="J27" s="24">
        <f t="shared" si="20"/>
        <v>19907.54</v>
      </c>
      <c r="K27" s="24">
        <f t="shared" si="20"/>
        <v>21876.25</v>
      </c>
      <c r="L27" s="24">
        <f t="shared" si="20"/>
        <v>23487.83</v>
      </c>
    </row>
    <row r="28" spans="2:12" x14ac:dyDescent="0.25">
      <c r="B28" s="17" t="s">
        <v>214</v>
      </c>
      <c r="C28" s="18">
        <f>C27/Balance_Sheet!C74</f>
        <v>2.2132761578639821E-2</v>
      </c>
      <c r="D28" s="18">
        <f>D27/Balance_Sheet!D74</f>
        <v>1.8952842713676001E-2</v>
      </c>
      <c r="E28" s="18">
        <f>E27/Balance_Sheet!E74</f>
        <v>2.0065712381353989E-2</v>
      </c>
      <c r="F28" s="18">
        <f>F27/Balance_Sheet!F74</f>
        <v>6.7786872698795589E-2</v>
      </c>
      <c r="G28" s="18">
        <f>G27/Balance_Sheet!G74</f>
        <v>5.2998519007465307E-2</v>
      </c>
      <c r="H28" s="25">
        <f>G28</f>
        <v>5.2998519007465307E-2</v>
      </c>
      <c r="I28" s="25">
        <f t="shared" ref="I28:L28" si="21">H28</f>
        <v>5.2998519007465307E-2</v>
      </c>
      <c r="J28" s="25">
        <f t="shared" si="21"/>
        <v>5.2998519007465307E-2</v>
      </c>
      <c r="K28" s="25">
        <f t="shared" si="21"/>
        <v>5.2998519007465307E-2</v>
      </c>
      <c r="L28" s="25">
        <f t="shared" si="21"/>
        <v>5.2998519007465307E-2</v>
      </c>
    </row>
    <row r="29" spans="2:12" ht="18.75" x14ac:dyDescent="0.25">
      <c r="B29" s="8" t="s">
        <v>19</v>
      </c>
      <c r="C29" s="5">
        <v>20413.810000000001</v>
      </c>
      <c r="D29" s="5">
        <v>21716.959999999999</v>
      </c>
      <c r="E29" s="5">
        <v>21380.85</v>
      </c>
      <c r="F29" s="5">
        <v>25967.49</v>
      </c>
      <c r="G29" s="5">
        <v>36764.870000000003</v>
      </c>
      <c r="H29" s="24">
        <f>H74*H30</f>
        <v>31249.508855876782</v>
      </c>
      <c r="I29" s="24">
        <f t="shared" ref="I29:L29" si="22">I74*I30</f>
        <v>33746.744437279143</v>
      </c>
      <c r="J29" s="24">
        <f t="shared" si="22"/>
        <v>36956.898139014003</v>
      </c>
      <c r="K29" s="24">
        <f t="shared" si="22"/>
        <v>40611.66538631235</v>
      </c>
      <c r="L29" s="24">
        <f t="shared" si="22"/>
        <v>43603.453875492349</v>
      </c>
    </row>
    <row r="30" spans="2:12" x14ac:dyDescent="0.25">
      <c r="B30" s="17" t="s">
        <v>215</v>
      </c>
      <c r="C30" s="18">
        <f>C29/Balance_Sheet!C74</f>
        <v>9.8387905857503843E-2</v>
      </c>
      <c r="D30" s="18">
        <f>D29/Balance_Sheet!D74</f>
        <v>9.3335236729077842E-2</v>
      </c>
      <c r="E30" s="18">
        <f>E29/Balance_Sheet!E74</f>
        <v>8.5903701993278708E-2</v>
      </c>
      <c r="F30" s="18">
        <f>F29/Balance_Sheet!F74</f>
        <v>0.10069947042823385</v>
      </c>
      <c r="G30" s="18">
        <f>G29/Balance_Sheet!G74</f>
        <v>0.12298463272523173</v>
      </c>
      <c r="H30" s="25">
        <f>MEDIAN(C30:G30)</f>
        <v>9.8387905857503843E-2</v>
      </c>
      <c r="I30" s="25">
        <f t="shared" ref="I30:L30" si="23">H30</f>
        <v>9.8387905857503843E-2</v>
      </c>
      <c r="J30" s="25">
        <f t="shared" si="23"/>
        <v>9.8387905857503843E-2</v>
      </c>
      <c r="K30" s="25">
        <f t="shared" si="23"/>
        <v>9.8387905857503843E-2</v>
      </c>
      <c r="L30" s="25">
        <f t="shared" si="23"/>
        <v>9.8387905857503843E-2</v>
      </c>
    </row>
    <row r="31" spans="2:12" ht="18.75" x14ac:dyDescent="0.25">
      <c r="B31" s="8" t="s">
        <v>20</v>
      </c>
      <c r="C31" s="5">
        <v>18092.98</v>
      </c>
      <c r="D31" s="5">
        <v>27266.37</v>
      </c>
      <c r="E31" s="5">
        <v>19431.91</v>
      </c>
      <c r="F31" s="5">
        <v>25205.35</v>
      </c>
      <c r="G31" s="5">
        <v>26990.03</v>
      </c>
      <c r="H31" s="24">
        <f>H74*H32</f>
        <v>28676.269961718961</v>
      </c>
      <c r="I31" s="24">
        <f t="shared" ref="I31:L31" si="24">I74*I32</f>
        <v>30967.870832010303</v>
      </c>
      <c r="J31" s="24">
        <f t="shared" si="24"/>
        <v>33913.684623648456</v>
      </c>
      <c r="K31" s="24">
        <f t="shared" si="24"/>
        <v>37267.500285652575</v>
      </c>
      <c r="L31" s="24">
        <f t="shared" si="24"/>
        <v>40012.930134798975</v>
      </c>
    </row>
    <row r="32" spans="2:12" x14ac:dyDescent="0.25">
      <c r="B32" s="17" t="s">
        <v>216</v>
      </c>
      <c r="C32" s="18">
        <f>C31/Balance_Sheet!C74</f>
        <v>8.720226223922431E-2</v>
      </c>
      <c r="D32" s="18">
        <f>D31/Balance_Sheet!D74</f>
        <v>0.11718551301345245</v>
      </c>
      <c r="E32" s="18">
        <f>E31/Balance_Sheet!E74</f>
        <v>7.8073276123269766E-2</v>
      </c>
      <c r="F32" s="18">
        <f>F31/Balance_Sheet!F74</f>
        <v>9.7743963585170679E-2</v>
      </c>
      <c r="G32" s="18">
        <f>G31/Balance_Sheet!G74</f>
        <v>9.0286159771352001E-2</v>
      </c>
      <c r="H32" s="25">
        <f>MEDIAN(C32:G32)</f>
        <v>9.0286159771352001E-2</v>
      </c>
      <c r="I32" s="25">
        <f t="shared" ref="I32:L32" si="25">H32</f>
        <v>9.0286159771352001E-2</v>
      </c>
      <c r="J32" s="25">
        <f t="shared" si="25"/>
        <v>9.0286159771352001E-2</v>
      </c>
      <c r="K32" s="25">
        <f t="shared" si="25"/>
        <v>9.0286159771352001E-2</v>
      </c>
      <c r="L32" s="25">
        <f t="shared" si="25"/>
        <v>9.0286159771352001E-2</v>
      </c>
    </row>
    <row r="33" spans="2:12" ht="18.75" x14ac:dyDescent="0.25">
      <c r="B33" s="9" t="s">
        <v>22</v>
      </c>
      <c r="C33" s="7">
        <f>C23+C25+C27+C29+C31</f>
        <v>48706.84</v>
      </c>
      <c r="D33" s="7">
        <f t="shared" ref="D33:L33" si="26">D23+D25+D27+D29+D31</f>
        <v>58688.149999999994</v>
      </c>
      <c r="E33" s="7">
        <f t="shared" si="26"/>
        <v>51705.72</v>
      </c>
      <c r="F33" s="7">
        <f t="shared" si="26"/>
        <v>78070.359999999986</v>
      </c>
      <c r="G33" s="7">
        <f t="shared" si="26"/>
        <v>87192.68</v>
      </c>
      <c r="H33" s="27">
        <f t="shared" si="26"/>
        <v>84405.218989579225</v>
      </c>
      <c r="I33" s="27">
        <f t="shared" si="26"/>
        <v>91150.282656085634</v>
      </c>
      <c r="J33" s="27">
        <f t="shared" si="26"/>
        <v>99820.93805616349</v>
      </c>
      <c r="K33" s="27">
        <f t="shared" si="26"/>
        <v>109692.4993381454</v>
      </c>
      <c r="L33" s="27">
        <f t="shared" si="26"/>
        <v>117773.34479263163</v>
      </c>
    </row>
    <row r="34" spans="2:12" x14ac:dyDescent="0.25">
      <c r="B34" s="19" t="s">
        <v>217</v>
      </c>
      <c r="C34" s="20">
        <f>C33/Balance_Sheet!C74</f>
        <v>0.23475108216136534</v>
      </c>
      <c r="D34" s="20">
        <f>D33/Balance_Sheet!D74</f>
        <v>0.25223016358834888</v>
      </c>
      <c r="E34" s="20">
        <f>E33/Balance_Sheet!E74</f>
        <v>0.20774257161094675</v>
      </c>
      <c r="F34" s="20">
        <f>F33/Balance_Sheet!F74</f>
        <v>0.30274947282704523</v>
      </c>
      <c r="G34" s="20">
        <f>G33/Balance_Sheet!G74</f>
        <v>0.29167408251759513</v>
      </c>
      <c r="H34" s="28">
        <f>H33/Balance_Sheet!H74</f>
        <v>0.26574666431171706</v>
      </c>
      <c r="I34" s="28">
        <f>I33/Balance_Sheet!I74</f>
        <v>0.26574668396590606</v>
      </c>
      <c r="J34" s="28">
        <f>J33/Balance_Sheet!J74</f>
        <v>0.26574668196272927</v>
      </c>
      <c r="K34" s="28">
        <f>K33/Balance_Sheet!K74</f>
        <v>0.26574668129205059</v>
      </c>
      <c r="L34" s="28">
        <f>L33/Balance_Sheet!L74</f>
        <v>0.26574667211153213</v>
      </c>
    </row>
    <row r="35" spans="2:12" ht="18.75" x14ac:dyDescent="0.25">
      <c r="B35" s="8" t="s">
        <v>10</v>
      </c>
      <c r="C35" s="5">
        <v>936.52</v>
      </c>
      <c r="D35" s="5">
        <v>2364.46</v>
      </c>
      <c r="E35" s="5">
        <v>2586.6</v>
      </c>
      <c r="F35" s="5">
        <v>3269.68</v>
      </c>
      <c r="G35" s="4">
        <v>2655.42</v>
      </c>
      <c r="H35" s="26">
        <f>H74*H36</f>
        <v>3227.6025681446563</v>
      </c>
      <c r="I35" s="26">
        <f t="shared" ref="I35:L35" si="27">I74*I36</f>
        <v>3485.5293091046406</v>
      </c>
      <c r="J35" s="26">
        <f t="shared" si="27"/>
        <v>3817.0897307305959</v>
      </c>
      <c r="K35" s="26">
        <f t="shared" si="27"/>
        <v>4194.5720203804931</v>
      </c>
      <c r="L35" s="26">
        <f t="shared" si="27"/>
        <v>4503.5786116699119</v>
      </c>
    </row>
    <row r="36" spans="2:12" x14ac:dyDescent="0.25">
      <c r="B36" s="17" t="s">
        <v>218</v>
      </c>
      <c r="C36" s="18">
        <f>C35/Balance_Sheet!C74</f>
        <v>4.5137209366438447E-3</v>
      </c>
      <c r="D36" s="18">
        <f>D35/Balance_Sheet!D74</f>
        <v>1.0161985555825282E-2</v>
      </c>
      <c r="E36" s="18">
        <f>E35/Balance_Sheet!E74</f>
        <v>1.0392407952715383E-2</v>
      </c>
      <c r="F36" s="18">
        <f>F35/Balance_Sheet!F74</f>
        <v>1.2679509820540514E-2</v>
      </c>
      <c r="G36" s="18">
        <f>G35/Balance_Sheet!G74</f>
        <v>8.8828235604052133E-3</v>
      </c>
      <c r="H36" s="25">
        <f>MEDIAN(C36:G36)</f>
        <v>1.0161985555825282E-2</v>
      </c>
      <c r="I36" s="25">
        <f t="shared" ref="I36:L36" si="28">H36</f>
        <v>1.0161985555825282E-2</v>
      </c>
      <c r="J36" s="25">
        <f t="shared" si="28"/>
        <v>1.0161985555825282E-2</v>
      </c>
      <c r="K36" s="25">
        <f t="shared" si="28"/>
        <v>1.0161985555825282E-2</v>
      </c>
      <c r="L36" s="25">
        <f t="shared" si="28"/>
        <v>1.0161985555825282E-2</v>
      </c>
    </row>
    <row r="37" spans="2:12" ht="18.75" x14ac:dyDescent="0.25">
      <c r="B37" s="9" t="s">
        <v>124</v>
      </c>
      <c r="C37" s="7">
        <f>C13+C21+C33+C35</f>
        <v>207482.91999999998</v>
      </c>
      <c r="D37" s="7">
        <f t="shared" ref="D37:L37" si="29">D13+D21+D33+D35</f>
        <v>232676.96918193225</v>
      </c>
      <c r="E37" s="7">
        <f t="shared" si="29"/>
        <v>248893.23165226204</v>
      </c>
      <c r="F37" s="7">
        <f t="shared" si="29"/>
        <v>257871.16744081012</v>
      </c>
      <c r="G37" s="7">
        <f t="shared" si="29"/>
        <v>298938.7306797824</v>
      </c>
      <c r="H37" s="27">
        <f t="shared" si="29"/>
        <v>317615.34696282435</v>
      </c>
      <c r="I37" s="27">
        <f t="shared" si="29"/>
        <v>342996.8769348021</v>
      </c>
      <c r="J37" s="27">
        <f t="shared" si="29"/>
        <v>375624.4003459026</v>
      </c>
      <c r="K37" s="27">
        <f t="shared" si="29"/>
        <v>412770.90951738128</v>
      </c>
      <c r="L37" s="27">
        <f t="shared" si="29"/>
        <v>443179.00147853181</v>
      </c>
    </row>
    <row r="38" spans="2:12" x14ac:dyDescent="0.25">
      <c r="B38" s="19" t="s">
        <v>219</v>
      </c>
      <c r="C38" s="20">
        <f>C37/Balance_Sheet!C74</f>
        <v>0.99999999999999989</v>
      </c>
      <c r="D38" s="20">
        <f>D37/Balance_Sheet!D74</f>
        <v>0.99999999999999989</v>
      </c>
      <c r="E38" s="20">
        <f>E37/Balance_Sheet!E74</f>
        <v>1.0000000000000002</v>
      </c>
      <c r="F38" s="20">
        <f>F37/Balance_Sheet!F74</f>
        <v>0.99999999999999989</v>
      </c>
      <c r="G38" s="20">
        <f>G37/Balance_Sheet!G74</f>
        <v>1</v>
      </c>
      <c r="H38" s="28">
        <f>H37/Balance_Sheet!H74</f>
        <v>1</v>
      </c>
      <c r="I38" s="28">
        <f>I37/Balance_Sheet!I74</f>
        <v>1</v>
      </c>
      <c r="J38" s="28">
        <f>J37/Balance_Sheet!J74</f>
        <v>0.99999999999999989</v>
      </c>
      <c r="K38" s="28">
        <f>K37/Balance_Sheet!K74</f>
        <v>0.99999999999999989</v>
      </c>
      <c r="L38" s="28">
        <f>L37/Balance_Sheet!L74</f>
        <v>0.99999999999999989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90322.78</v>
      </c>
      <c r="D40" s="5">
        <v>118450.97</v>
      </c>
      <c r="E40" s="5">
        <v>128053.75999999999</v>
      </c>
      <c r="F40" s="5">
        <v>128454.45</v>
      </c>
      <c r="G40" s="5">
        <v>124504.16</v>
      </c>
      <c r="H40" s="24">
        <f>ROUND(H74*H41,2)</f>
        <v>132282.73000000001</v>
      </c>
      <c r="I40" s="24">
        <f t="shared" ref="I40:L40" si="30">ROUND(I74*I41,2)</f>
        <v>142853.81</v>
      </c>
      <c r="J40" s="24">
        <f t="shared" si="30"/>
        <v>156442.76</v>
      </c>
      <c r="K40" s="24">
        <f t="shared" si="30"/>
        <v>171913.81</v>
      </c>
      <c r="L40" s="24">
        <f t="shared" si="30"/>
        <v>184578.39</v>
      </c>
    </row>
    <row r="41" spans="2:12" x14ac:dyDescent="0.25">
      <c r="B41" s="17" t="s">
        <v>220</v>
      </c>
      <c r="C41" s="18">
        <f>C40/Balance_Sheet!C74</f>
        <v>0.43532633915119373</v>
      </c>
      <c r="D41" s="18">
        <f>D40/Balance_Sheet!D74</f>
        <v>0.50907904816046534</v>
      </c>
      <c r="E41" s="18">
        <f>E40/Balance_Sheet!E74</f>
        <v>0.51449273710628129</v>
      </c>
      <c r="F41" s="18">
        <f>F40/Balance_Sheet!F74</f>
        <v>0.49813420893394172</v>
      </c>
      <c r="G41" s="18">
        <f>G40/Balance_Sheet!G74</f>
        <v>0.41648721701895008</v>
      </c>
      <c r="H41" s="25">
        <f>G41</f>
        <v>0.41648721701895008</v>
      </c>
      <c r="I41" s="25">
        <f t="shared" ref="I41:L41" si="31">H41</f>
        <v>0.41648721701895008</v>
      </c>
      <c r="J41" s="25">
        <f t="shared" si="31"/>
        <v>0.41648721701895008</v>
      </c>
      <c r="K41" s="25">
        <f t="shared" si="31"/>
        <v>0.41648721701895008</v>
      </c>
      <c r="L41" s="25">
        <f t="shared" si="31"/>
        <v>0.41648721701895008</v>
      </c>
    </row>
    <row r="42" spans="2:12" ht="18.75" x14ac:dyDescent="0.25">
      <c r="B42" s="8" t="s">
        <v>27</v>
      </c>
      <c r="C42" s="5">
        <v>1682.66</v>
      </c>
      <c r="D42" s="5">
        <v>1994.32</v>
      </c>
      <c r="E42" s="5">
        <v>2442.37</v>
      </c>
      <c r="F42" s="5">
        <v>2976.04</v>
      </c>
      <c r="G42" s="5">
        <v>4472.47</v>
      </c>
      <c r="H42" s="24">
        <f>ROUND(H74*H43,2)</f>
        <v>4751.8900000000003</v>
      </c>
      <c r="I42" s="24">
        <f t="shared" ref="I42:L42" si="32">ROUND(I74*I43,2)</f>
        <v>5131.63</v>
      </c>
      <c r="J42" s="24">
        <f t="shared" si="32"/>
        <v>5619.78</v>
      </c>
      <c r="K42" s="24">
        <f t="shared" si="32"/>
        <v>6175.53</v>
      </c>
      <c r="L42" s="24">
        <f t="shared" si="32"/>
        <v>6630.47</v>
      </c>
    </row>
    <row r="43" spans="2:12" x14ac:dyDescent="0.25">
      <c r="B43" s="17" t="s">
        <v>221</v>
      </c>
      <c r="C43" s="18">
        <f>C42/Balance_Sheet!C74</f>
        <v>8.1098723692533334E-3</v>
      </c>
      <c r="D43" s="18">
        <f>D42/Balance_Sheet!D74</f>
        <v>8.5711963973564686E-3</v>
      </c>
      <c r="E43" s="18">
        <f>E42/Balance_Sheet!E74</f>
        <v>9.8129225282121198E-3</v>
      </c>
      <c r="F43" s="18">
        <f>F42/Balance_Sheet!F74</f>
        <v>1.1540801670598162E-2</v>
      </c>
      <c r="G43" s="18">
        <f>G42/Balance_Sheet!G74</f>
        <v>1.4961159398214033E-2</v>
      </c>
      <c r="H43" s="25">
        <f>G43</f>
        <v>1.4961159398214033E-2</v>
      </c>
      <c r="I43" s="25">
        <f t="shared" ref="I43:L43" si="33">H43</f>
        <v>1.4961159398214033E-2</v>
      </c>
      <c r="J43" s="25">
        <f t="shared" si="33"/>
        <v>1.4961159398214033E-2</v>
      </c>
      <c r="K43" s="25">
        <f t="shared" si="33"/>
        <v>1.4961159398214033E-2</v>
      </c>
      <c r="L43" s="25">
        <f t="shared" si="33"/>
        <v>1.4961159398214033E-2</v>
      </c>
    </row>
    <row r="44" spans="2:12" ht="18.75" x14ac:dyDescent="0.25">
      <c r="B44" s="8" t="s">
        <v>125</v>
      </c>
      <c r="C44" s="4"/>
      <c r="D44" s="5">
        <f>Income_Statement!D31</f>
        <v>7341.83</v>
      </c>
      <c r="E44" s="5">
        <f>Income_Statement!E31+D44</f>
        <v>16049.5</v>
      </c>
      <c r="F44" s="5">
        <f>Income_Statement!F31+E44</f>
        <v>25283.14</v>
      </c>
      <c r="G44" s="5">
        <f>Income_Statement!G31+F44</f>
        <v>34384.01</v>
      </c>
      <c r="H44" s="24">
        <f>Income_Statement!H31+G44</f>
        <v>43379.250432917397</v>
      </c>
      <c r="I44" s="24">
        <f>Income_Statement!I31+H44</f>
        <v>53093.325487977869</v>
      </c>
      <c r="J44" s="24">
        <f>Income_Statement!J31+I44</f>
        <v>63731.450662663876</v>
      </c>
      <c r="K44" s="24">
        <f>Income_Statement!K31+J44</f>
        <v>75421.608967446955</v>
      </c>
      <c r="L44" s="24">
        <f>Income_Statement!L31+K44</f>
        <v>87972.960128485109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3.1553746061817385E-2</v>
      </c>
      <c r="E45" s="18">
        <f>E44/Balance_Sheet!E74</f>
        <v>6.4483473067774508E-2</v>
      </c>
      <c r="F45" s="18">
        <f>F44/Balance_Sheet!F74</f>
        <v>9.8045625848431878E-2</v>
      </c>
      <c r="G45" s="18">
        <f>G44/Balance_Sheet!G74</f>
        <v>0.11502025823757013</v>
      </c>
      <c r="H45" s="25">
        <f>H44/Balance_Sheet!H74</f>
        <v>0.13657794199092896</v>
      </c>
      <c r="I45" s="25">
        <f>I44/Balance_Sheet!I74</f>
        <v>0.15479244581597171</v>
      </c>
      <c r="J45" s="25">
        <f>J44/Balance_Sheet!J74</f>
        <v>0.16966802636882816</v>
      </c>
      <c r="K45" s="25">
        <f>K44/Balance_Sheet!K74</f>
        <v>0.18272026256799725</v>
      </c>
      <c r="L45" s="25">
        <f>L44/Balance_Sheet!L74</f>
        <v>0.19850435114251827</v>
      </c>
    </row>
    <row r="46" spans="2:12" ht="18.75" x14ac:dyDescent="0.25">
      <c r="B46" s="9" t="s">
        <v>126</v>
      </c>
      <c r="C46" s="7">
        <f>C40+C42-C44</f>
        <v>92005.440000000002</v>
      </c>
      <c r="D46" s="7">
        <f t="shared" ref="D46:L46" si="34">D40+D42-D44</f>
        <v>113103.46</v>
      </c>
      <c r="E46" s="7">
        <f t="shared" si="34"/>
        <v>114446.62999999999</v>
      </c>
      <c r="F46" s="7">
        <f t="shared" si="34"/>
        <v>106147.34999999999</v>
      </c>
      <c r="G46" s="7">
        <f t="shared" si="34"/>
        <v>94592.62</v>
      </c>
      <c r="H46" s="27">
        <f t="shared" si="34"/>
        <v>93655.369567082627</v>
      </c>
      <c r="I46" s="27">
        <f t="shared" si="34"/>
        <v>94892.114512022134</v>
      </c>
      <c r="J46" s="27">
        <f t="shared" si="34"/>
        <v>98331.089337336132</v>
      </c>
      <c r="K46" s="27">
        <f t="shared" si="34"/>
        <v>102667.73103255304</v>
      </c>
      <c r="L46" s="27">
        <f t="shared" si="34"/>
        <v>103235.89987151491</v>
      </c>
    </row>
    <row r="47" spans="2:12" x14ac:dyDescent="0.25">
      <c r="B47" s="19" t="s">
        <v>223</v>
      </c>
      <c r="C47" s="20">
        <f>C46/Balance_Sheet!C74</f>
        <v>0.44343621152044704</v>
      </c>
      <c r="D47" s="20">
        <f>D46/Balance_Sheet!D74</f>
        <v>0.48609649849600439</v>
      </c>
      <c r="E47" s="20">
        <f>E46/Balance_Sheet!E74</f>
        <v>0.4598221865667188</v>
      </c>
      <c r="F47" s="20">
        <f>F46/Balance_Sheet!F74</f>
        <v>0.411629384756108</v>
      </c>
      <c r="G47" s="20">
        <f>G46/Balance_Sheet!G74</f>
        <v>0.31642811817959399</v>
      </c>
      <c r="H47" s="28">
        <f>H46/Balance_Sheet!H74</f>
        <v>0.29487041625241311</v>
      </c>
      <c r="I47" s="28">
        <f>I46/Balance_Sheet!I74</f>
        <v>0.2766559140713678</v>
      </c>
      <c r="J47" s="28">
        <f>J46/Balance_Sheet!J74</f>
        <v>0.26178035624625451</v>
      </c>
      <c r="K47" s="28">
        <f>K46/Balance_Sheet!K74</f>
        <v>0.24872811689320323</v>
      </c>
      <c r="L47" s="28">
        <f>L46/Balance_Sheet!L74</f>
        <v>0.23294402380776108</v>
      </c>
    </row>
    <row r="48" spans="2:12" ht="18.75" x14ac:dyDescent="0.25">
      <c r="B48" s="8" t="s">
        <v>30</v>
      </c>
      <c r="C48" s="5">
        <v>2990.5</v>
      </c>
      <c r="D48" s="5">
        <v>3213.31</v>
      </c>
      <c r="E48" s="5">
        <v>2853.31</v>
      </c>
      <c r="F48" s="5">
        <v>3463.04</v>
      </c>
      <c r="G48" s="5">
        <v>4615.43</v>
      </c>
      <c r="H48" s="24">
        <f>H74*H49</f>
        <v>4386.323984438267</v>
      </c>
      <c r="I48" s="24">
        <f t="shared" ref="I48:L48" si="35">I74*I49</f>
        <v>4736.8473918945692</v>
      </c>
      <c r="J48" s="24">
        <f t="shared" si="35"/>
        <v>5187.4392472927984</v>
      </c>
      <c r="K48" s="24">
        <f t="shared" si="35"/>
        <v>5700.4390934119601</v>
      </c>
      <c r="L48" s="24">
        <f t="shared" si="35"/>
        <v>6120.3802088701204</v>
      </c>
    </row>
    <row r="49" spans="2:12" x14ac:dyDescent="0.25">
      <c r="B49" s="17" t="s">
        <v>224</v>
      </c>
      <c r="C49" s="18">
        <f>C48/Balance_Sheet!C74</f>
        <v>1.4413234592996859E-2</v>
      </c>
      <c r="D49" s="18">
        <f>D48/Balance_Sheet!D74</f>
        <v>1.381017644890966E-2</v>
      </c>
      <c r="E49" s="18">
        <f>E48/Balance_Sheet!E74</f>
        <v>1.1463991933643522E-2</v>
      </c>
      <c r="F49" s="18">
        <f>F48/Balance_Sheet!F74</f>
        <v>1.3429341614141025E-2</v>
      </c>
      <c r="G49" s="18">
        <f>G48/Balance_Sheet!G74</f>
        <v>1.5439384483584909E-2</v>
      </c>
      <c r="H49" s="25">
        <f>MEDIAN(C49:G49)</f>
        <v>1.381017644890966E-2</v>
      </c>
      <c r="I49" s="25">
        <f t="shared" ref="I49:L49" si="36">H49</f>
        <v>1.381017644890966E-2</v>
      </c>
      <c r="J49" s="25">
        <f t="shared" si="36"/>
        <v>1.381017644890966E-2</v>
      </c>
      <c r="K49" s="25">
        <f t="shared" si="36"/>
        <v>1.381017644890966E-2</v>
      </c>
      <c r="L49" s="25">
        <f t="shared" si="36"/>
        <v>1.381017644890966E-2</v>
      </c>
    </row>
    <row r="50" spans="2:12" ht="18.75" x14ac:dyDescent="0.25">
      <c r="B50" s="8" t="s">
        <v>36</v>
      </c>
      <c r="C50" s="5">
        <v>14908.97</v>
      </c>
      <c r="D50" s="5">
        <v>2524.86</v>
      </c>
      <c r="E50" s="5">
        <v>3431.87</v>
      </c>
      <c r="F50" s="5">
        <v>7218.89</v>
      </c>
      <c r="G50" s="5">
        <v>8524.42</v>
      </c>
      <c r="H50" s="24">
        <f>H74*H51</f>
        <v>8891.3788803579318</v>
      </c>
      <c r="I50" s="24">
        <f t="shared" ref="I50:L50" si="37">I74*I51</f>
        <v>9601.9138142080556</v>
      </c>
      <c r="J50" s="24">
        <f t="shared" si="37"/>
        <v>10515.294339897197</v>
      </c>
      <c r="K50" s="24">
        <f t="shared" si="37"/>
        <v>11555.180133466758</v>
      </c>
      <c r="L50" s="24">
        <f t="shared" si="37"/>
        <v>12406.429511813079</v>
      </c>
    </row>
    <row r="51" spans="2:12" x14ac:dyDescent="0.25">
      <c r="B51" s="17" t="s">
        <v>225</v>
      </c>
      <c r="C51" s="18">
        <f>C50/Balance_Sheet!C74</f>
        <v>7.1856372563100609E-2</v>
      </c>
      <c r="D51" s="18">
        <f>D50/Balance_Sheet!D74</f>
        <v>1.0851353311318873E-2</v>
      </c>
      <c r="E51" s="18">
        <f>E50/Balance_Sheet!E74</f>
        <v>1.3788522802399035E-2</v>
      </c>
      <c r="F51" s="18">
        <f>F50/Balance_Sheet!F74</f>
        <v>2.7994172716718984E-2</v>
      </c>
      <c r="G51" s="18">
        <f>G50/Balance_Sheet!G74</f>
        <v>2.8515609137081673E-2</v>
      </c>
      <c r="H51" s="25">
        <f>MEDIAN(C51:G51)</f>
        <v>2.7994172716718984E-2</v>
      </c>
      <c r="I51" s="25">
        <f t="shared" ref="I51:L51" si="38">H51</f>
        <v>2.7994172716718984E-2</v>
      </c>
      <c r="J51" s="25">
        <f t="shared" si="38"/>
        <v>2.7994172716718984E-2</v>
      </c>
      <c r="K51" s="25">
        <f t="shared" si="38"/>
        <v>2.7994172716718984E-2</v>
      </c>
      <c r="L51" s="25">
        <f t="shared" si="38"/>
        <v>2.7994172716718984E-2</v>
      </c>
    </row>
    <row r="52" spans="2:12" ht="18.75" x14ac:dyDescent="0.25">
      <c r="B52" s="8" t="s">
        <v>28</v>
      </c>
      <c r="C52" s="5">
        <v>18438.84</v>
      </c>
      <c r="D52" s="5">
        <v>17956.509999999998</v>
      </c>
      <c r="E52" s="5">
        <v>18862.060000000001</v>
      </c>
      <c r="F52" s="5">
        <v>18128.740000000002</v>
      </c>
      <c r="G52" s="5">
        <v>21227.62</v>
      </c>
      <c r="H52" s="24">
        <f>H74*H53</f>
        <v>24070.07893128927</v>
      </c>
      <c r="I52" s="24">
        <f t="shared" ref="I52:L52" si="39">I74*I53</f>
        <v>25993.586204046769</v>
      </c>
      <c r="J52" s="24">
        <f t="shared" si="39"/>
        <v>28466.22196093795</v>
      </c>
      <c r="K52" s="24">
        <f t="shared" si="39"/>
        <v>31281.323360569015</v>
      </c>
      <c r="L52" s="24">
        <f t="shared" si="39"/>
        <v>33585.762301110713</v>
      </c>
    </row>
    <row r="53" spans="2:12" x14ac:dyDescent="0.25">
      <c r="B53" s="17" t="s">
        <v>226</v>
      </c>
      <c r="C53" s="18">
        <f>C52/Balance_Sheet!C74</f>
        <v>8.8869194630574883E-2</v>
      </c>
      <c r="D53" s="18">
        <f>D52/Balance_Sheet!D74</f>
        <v>7.7173559820437734E-2</v>
      </c>
      <c r="E53" s="18">
        <f>E52/Balance_Sheet!E74</f>
        <v>7.5783740179616005E-2</v>
      </c>
      <c r="F53" s="18">
        <f>F52/Balance_Sheet!F74</f>
        <v>7.0301539252778766E-2</v>
      </c>
      <c r="G53" s="18">
        <f>G52/Balance_Sheet!G74</f>
        <v>7.1009935553444994E-2</v>
      </c>
      <c r="H53" s="25">
        <f>MEDIAN(C53:G53)</f>
        <v>7.5783740179616005E-2</v>
      </c>
      <c r="I53" s="25">
        <f t="shared" ref="I53:L53" si="40">H53</f>
        <v>7.5783740179616005E-2</v>
      </c>
      <c r="J53" s="25">
        <f t="shared" si="40"/>
        <v>7.5783740179616005E-2</v>
      </c>
      <c r="K53" s="25">
        <f t="shared" si="40"/>
        <v>7.5783740179616005E-2</v>
      </c>
      <c r="L53" s="25">
        <f t="shared" si="40"/>
        <v>7.5783740179616005E-2</v>
      </c>
    </row>
    <row r="54" spans="2:12" ht="18.75" x14ac:dyDescent="0.25">
      <c r="B54" s="9" t="s">
        <v>127</v>
      </c>
      <c r="C54" s="7">
        <f>C46+C48+C50+C52</f>
        <v>128343.75</v>
      </c>
      <c r="D54" s="7">
        <f t="shared" ref="D54:L54" si="41">D46+D48+D50+D52</f>
        <v>136798.14000000001</v>
      </c>
      <c r="E54" s="7">
        <f t="shared" si="41"/>
        <v>139593.87</v>
      </c>
      <c r="F54" s="7">
        <f t="shared" si="41"/>
        <v>134958.01999999999</v>
      </c>
      <c r="G54" s="7">
        <f t="shared" si="41"/>
        <v>128960.08999999998</v>
      </c>
      <c r="H54" s="27">
        <f t="shared" si="41"/>
        <v>131003.1513631681</v>
      </c>
      <c r="I54" s="27">
        <f t="shared" si="41"/>
        <v>135224.46192217153</v>
      </c>
      <c r="J54" s="27">
        <f t="shared" si="41"/>
        <v>142500.04488546407</v>
      </c>
      <c r="K54" s="27">
        <f t="shared" si="41"/>
        <v>151204.67362000077</v>
      </c>
      <c r="L54" s="27">
        <f t="shared" si="41"/>
        <v>155348.47189330883</v>
      </c>
    </row>
    <row r="55" spans="2:12" x14ac:dyDescent="0.25">
      <c r="B55" s="19" t="s">
        <v>227</v>
      </c>
      <c r="C55" s="20">
        <f>C54/Balance_Sheet!C74</f>
        <v>0.61857501330711939</v>
      </c>
      <c r="D55" s="20">
        <f>D54/Balance_Sheet!D74</f>
        <v>0.58793158807667067</v>
      </c>
      <c r="E55" s="20">
        <f>E54/Balance_Sheet!E74</f>
        <v>0.5608584414823774</v>
      </c>
      <c r="F55" s="20">
        <f>F54/Balance_Sheet!F74</f>
        <v>0.52335443833974671</v>
      </c>
      <c r="G55" s="20">
        <f>G54/Balance_Sheet!G74</f>
        <v>0.43139304735370548</v>
      </c>
      <c r="H55" s="28">
        <f>H54/Balance_Sheet!H74</f>
        <v>0.41245850559765779</v>
      </c>
      <c r="I55" s="28">
        <f>I54/Balance_Sheet!I74</f>
        <v>0.39424400341661248</v>
      </c>
      <c r="J55" s="28">
        <f>J54/Balance_Sheet!J74</f>
        <v>0.37936844559149918</v>
      </c>
      <c r="K55" s="28">
        <f>K54/Balance_Sheet!K74</f>
        <v>0.36631620623844791</v>
      </c>
      <c r="L55" s="28">
        <f>L54/Balance_Sheet!L74</f>
        <v>0.35053211315300575</v>
      </c>
    </row>
    <row r="56" spans="2:12" ht="18.75" x14ac:dyDescent="0.25">
      <c r="B56" s="8" t="s">
        <v>31</v>
      </c>
      <c r="C56" s="5">
        <v>1035.8</v>
      </c>
      <c r="D56" s="5">
        <v>808.95</v>
      </c>
      <c r="E56" s="5">
        <v>1270.33</v>
      </c>
      <c r="F56" s="4">
        <v>1578.02</v>
      </c>
      <c r="G56" s="5">
        <v>3023.93</v>
      </c>
      <c r="H56" s="24">
        <f>H74*H57</f>
        <v>1621.0818632103117</v>
      </c>
      <c r="I56" s="24">
        <f t="shared" ref="I56:L56" si="42">I74*I57</f>
        <v>1750.6270451152591</v>
      </c>
      <c r="J56" s="24">
        <f t="shared" si="42"/>
        <v>1917.1551645810848</v>
      </c>
      <c r="K56" s="24">
        <f t="shared" si="42"/>
        <v>2106.7478050982568</v>
      </c>
      <c r="L56" s="24">
        <f t="shared" si="42"/>
        <v>2261.9481341894771</v>
      </c>
    </row>
    <row r="57" spans="2:12" x14ac:dyDescent="0.25">
      <c r="B57" s="17" t="s">
        <v>228</v>
      </c>
      <c r="C57" s="18">
        <f>C56/Balance_Sheet!C74</f>
        <v>4.9922181546317159E-3</v>
      </c>
      <c r="D57" s="18">
        <f>D56/Balance_Sheet!D74</f>
        <v>3.4767085150033674E-3</v>
      </c>
      <c r="E57" s="18">
        <f>E56/Balance_Sheet!E74</f>
        <v>5.103915408092837E-3</v>
      </c>
      <c r="F57" s="18">
        <f>F56/Balance_Sheet!F74</f>
        <v>6.1194123238388293E-3</v>
      </c>
      <c r="G57" s="18">
        <f>G56/Balance_Sheet!G74</f>
        <v>1.011555108006121E-2</v>
      </c>
      <c r="H57" s="25">
        <f>MEDIAN(C57:G57)</f>
        <v>5.103915408092837E-3</v>
      </c>
      <c r="I57" s="25">
        <f t="shared" ref="I57:L57" si="43">H57</f>
        <v>5.103915408092837E-3</v>
      </c>
      <c r="J57" s="25">
        <f t="shared" si="43"/>
        <v>5.103915408092837E-3</v>
      </c>
      <c r="K57" s="25">
        <f t="shared" si="43"/>
        <v>5.103915408092837E-3</v>
      </c>
      <c r="L57" s="25">
        <f t="shared" si="43"/>
        <v>5.103915408092837E-3</v>
      </c>
    </row>
    <row r="58" spans="2:12" ht="18.75" x14ac:dyDescent="0.25">
      <c r="B58" s="8" t="s">
        <v>32</v>
      </c>
      <c r="C58" s="5">
        <v>717.34</v>
      </c>
      <c r="D58" s="4">
        <v>613.34</v>
      </c>
      <c r="E58" s="4">
        <v>488.71</v>
      </c>
      <c r="F58" s="4">
        <v>91.93</v>
      </c>
      <c r="G58" s="4">
        <v>1282.44</v>
      </c>
      <c r="H58" s="26">
        <f>ROUND(H74*H59,2)</f>
        <v>1362.56</v>
      </c>
      <c r="I58" s="26">
        <f t="shared" ref="I58:L58" si="44">ROUND(I74*I59,2)</f>
        <v>1471.45</v>
      </c>
      <c r="J58" s="26">
        <f t="shared" si="44"/>
        <v>1611.42</v>
      </c>
      <c r="K58" s="26">
        <f t="shared" si="44"/>
        <v>1770.78</v>
      </c>
      <c r="L58" s="26">
        <f t="shared" si="44"/>
        <v>1901.23</v>
      </c>
    </row>
    <row r="59" spans="2:12" x14ac:dyDescent="0.25">
      <c r="B59" s="17" t="s">
        <v>229</v>
      </c>
      <c r="C59" s="18">
        <f>C58/Balance_Sheet!C74</f>
        <v>3.4573448262632893E-3</v>
      </c>
      <c r="D59" s="18">
        <f>D58/Balance_Sheet!D74</f>
        <v>2.6360150820102174E-3</v>
      </c>
      <c r="E59" s="18">
        <f>E58/Balance_Sheet!E74</f>
        <v>1.9635327033834128E-3</v>
      </c>
      <c r="F59" s="18">
        <f>F58/Balance_Sheet!F74</f>
        <v>3.5649584601621251E-4</v>
      </c>
      <c r="G59" s="18">
        <f>G58/Balance_Sheet!G74</f>
        <v>4.289976066613215E-3</v>
      </c>
      <c r="H59" s="25">
        <f>G59</f>
        <v>4.289976066613215E-3</v>
      </c>
      <c r="I59" s="25">
        <f t="shared" ref="I59:L59" si="45">H59</f>
        <v>4.289976066613215E-3</v>
      </c>
      <c r="J59" s="25">
        <f t="shared" si="45"/>
        <v>4.289976066613215E-3</v>
      </c>
      <c r="K59" s="25">
        <f t="shared" si="45"/>
        <v>4.289976066613215E-3</v>
      </c>
      <c r="L59" s="25">
        <f t="shared" si="45"/>
        <v>4.289976066613215E-3</v>
      </c>
    </row>
    <row r="60" spans="2:12" ht="18.75" x14ac:dyDescent="0.25">
      <c r="B60" s="8" t="s">
        <v>33</v>
      </c>
      <c r="C60" s="5">
        <v>24417.84</v>
      </c>
      <c r="D60" s="5">
        <v>26872.69</v>
      </c>
      <c r="E60" s="5">
        <v>33026.89</v>
      </c>
      <c r="F60" s="5">
        <v>25359.74</v>
      </c>
      <c r="G60" s="5">
        <v>28633.81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0.11768602446890568</v>
      </c>
      <c r="D61" s="18">
        <f>D60/Balance_Sheet!D74</f>
        <v>0.1154935535497198</v>
      </c>
      <c r="E61" s="18">
        <f>E60/Balance_Sheet!E74</f>
        <v>0.1326950105503194</v>
      </c>
      <c r="F61" s="18">
        <f>F60/Balance_Sheet!F74</f>
        <v>9.8342673404233485E-2</v>
      </c>
      <c r="G61" s="18">
        <f>G60/Balance_Sheet!G74</f>
        <v>9.5784878509676971E-2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256.48</v>
      </c>
      <c r="D62" s="4">
        <v>239.7</v>
      </c>
      <c r="E62" s="4">
        <v>215.68</v>
      </c>
      <c r="F62" s="4">
        <v>5.59</v>
      </c>
      <c r="G62" s="4">
        <v>5.84</v>
      </c>
      <c r="H62" s="26">
        <f>ROUND(H74*H63,2)</f>
        <v>6.2</v>
      </c>
      <c r="I62" s="26">
        <f t="shared" ref="I62:L62" si="46">ROUND(I74*I63,2)</f>
        <v>6.7</v>
      </c>
      <c r="J62" s="26">
        <f t="shared" si="46"/>
        <v>7.34</v>
      </c>
      <c r="K62" s="26">
        <f t="shared" si="46"/>
        <v>8.06</v>
      </c>
      <c r="L62" s="26">
        <f t="shared" si="46"/>
        <v>8.66</v>
      </c>
    </row>
    <row r="63" spans="2:12" x14ac:dyDescent="0.25">
      <c r="B63" s="17" t="s">
        <v>231</v>
      </c>
      <c r="C63" s="18">
        <f>C62/Balance_Sheet!C74</f>
        <v>1.2361499442942099E-3</v>
      </c>
      <c r="D63" s="18">
        <f>D62/Balance_Sheet!D74</f>
        <v>1.0301836096746487E-3</v>
      </c>
      <c r="E63" s="18">
        <f>E62/Balance_Sheet!E74</f>
        <v>8.6655630837456665E-4</v>
      </c>
      <c r="F63" s="18">
        <f>F62/Balance_Sheet!F74</f>
        <v>2.167749134374663E-5</v>
      </c>
      <c r="G63" s="18">
        <f>G62/Balance_Sheet!G74</f>
        <v>1.9535775731434744E-5</v>
      </c>
      <c r="H63" s="25">
        <f>G63</f>
        <v>1.9535775731434744E-5</v>
      </c>
      <c r="I63" s="25">
        <f t="shared" ref="I63:L63" si="47">H63</f>
        <v>1.9535775731434744E-5</v>
      </c>
      <c r="J63" s="25">
        <f t="shared" si="47"/>
        <v>1.9535775731434744E-5</v>
      </c>
      <c r="K63" s="25">
        <f t="shared" si="47"/>
        <v>1.9535775731434744E-5</v>
      </c>
      <c r="L63" s="25">
        <f t="shared" si="47"/>
        <v>1.9535775731434744E-5</v>
      </c>
    </row>
    <row r="64" spans="2:12" ht="18.75" x14ac:dyDescent="0.25">
      <c r="B64" s="8" t="s">
        <v>41</v>
      </c>
      <c r="C64" s="5">
        <v>4027.3</v>
      </c>
      <c r="D64" s="5">
        <v>9417.9500000000007</v>
      </c>
      <c r="E64" s="5">
        <v>8076.82</v>
      </c>
      <c r="F64" s="5">
        <v>4389.0200000000004</v>
      </c>
      <c r="G64" s="5">
        <v>7056.6</v>
      </c>
      <c r="H64" s="24">
        <f>H74*H65</f>
        <v>7497.4709776856871</v>
      </c>
      <c r="I64" s="24">
        <f t="shared" ref="I64:L64" si="48">I74*I65</f>
        <v>8096.6148356694648</v>
      </c>
      <c r="J64" s="24">
        <f t="shared" si="48"/>
        <v>8866.8040352395947</v>
      </c>
      <c r="K64" s="24">
        <f t="shared" si="48"/>
        <v>9743.6661802797535</v>
      </c>
      <c r="L64" s="24">
        <f t="shared" si="48"/>
        <v>10461.464577446652</v>
      </c>
    </row>
    <row r="65" spans="2:12" x14ac:dyDescent="0.25">
      <c r="B65" s="17" t="s">
        <v>232</v>
      </c>
      <c r="C65" s="18">
        <f>C64/Balance_Sheet!C74</f>
        <v>1.941027242146004E-2</v>
      </c>
      <c r="D65" s="18">
        <f>D64/Balance_Sheet!D74</f>
        <v>4.0476502823259736E-2</v>
      </c>
      <c r="E65" s="18">
        <f>E64/Balance_Sheet!E74</f>
        <v>3.2450942704960434E-2</v>
      </c>
      <c r="F65" s="18">
        <f>F64/Balance_Sheet!F74</f>
        <v>1.7020204482563656E-2</v>
      </c>
      <c r="G65" s="18">
        <f>G64/Balance_Sheet!G74</f>
        <v>2.3605505997678498E-2</v>
      </c>
      <c r="H65" s="25">
        <f>MEDIAN(C65:G65)</f>
        <v>2.3605505997678498E-2</v>
      </c>
      <c r="I65" s="25">
        <f t="shared" ref="I65:L65" si="49">H65</f>
        <v>2.3605505997678498E-2</v>
      </c>
      <c r="J65" s="25">
        <f t="shared" si="49"/>
        <v>2.3605505997678498E-2</v>
      </c>
      <c r="K65" s="25">
        <f t="shared" si="49"/>
        <v>2.3605505997678498E-2</v>
      </c>
      <c r="L65" s="25">
        <f t="shared" si="49"/>
        <v>2.3605505997678498E-2</v>
      </c>
    </row>
    <row r="66" spans="2:12" ht="18.75" x14ac:dyDescent="0.25">
      <c r="B66" s="8" t="s">
        <v>37</v>
      </c>
      <c r="C66" s="5">
        <v>28331.040000000001</v>
      </c>
      <c r="D66" s="5">
        <v>31656.1</v>
      </c>
      <c r="E66" s="5">
        <v>31068.720000000001</v>
      </c>
      <c r="F66" s="5">
        <v>33276.379999999997</v>
      </c>
      <c r="G66" s="5">
        <v>48824.39</v>
      </c>
      <c r="H66" s="24">
        <f>H74*H67</f>
        <v>43212.11171152992</v>
      </c>
      <c r="I66" s="24">
        <f t="shared" ref="I66:L66" si="50">I74*I67</f>
        <v>46665.312317377924</v>
      </c>
      <c r="J66" s="24">
        <f t="shared" si="50"/>
        <v>51104.342735753955</v>
      </c>
      <c r="K66" s="24">
        <f t="shared" si="50"/>
        <v>56158.18890332969</v>
      </c>
      <c r="L66" s="24">
        <f t="shared" si="50"/>
        <v>60295.261873275027</v>
      </c>
    </row>
    <row r="67" spans="2:12" x14ac:dyDescent="0.25">
      <c r="B67" s="17" t="s">
        <v>233</v>
      </c>
      <c r="C67" s="18">
        <f>C66/Balance_Sheet!C74</f>
        <v>0.13654637210619552</v>
      </c>
      <c r="D67" s="18">
        <f>D66/Balance_Sheet!D74</f>
        <v>0.13605171199925592</v>
      </c>
      <c r="E67" s="18">
        <f>E66/Balance_Sheet!E74</f>
        <v>0.12482750050594893</v>
      </c>
      <c r="F67" s="18">
        <f>F66/Balance_Sheet!F74</f>
        <v>0.12904265463349257</v>
      </c>
      <c r="G67" s="18">
        <f>G66/Balance_Sheet!G74</f>
        <v>0.16332574199727828</v>
      </c>
      <c r="H67" s="25">
        <f>MEDIAN(C67:G67)</f>
        <v>0.13605171199925592</v>
      </c>
      <c r="I67" s="25">
        <f t="shared" ref="I67:L67" si="51">H67</f>
        <v>0.13605171199925592</v>
      </c>
      <c r="J67" s="25">
        <f t="shared" si="51"/>
        <v>0.13605171199925592</v>
      </c>
      <c r="K67" s="25">
        <f t="shared" si="51"/>
        <v>0.13605171199925592</v>
      </c>
      <c r="L67" s="25">
        <f t="shared" si="51"/>
        <v>0.13605171199925592</v>
      </c>
    </row>
    <row r="68" spans="2:12" ht="18.75" x14ac:dyDescent="0.25">
      <c r="B68" s="8" t="s">
        <v>38</v>
      </c>
      <c r="C68" s="5">
        <v>12415.52</v>
      </c>
      <c r="D68" s="5">
        <v>11811</v>
      </c>
      <c r="E68" s="5">
        <v>7884.91</v>
      </c>
      <c r="F68" s="5">
        <v>9539.84</v>
      </c>
      <c r="G68" s="5">
        <v>12246.43</v>
      </c>
      <c r="H68" s="24">
        <f>H69*H74</f>
        <v>9879.2247265059741</v>
      </c>
      <c r="I68" s="24">
        <f t="shared" ref="I68:L68" si="52">I69*I74</f>
        <v>10668.701182519493</v>
      </c>
      <c r="J68" s="24">
        <f t="shared" si="52"/>
        <v>11683.559687090827</v>
      </c>
      <c r="K68" s="24">
        <f t="shared" si="52"/>
        <v>12838.978389050486</v>
      </c>
      <c r="L68" s="24">
        <f t="shared" si="52"/>
        <v>13784.802880408039</v>
      </c>
    </row>
    <row r="69" spans="2:12" x14ac:dyDescent="0.25">
      <c r="B69" s="17" t="s">
        <v>234</v>
      </c>
      <c r="C69" s="18">
        <f>C68/Balance_Sheet!C74</f>
        <v>5.983875684803356E-2</v>
      </c>
      <c r="D69" s="18">
        <f>D68/Balance_Sheet!D74</f>
        <v>5.0761362594356596E-2</v>
      </c>
      <c r="E69" s="18">
        <f>E68/Balance_Sheet!E74</f>
        <v>3.1679889194481191E-2</v>
      </c>
      <c r="F69" s="18">
        <f>F68/Balance_Sheet!F74</f>
        <v>3.6994597320344873E-2</v>
      </c>
      <c r="G69" s="18">
        <f>G68/Balance_Sheet!G74</f>
        <v>4.0966354450464794E-2</v>
      </c>
      <c r="H69" s="25">
        <f>GROWTH(C69:G69,C4:G4,H4)</f>
        <v>3.1104368290057152E-2</v>
      </c>
      <c r="I69" s="25">
        <f t="shared" ref="I69:L69" si="53">H69</f>
        <v>3.1104368290057152E-2</v>
      </c>
      <c r="J69" s="25">
        <f t="shared" si="53"/>
        <v>3.1104368290057152E-2</v>
      </c>
      <c r="K69" s="25">
        <f t="shared" si="53"/>
        <v>3.1104368290057152E-2</v>
      </c>
      <c r="L69" s="25">
        <f t="shared" si="53"/>
        <v>3.1104368290057152E-2</v>
      </c>
    </row>
    <row r="70" spans="2:12" ht="18.75" x14ac:dyDescent="0.25">
      <c r="B70" s="8" t="s">
        <v>39</v>
      </c>
      <c r="C70" s="5">
        <v>7937.85</v>
      </c>
      <c r="D70" s="5">
        <f>CashFlow_Statement!D48+C70</f>
        <v>14459.099181932252</v>
      </c>
      <c r="E70" s="5">
        <f>CashFlow_Statement!E48+D70</f>
        <v>27267.301652262016</v>
      </c>
      <c r="F70" s="5">
        <f>CashFlow_Statement!F48+E70</f>
        <v>48672.627440810167</v>
      </c>
      <c r="G70" s="5">
        <f>CashFlow_Statement!G48+F70</f>
        <v>68905.200679782414</v>
      </c>
      <c r="H70" s="24">
        <f>CashFlow_Statement!H48+G70</f>
        <v>144960.19674009521</v>
      </c>
      <c r="I70" s="24">
        <f>CashFlow_Statement!I48+H70</f>
        <v>194296.71097869865</v>
      </c>
      <c r="J70" s="24">
        <f>CashFlow_Statement!J48+I70</f>
        <v>255168.1151816069</v>
      </c>
      <c r="K70" s="24">
        <f>CashFlow_Statement!K48+J70</f>
        <v>327474.07456098299</v>
      </c>
      <c r="L70" s="24">
        <f>CashFlow_Statement!L48+K70</f>
        <v>408592.17329582101</v>
      </c>
    </row>
    <row r="71" spans="2:12" x14ac:dyDescent="0.25">
      <c r="B71" s="17" t="s">
        <v>235</v>
      </c>
      <c r="C71" s="18">
        <f>C70/Balance_Sheet!C74</f>
        <v>3.8257847923096513E-2</v>
      </c>
      <c r="D71" s="18">
        <f>D70/Balance_Sheet!D74</f>
        <v>6.2142373750048926E-2</v>
      </c>
      <c r="E71" s="18">
        <f>E70/Balance_Sheet!E74</f>
        <v>0.10955421114206182</v>
      </c>
      <c r="F71" s="18">
        <f>F70/Balance_Sheet!F74</f>
        <v>0.18874784615841989</v>
      </c>
      <c r="G71" s="18">
        <f>G70/Balance_Sheet!G74</f>
        <v>0.2304994087687901</v>
      </c>
      <c r="H71" s="25">
        <f>H70/Balance_Sheet!H74</f>
        <v>0.45640173916741578</v>
      </c>
      <c r="I71" s="25">
        <f>I70/Balance_Sheet!I74</f>
        <v>0.56646787199648807</v>
      </c>
      <c r="J71" s="25">
        <f>J70/Balance_Sheet!J74</f>
        <v>0.67931719810169222</v>
      </c>
      <c r="K71" s="25">
        <f>K70/Balance_Sheet!K74</f>
        <v>0.79335550788661724</v>
      </c>
      <c r="L71" s="25">
        <f>L70/Balance_Sheet!L74</f>
        <v>0.92195743014149489</v>
      </c>
    </row>
    <row r="72" spans="2:12" ht="18.75" x14ac:dyDescent="0.25">
      <c r="B72" s="9" t="s">
        <v>42</v>
      </c>
      <c r="C72" s="7">
        <f>C56+C58+C60+C62+C64+C66+C68+C70</f>
        <v>79139.170000000013</v>
      </c>
      <c r="D72" s="7">
        <f t="shared" ref="D72:L72" si="54">D56+D58+D60+D62+D64+D66+D68+D70</f>
        <v>95878.829181932262</v>
      </c>
      <c r="E72" s="7">
        <f t="shared" si="54"/>
        <v>109299.36165226201</v>
      </c>
      <c r="F72" s="7">
        <f t="shared" si="54"/>
        <v>122913.14744081016</v>
      </c>
      <c r="G72" s="7">
        <f t="shared" si="54"/>
        <v>169978.64067978243</v>
      </c>
      <c r="H72" s="27">
        <f t="shared" si="54"/>
        <v>208538.84601902711</v>
      </c>
      <c r="I72" s="27">
        <f t="shared" si="54"/>
        <v>262956.11635938077</v>
      </c>
      <c r="J72" s="27">
        <f t="shared" si="54"/>
        <v>330358.7368042724</v>
      </c>
      <c r="K72" s="27">
        <f t="shared" si="54"/>
        <v>410100.49583874119</v>
      </c>
      <c r="L72" s="27">
        <f t="shared" si="54"/>
        <v>497305.54076114018</v>
      </c>
    </row>
    <row r="73" spans="2:12" x14ac:dyDescent="0.25">
      <c r="B73" s="19" t="s">
        <v>236</v>
      </c>
      <c r="C73" s="20">
        <f>C72/Balance_Sheet!C74</f>
        <v>0.38142498669288061</v>
      </c>
      <c r="D73" s="20">
        <f>D72/Balance_Sheet!D74</f>
        <v>0.41206841192332927</v>
      </c>
      <c r="E73" s="20">
        <f>E72/Balance_Sheet!E74</f>
        <v>0.4391415585176226</v>
      </c>
      <c r="F73" s="20">
        <f>F72/Balance_Sheet!F74</f>
        <v>0.47664556166025324</v>
      </c>
      <c r="G73" s="20">
        <f>G72/Balance_Sheet!G74</f>
        <v>0.56860695264629457</v>
      </c>
      <c r="H73" s="28">
        <f>H72/Balance_Sheet!H74</f>
        <v>0.65657673035376274</v>
      </c>
      <c r="I73" s="28">
        <f>I72/Balance_Sheet!I74</f>
        <v>0.76664288814899118</v>
      </c>
      <c r="J73" s="28">
        <f>J72/Balance_Sheet!J74</f>
        <v>0.87949221749187145</v>
      </c>
      <c r="K73" s="28">
        <f>K72/Balance_Sheet!K74</f>
        <v>0.99353051870403741</v>
      </c>
      <c r="L73" s="28">
        <f>L72/Balance_Sheet!L74</f>
        <v>1.1221324546109621</v>
      </c>
    </row>
    <row r="74" spans="2:12" ht="18.75" x14ac:dyDescent="0.25">
      <c r="B74" s="9" t="s">
        <v>43</v>
      </c>
      <c r="C74" s="7">
        <f>C54+C72</f>
        <v>207482.92</v>
      </c>
      <c r="D74" s="7">
        <f t="shared" ref="D74:G74" si="55">D54+D72</f>
        <v>232676.96918193228</v>
      </c>
      <c r="E74" s="7">
        <f t="shared" si="55"/>
        <v>248893.23165226201</v>
      </c>
      <c r="F74" s="7">
        <f t="shared" si="55"/>
        <v>257871.16744081015</v>
      </c>
      <c r="G74" s="7">
        <f t="shared" si="55"/>
        <v>298938.7306797824</v>
      </c>
      <c r="H74" s="27">
        <f>Income_Statement!H5/H80</f>
        <v>317615.34696282435</v>
      </c>
      <c r="I74" s="27">
        <f>Income_Statement!I5/I80</f>
        <v>342996.8769348021</v>
      </c>
      <c r="J74" s="27">
        <f>Income_Statement!J5/J80</f>
        <v>375624.40034590266</v>
      </c>
      <c r="K74" s="27">
        <f>Income_Statement!K5/K80</f>
        <v>412770.90951738134</v>
      </c>
      <c r="L74" s="27">
        <f>Income_Statement!L5/L80</f>
        <v>443179.00147853186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0.63495101187124214</v>
      </c>
      <c r="D80">
        <f>Income_Statement!D5/D74</f>
        <v>0.66483520283025954</v>
      </c>
      <c r="E80">
        <f>Income_Statement!E5/E74</f>
        <v>0.58702279298671378</v>
      </c>
      <c r="F80">
        <f>Income_Statement!F5/F74</f>
        <v>0.59998673576220229</v>
      </c>
      <c r="G80">
        <f>Income_Statement!G5/G74</f>
        <v>0.81062386746927095</v>
      </c>
      <c r="H80">
        <f>GROWTH(C80:G80,C4:G4,H4)</f>
        <v>0.73534278959629074</v>
      </c>
      <c r="I80">
        <f t="shared" ref="I80:L80" si="56">GROWTH(D80:H80,D4:H4,I4)</f>
        <v>0.78936668748556971</v>
      </c>
      <c r="J80">
        <f t="shared" si="56"/>
        <v>0.88624884341192034</v>
      </c>
      <c r="K80">
        <f t="shared" si="56"/>
        <v>0.95026188853003135</v>
      </c>
      <c r="L80">
        <f t="shared" si="56"/>
        <v>0.96678857713567323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6EC553A4-F4AF-44C7-ACEB-C90A18B9512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896C3-60D6-4FCC-A70B-9FE7ACEC51C9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5703125" bestFit="1" customWidth="1"/>
    <col min="5" max="5" width="15.42578125" bestFit="1" customWidth="1"/>
    <col min="6" max="7" width="16.5703125" bestFit="1" customWidth="1"/>
    <col min="8" max="11" width="18.85546875" bestFit="1" customWidth="1"/>
    <col min="12" max="12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17511.869181932263</v>
      </c>
      <c r="E5" s="5">
        <f>Income_Statement!E45</f>
        <v>3263.0424703297631</v>
      </c>
      <c r="F5" s="5">
        <f>Income_Statement!F45</f>
        <v>21318.635788548152</v>
      </c>
      <c r="G5" s="5">
        <f>Income_Statement!G45</f>
        <v>52771.553238972243</v>
      </c>
      <c r="H5" s="24">
        <f>Income_Statement!H45</f>
        <v>48422.647813531003</v>
      </c>
      <c r="I5" s="24">
        <f>Income_Statement!I45</f>
        <v>57307.972358461389</v>
      </c>
      <c r="J5" s="24">
        <f>Income_Statement!J45</f>
        <v>72609.897836596108</v>
      </c>
      <c r="K5" s="24">
        <f>Income_Statement!K45</f>
        <v>86942.642738298717</v>
      </c>
      <c r="L5" s="24">
        <f>Income_Statement!L45</f>
        <v>95330.056496698147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7341.83</v>
      </c>
      <c r="E7" s="5">
        <f>Income_Statement!E31</f>
        <v>8707.67</v>
      </c>
      <c r="F7" s="5">
        <f>Income_Statement!F31</f>
        <v>9233.64</v>
      </c>
      <c r="G7" s="5">
        <f>Income_Statement!G31</f>
        <v>9100.8700000000008</v>
      </c>
      <c r="H7" s="24">
        <f>Income_Statement!H31</f>
        <v>8995.2404329173951</v>
      </c>
      <c r="I7" s="24">
        <f>Income_Statement!I31</f>
        <v>9714.075055060468</v>
      </c>
      <c r="J7" s="24">
        <f>Income_Statement!J31</f>
        <v>10638.125174686007</v>
      </c>
      <c r="K7" s="24">
        <f>Income_Statement!K31</f>
        <v>11690.158304783085</v>
      </c>
      <c r="L7" s="24">
        <f>Income_Statement!L31</f>
        <v>12551.351161038147</v>
      </c>
    </row>
    <row r="8" spans="2:15" ht="18.75" x14ac:dyDescent="0.25">
      <c r="B8" s="8" t="s">
        <v>131</v>
      </c>
      <c r="C8" s="4"/>
      <c r="D8" s="5">
        <f>Income_Statement!D35</f>
        <v>7660.1</v>
      </c>
      <c r="E8" s="5">
        <f>Income_Statement!E35</f>
        <v>7580.72</v>
      </c>
      <c r="F8" s="5">
        <f>Income_Statement!F35</f>
        <v>7606.71</v>
      </c>
      <c r="G8" s="5">
        <f>Income_Statement!G35</f>
        <v>5462.2</v>
      </c>
      <c r="H8" s="24">
        <f>Income_Statement!H35</f>
        <v>5803.4586927200307</v>
      </c>
      <c r="I8" s="24">
        <f>Income_Statement!I35</f>
        <v>6267.2295145824401</v>
      </c>
      <c r="J8" s="24">
        <f>Income_Statement!J35</f>
        <v>6863.3984032916987</v>
      </c>
      <c r="K8" s="24">
        <f>Income_Statement!K35</f>
        <v>7542.1385636229979</v>
      </c>
      <c r="L8" s="24">
        <f>Income_Statement!L35</f>
        <v>8097.7541082030484</v>
      </c>
    </row>
    <row r="9" spans="2:15" ht="18.75" x14ac:dyDescent="0.25">
      <c r="B9" s="8" t="s">
        <v>59</v>
      </c>
      <c r="C9" s="4"/>
      <c r="D9" s="4">
        <f>Income_Statement!D11</f>
        <v>1420.58</v>
      </c>
      <c r="E9" s="4">
        <f>Income_Statement!E11</f>
        <v>1821.99</v>
      </c>
      <c r="F9" s="4">
        <f>Income_Statement!F11</f>
        <v>895.6</v>
      </c>
      <c r="G9" s="4">
        <f>Income_Statement!G11</f>
        <v>784.89</v>
      </c>
      <c r="H9" s="26">
        <f>Income_Statement!H11</f>
        <v>1612.3063842375389</v>
      </c>
      <c r="I9" s="26">
        <f>Income_Statement!I11</f>
        <v>1869.0684925717583</v>
      </c>
      <c r="J9" s="26">
        <f>Income_Statement!J11</f>
        <v>2298.0831251521868</v>
      </c>
      <c r="K9" s="26">
        <f>Income_Statement!K11</f>
        <v>2707.7505347199194</v>
      </c>
      <c r="L9" s="26">
        <f>Income_Statement!L11</f>
        <v>2957.7873103975985</v>
      </c>
    </row>
    <row r="10" spans="2:15" ht="18.75" x14ac:dyDescent="0.25">
      <c r="B10" s="9" t="s">
        <v>132</v>
      </c>
      <c r="C10" s="6"/>
      <c r="D10" s="7">
        <f>D7+D8-D9</f>
        <v>13581.35</v>
      </c>
      <c r="E10" s="7">
        <f t="shared" ref="E10:L10" si="0">E7+E8-E9</f>
        <v>14466.4</v>
      </c>
      <c r="F10" s="7">
        <f t="shared" si="0"/>
        <v>15944.749999999998</v>
      </c>
      <c r="G10" s="7">
        <f t="shared" si="0"/>
        <v>13778.18</v>
      </c>
      <c r="H10" s="27">
        <f t="shared" si="0"/>
        <v>13186.392741399886</v>
      </c>
      <c r="I10" s="27">
        <f t="shared" si="0"/>
        <v>14112.236077071149</v>
      </c>
      <c r="J10" s="27">
        <f t="shared" si="0"/>
        <v>15203.44045282552</v>
      </c>
      <c r="K10" s="27">
        <f t="shared" si="0"/>
        <v>16524.546333686165</v>
      </c>
      <c r="L10" s="27">
        <f t="shared" si="0"/>
        <v>17691.317958843596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226.84999999999991</v>
      </c>
      <c r="E12" s="5">
        <f>Balance_Sheet!D56-Balance_Sheet!E56</f>
        <v>-461.37999999999988</v>
      </c>
      <c r="F12" s="5">
        <f>Balance_Sheet!E56-Balance_Sheet!F56</f>
        <v>-307.69000000000005</v>
      </c>
      <c r="G12" s="5">
        <f>Balance_Sheet!F56-Balance_Sheet!G56</f>
        <v>-1445.9099999999999</v>
      </c>
      <c r="H12" s="24">
        <f>Balance_Sheet!G56-Balance_Sheet!H56</f>
        <v>1402.8481367896882</v>
      </c>
      <c r="I12" s="24">
        <f>Balance_Sheet!H56-Balance_Sheet!I56</f>
        <v>-129.54518190494741</v>
      </c>
      <c r="J12" s="24">
        <f>Balance_Sheet!I56-Balance_Sheet!J56</f>
        <v>-166.52811946582574</v>
      </c>
      <c r="K12" s="24">
        <f>Balance_Sheet!J56-Balance_Sheet!K56</f>
        <v>-189.59264051717196</v>
      </c>
      <c r="L12" s="24">
        <f>Balance_Sheet!K56-Balance_Sheet!L56</f>
        <v>-155.20032909122028</v>
      </c>
    </row>
    <row r="13" spans="2:15" ht="18.75" x14ac:dyDescent="0.25">
      <c r="B13" s="8" t="str">
        <f>Balance_Sheet!B58</f>
        <v>Long Term Loans And Advances</v>
      </c>
      <c r="C13" s="4"/>
      <c r="D13" s="5">
        <f>Balance_Sheet!C58-Balance_Sheet!D58</f>
        <v>104</v>
      </c>
      <c r="E13" s="5">
        <f>Balance_Sheet!D58-Balance_Sheet!E58</f>
        <v>124.63000000000005</v>
      </c>
      <c r="F13" s="5">
        <f>Balance_Sheet!E58-Balance_Sheet!F58</f>
        <v>396.78</v>
      </c>
      <c r="G13" s="5">
        <f>Balance_Sheet!F58-Balance_Sheet!G58</f>
        <v>-1190.51</v>
      </c>
      <c r="H13" s="24">
        <f>Balance_Sheet!G58-Balance_Sheet!H58</f>
        <v>-80.119999999999891</v>
      </c>
      <c r="I13" s="24">
        <f>Balance_Sheet!H58-Balance_Sheet!I58</f>
        <v>-108.8900000000001</v>
      </c>
      <c r="J13" s="24">
        <f>Balance_Sheet!I58-Balance_Sheet!J58</f>
        <v>-139.97000000000003</v>
      </c>
      <c r="K13" s="24">
        <f>Balance_Sheet!J58-Balance_Sheet!K58</f>
        <v>-159.3599999999999</v>
      </c>
      <c r="L13" s="24">
        <f>Balance_Sheet!K58-Balance_Sheet!L58</f>
        <v>-130.45000000000005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-2454.8499999999985</v>
      </c>
      <c r="E14" s="5">
        <f>Balance_Sheet!D60-Balance_Sheet!E60</f>
        <v>-6154.2000000000007</v>
      </c>
      <c r="F14" s="5">
        <f>Balance_Sheet!E60-Balance_Sheet!F60</f>
        <v>7667.1499999999978</v>
      </c>
      <c r="G14" s="5">
        <f>Balance_Sheet!F60-Balance_Sheet!G60</f>
        <v>-3274.0699999999997</v>
      </c>
      <c r="H14" s="24">
        <f>Balance_Sheet!G60-Balance_Sheet!H60</f>
        <v>28633.81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16.78000000000003</v>
      </c>
      <c r="E15" s="4">
        <f>Balance_Sheet!D62-Balance_Sheet!E62</f>
        <v>24.019999999999982</v>
      </c>
      <c r="F15" s="4">
        <f>Balance_Sheet!E62-Balance_Sheet!F62</f>
        <v>210.09</v>
      </c>
      <c r="G15" s="4">
        <f>Balance_Sheet!F62-Balance_Sheet!G62</f>
        <v>-0.25</v>
      </c>
      <c r="H15" s="26">
        <f>Balance_Sheet!G62-Balance_Sheet!H62</f>
        <v>-0.36000000000000032</v>
      </c>
      <c r="I15" s="26">
        <f>Balance_Sheet!H62-Balance_Sheet!I62</f>
        <v>-0.5</v>
      </c>
      <c r="J15" s="26">
        <f>Balance_Sheet!I62-Balance_Sheet!J62</f>
        <v>-0.63999999999999968</v>
      </c>
      <c r="K15" s="26">
        <f>Balance_Sheet!J62-Balance_Sheet!K62</f>
        <v>-0.72000000000000064</v>
      </c>
      <c r="L15" s="26">
        <f>Balance_Sheet!K62-Balance_Sheet!L62</f>
        <v>-0.59999999999999964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-5390.6500000000005</v>
      </c>
      <c r="E16" s="5">
        <f>Balance_Sheet!D64-Balance_Sheet!E64</f>
        <v>1341.130000000001</v>
      </c>
      <c r="F16" s="5">
        <f>Balance_Sheet!E64-Balance_Sheet!F64</f>
        <v>3687.7999999999993</v>
      </c>
      <c r="G16" s="5">
        <f>Balance_Sheet!F64-Balance_Sheet!G64</f>
        <v>-2667.58</v>
      </c>
      <c r="H16" s="24">
        <f>Balance_Sheet!G64-Balance_Sheet!H64</f>
        <v>-440.87097768568674</v>
      </c>
      <c r="I16" s="24">
        <f>Balance_Sheet!H64-Balance_Sheet!I64</f>
        <v>-599.14385798377771</v>
      </c>
      <c r="J16" s="24">
        <f>Balance_Sheet!I64-Balance_Sheet!J64</f>
        <v>-770.18919957012986</v>
      </c>
      <c r="K16" s="24">
        <f>Balance_Sheet!J64-Balance_Sheet!K64</f>
        <v>-876.86214504015879</v>
      </c>
      <c r="L16" s="24">
        <f>Balance_Sheet!K64-Balance_Sheet!L64</f>
        <v>-717.79839716689821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-3325.0599999999977</v>
      </c>
      <c r="E17" s="5">
        <f>Balance_Sheet!D66-Balance_Sheet!E66</f>
        <v>587.37999999999738</v>
      </c>
      <c r="F17" s="5">
        <f>Balance_Sheet!E66-Balance_Sheet!F66</f>
        <v>-2207.6599999999962</v>
      </c>
      <c r="G17" s="5">
        <f>Balance_Sheet!F66-Balance_Sheet!G66</f>
        <v>-15548.010000000002</v>
      </c>
      <c r="H17" s="24">
        <f>Balance_Sheet!G66-Balance_Sheet!H66</f>
        <v>5612.2782884700791</v>
      </c>
      <c r="I17" s="24">
        <f>Balance_Sheet!H66-Balance_Sheet!I66</f>
        <v>-3453.2006058480038</v>
      </c>
      <c r="J17" s="24">
        <f>Balance_Sheet!I66-Balance_Sheet!J66</f>
        <v>-4439.0304183760309</v>
      </c>
      <c r="K17" s="24">
        <f>Balance_Sheet!J66-Balance_Sheet!K66</f>
        <v>-5053.8461675757353</v>
      </c>
      <c r="L17" s="24">
        <f>Balance_Sheet!K66-Balance_Sheet!L66</f>
        <v>-4137.0729699453368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604.52000000000044</v>
      </c>
      <c r="E18" s="5">
        <f>Balance_Sheet!D68-Balance_Sheet!E68</f>
        <v>3926.09</v>
      </c>
      <c r="F18" s="5">
        <f>Balance_Sheet!E68-Balance_Sheet!F68</f>
        <v>-1654.9300000000003</v>
      </c>
      <c r="G18" s="5">
        <f>Balance_Sheet!F68-Balance_Sheet!G68</f>
        <v>-2706.59</v>
      </c>
      <c r="H18" s="24">
        <f>Balance_Sheet!G68-Balance_Sheet!H68</f>
        <v>2367.2052734940262</v>
      </c>
      <c r="I18" s="24">
        <f>Balance_Sheet!H68-Balance_Sheet!I68</f>
        <v>-789.47645601351905</v>
      </c>
      <c r="J18" s="24">
        <f>Balance_Sheet!I68-Balance_Sheet!J68</f>
        <v>-1014.8585045713335</v>
      </c>
      <c r="K18" s="24">
        <f>Balance_Sheet!J68-Balance_Sheet!K68</f>
        <v>-1155.4187019596593</v>
      </c>
      <c r="L18" s="24">
        <f>Balance_Sheet!K68-Balance_Sheet!L68</f>
        <v>-945.82449135755269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-292.02999999999975</v>
      </c>
      <c r="E20" s="5">
        <f>Balance_Sheet!E23-Balance_Sheet!D23</f>
        <v>188.85999999999967</v>
      </c>
      <c r="F20" s="5">
        <f>Balance_Sheet!F23-Balance_Sheet!E23</f>
        <v>456.85000000000036</v>
      </c>
      <c r="G20" s="5">
        <f>Balance_Sheet!G23-Balance_Sheet!F23</f>
        <v>134.05999999999949</v>
      </c>
      <c r="H20" s="24">
        <f>Balance_Sheet!H23-Balance_Sheet!G23</f>
        <v>697.29287721196033</v>
      </c>
      <c r="I20" s="24">
        <f>Balance_Sheet!I23-Balance_Sheet!H23</f>
        <v>441.38017075344851</v>
      </c>
      <c r="J20" s="24">
        <f>Balance_Sheet!J23-Balance_Sheet!I23</f>
        <v>567.38667331532542</v>
      </c>
      <c r="K20" s="24">
        <f>Balance_Sheet!K23-Balance_Sheet!J23</f>
        <v>645.97101038051551</v>
      </c>
      <c r="L20" s="24">
        <f>Balance_Sheet!L23-Balance_Sheet!K23</f>
        <v>528.79116573812098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-20.920000000000073</v>
      </c>
      <c r="E21" s="5">
        <f>Balance_Sheet!E25-Balance_Sheet!D25</f>
        <v>414.95000000000005</v>
      </c>
      <c r="F21" s="5">
        <f>Balance_Sheet!F25-Balance_Sheet!E25</f>
        <v>3061.6499999999996</v>
      </c>
      <c r="G21" s="5">
        <f>Balance_Sheet!G25-Balance_Sheet!F25</f>
        <v>-1956.83</v>
      </c>
      <c r="H21" s="24">
        <f>Balance_Sheet!H25-Balance_Sheet!G25</f>
        <v>-645.46270522848408</v>
      </c>
      <c r="I21" s="24">
        <f>Balance_Sheet!I25-Balance_Sheet!H25</f>
        <v>169.65704405926317</v>
      </c>
      <c r="J21" s="24">
        <f>Balance_Sheet!J25-Balance_Sheet!I25</f>
        <v>218.09123338952122</v>
      </c>
      <c r="K21" s="24">
        <f>Balance_Sheet!K25-Balance_Sheet!J25</f>
        <v>248.29736229893297</v>
      </c>
      <c r="L21" s="24">
        <f>Balance_Sheet!L25-Balance_Sheet!K25</f>
        <v>203.2559504216938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-182.27999999999975</v>
      </c>
      <c r="E22" s="5">
        <f>Balance_Sheet!E27-Balance_Sheet!D27</f>
        <v>584.32999999999993</v>
      </c>
      <c r="F22" s="5">
        <f>Balance_Sheet!F27-Balance_Sheet!E27</f>
        <v>12486.059999999998</v>
      </c>
      <c r="G22" s="5">
        <f>Balance_Sheet!G27-Balance_Sheet!F27</f>
        <v>-1636.9699999999993</v>
      </c>
      <c r="H22" s="24">
        <f>Balance_Sheet!H27-Balance_Sheet!G27</f>
        <v>989.82999999999993</v>
      </c>
      <c r="I22" s="24">
        <f>Balance_Sheet!I27-Balance_Sheet!H27</f>
        <v>1345.1900000000023</v>
      </c>
      <c r="J22" s="24">
        <f>Balance_Sheet!J27-Balance_Sheet!I27</f>
        <v>1729.2099999999991</v>
      </c>
      <c r="K22" s="24">
        <f>Balance_Sheet!K27-Balance_Sheet!J27</f>
        <v>1968.7099999999991</v>
      </c>
      <c r="L22" s="24">
        <f>Balance_Sheet!L27-Balance_Sheet!K27</f>
        <v>1611.5800000000017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1303.1499999999978</v>
      </c>
      <c r="E23" s="5">
        <f>Balance_Sheet!E29-Balance_Sheet!D29</f>
        <v>-336.11000000000058</v>
      </c>
      <c r="F23" s="5">
        <f>Balance_Sheet!F29-Balance_Sheet!E29</f>
        <v>4586.6400000000031</v>
      </c>
      <c r="G23" s="5">
        <f>Balance_Sheet!G29-Balance_Sheet!F29</f>
        <v>10797.380000000001</v>
      </c>
      <c r="H23" s="24">
        <f>Balance_Sheet!H29-Balance_Sheet!G29</f>
        <v>-5515.3611441232206</v>
      </c>
      <c r="I23" s="24">
        <f>Balance_Sheet!I29-Balance_Sheet!H29</f>
        <v>2497.2355814023613</v>
      </c>
      <c r="J23" s="24">
        <f>Balance_Sheet!J29-Balance_Sheet!I29</f>
        <v>3210.1537017348601</v>
      </c>
      <c r="K23" s="24">
        <f>Balance_Sheet!K29-Balance_Sheet!J29</f>
        <v>3654.7672472983468</v>
      </c>
      <c r="L23" s="24">
        <f>Balance_Sheet!L29-Balance_Sheet!K29</f>
        <v>2991.7884891799986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9173.39</v>
      </c>
      <c r="E24" s="5">
        <f>Balance_Sheet!E31-Balance_Sheet!D31</f>
        <v>-7834.4599999999991</v>
      </c>
      <c r="F24" s="5">
        <f>Balance_Sheet!F31-Balance_Sheet!E31</f>
        <v>5773.4399999999987</v>
      </c>
      <c r="G24" s="5">
        <f>Balance_Sheet!G31-Balance_Sheet!F31</f>
        <v>1784.6800000000003</v>
      </c>
      <c r="H24" s="24">
        <f>Balance_Sheet!H31-Balance_Sheet!G31</f>
        <v>1686.2399617189621</v>
      </c>
      <c r="I24" s="24">
        <f>Balance_Sheet!I31-Balance_Sheet!H31</f>
        <v>2291.6008702913423</v>
      </c>
      <c r="J24" s="24">
        <f>Balance_Sheet!J31-Balance_Sheet!I31</f>
        <v>2945.8137916381529</v>
      </c>
      <c r="K24" s="24">
        <f>Balance_Sheet!K31-Balance_Sheet!J31</f>
        <v>3353.8156620041191</v>
      </c>
      <c r="L24" s="24">
        <f>Balance_Sheet!L31-Balance_Sheet!K31</f>
        <v>2745.4298491463996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6718.43</v>
      </c>
      <c r="E26" s="5">
        <f>Income_Statement!E47</f>
        <v>-2552.9</v>
      </c>
      <c r="F26" s="5">
        <f>Income_Statement!F47</f>
        <v>5653.9</v>
      </c>
      <c r="G26" s="5">
        <f>Income_Statement!G47</f>
        <v>8477.5499999999993</v>
      </c>
      <c r="H26" s="24">
        <f>Income_Statement!H47</f>
        <v>7778.914827703763</v>
      </c>
      <c r="I26" s="24">
        <f>Income_Statement!I47</f>
        <v>9206.3085364840808</v>
      </c>
      <c r="J26" s="24">
        <f>Income_Statement!J47</f>
        <v>11664.504863389986</v>
      </c>
      <c r="K26" s="24">
        <f>Income_Statement!K47</f>
        <v>13967.00600432088</v>
      </c>
      <c r="L26" s="24">
        <f>Income_Statement!L47</f>
        <v>15314.412232550061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24137.689181932263</v>
      </c>
      <c r="E27" s="7">
        <f t="shared" ref="E27:L27" si="1">E12+E13+E14+E15+E16+E17+E18+E20+E21+E22+E23+E24-E26+E10+E5</f>
        <v>12687.58247032976</v>
      </c>
      <c r="F27" s="7">
        <f t="shared" si="1"/>
        <v>65765.665788548155</v>
      </c>
      <c r="G27" s="7">
        <f t="shared" si="1"/>
        <v>40361.583238972242</v>
      </c>
      <c r="H27" s="27">
        <f t="shared" si="1"/>
        <v>88537.455437874451</v>
      </c>
      <c r="I27" s="27">
        <f t="shared" si="1"/>
        <v>63878.207463804625</v>
      </c>
      <c r="J27" s="27">
        <f t="shared" si="1"/>
        <v>78288.272584126185</v>
      </c>
      <c r="K27" s="27">
        <f t="shared" si="1"/>
        <v>91935.944694553182</v>
      </c>
      <c r="L27" s="27">
        <f t="shared" si="1"/>
        <v>99700.86148991689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-28128.190000000002</v>
      </c>
      <c r="E29" s="5">
        <f>Balance_Sheet!D40-Balance_Sheet!E40</f>
        <v>-9602.7899999999936</v>
      </c>
      <c r="F29" s="5">
        <f>Balance_Sheet!E40-Balance_Sheet!F40</f>
        <v>-400.69000000000233</v>
      </c>
      <c r="G29" s="5">
        <f>Balance_Sheet!F40-Balance_Sheet!G40</f>
        <v>3950.2899999999936</v>
      </c>
      <c r="H29" s="24">
        <f>Balance_Sheet!G40-Balance_Sheet!H40</f>
        <v>-7778.570000000007</v>
      </c>
      <c r="I29" s="24">
        <f>Balance_Sheet!H40-Balance_Sheet!I40</f>
        <v>-10571.079999999987</v>
      </c>
      <c r="J29" s="24">
        <f>Balance_Sheet!I40-Balance_Sheet!J40</f>
        <v>-13588.950000000012</v>
      </c>
      <c r="K29" s="24">
        <f>Balance_Sheet!J40-Balance_Sheet!K40</f>
        <v>-15471.049999999988</v>
      </c>
      <c r="L29" s="24">
        <f>Balance_Sheet!K40-Balance_Sheet!L40</f>
        <v>-12664.580000000016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-311.65999999999985</v>
      </c>
      <c r="E30" s="5">
        <f>Balance_Sheet!D42-Balance_Sheet!E42</f>
        <v>-448.04999999999995</v>
      </c>
      <c r="F30" s="5">
        <f>Balance_Sheet!E42-Balance_Sheet!F42</f>
        <v>-533.67000000000007</v>
      </c>
      <c r="G30" s="5">
        <f>Balance_Sheet!F42-Balance_Sheet!G42</f>
        <v>-1496.4300000000003</v>
      </c>
      <c r="H30" s="24">
        <f>Balance_Sheet!G42-Balance_Sheet!H42</f>
        <v>-279.42000000000007</v>
      </c>
      <c r="I30" s="24">
        <f>Balance_Sheet!H42-Balance_Sheet!I42</f>
        <v>-379.73999999999978</v>
      </c>
      <c r="J30" s="24">
        <f>Balance_Sheet!I42-Balance_Sheet!J42</f>
        <v>-488.14999999999964</v>
      </c>
      <c r="K30" s="24">
        <f>Balance_Sheet!J42-Balance_Sheet!K42</f>
        <v>-555.75</v>
      </c>
      <c r="L30" s="24">
        <f>Balance_Sheet!K42-Balance_Sheet!L42</f>
        <v>-454.94000000000051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-222.80999999999995</v>
      </c>
      <c r="E31" s="5">
        <f>Balance_Sheet!D48-Balance_Sheet!E48</f>
        <v>360</v>
      </c>
      <c r="F31" s="5">
        <f>Balance_Sheet!E48-Balance_Sheet!F48</f>
        <v>-609.73</v>
      </c>
      <c r="G31" s="5">
        <f>Balance_Sheet!F48-Balance_Sheet!G48</f>
        <v>-1152.3900000000003</v>
      </c>
      <c r="H31" s="24">
        <f>Balance_Sheet!G48-Balance_Sheet!H48</f>
        <v>229.10601556173333</v>
      </c>
      <c r="I31" s="24">
        <f>Balance_Sheet!H48-Balance_Sheet!I48</f>
        <v>-350.52340745630227</v>
      </c>
      <c r="J31" s="24">
        <f>Balance_Sheet!I48-Balance_Sheet!J48</f>
        <v>-450.5918553982292</v>
      </c>
      <c r="K31" s="24">
        <f>Balance_Sheet!J48-Balance_Sheet!K48</f>
        <v>-512.9998461191617</v>
      </c>
      <c r="L31" s="24">
        <f>Balance_Sheet!K48-Balance_Sheet!L48</f>
        <v>-419.94111545816031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12384.109999999999</v>
      </c>
      <c r="E32" s="5">
        <f>Balance_Sheet!D50-Balance_Sheet!E50</f>
        <v>-907.00999999999976</v>
      </c>
      <c r="F32" s="5">
        <f>Balance_Sheet!E50-Balance_Sheet!F50</f>
        <v>-3787.0200000000004</v>
      </c>
      <c r="G32" s="5">
        <f>Balance_Sheet!F50-Balance_Sheet!G50</f>
        <v>-1305.5299999999997</v>
      </c>
      <c r="H32" s="24">
        <f>Balance_Sheet!G50-Balance_Sheet!H50</f>
        <v>-366.95888035793178</v>
      </c>
      <c r="I32" s="24">
        <f>Balance_Sheet!H50-Balance_Sheet!I50</f>
        <v>-710.53493385012371</v>
      </c>
      <c r="J32" s="24">
        <f>Balance_Sheet!I50-Balance_Sheet!J50</f>
        <v>-913.380525689141</v>
      </c>
      <c r="K32" s="24">
        <f>Balance_Sheet!J50-Balance_Sheet!K50</f>
        <v>-1039.8857935695614</v>
      </c>
      <c r="L32" s="24">
        <f>Balance_Sheet!K50-Balance_Sheet!L50</f>
        <v>-851.24937834632146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482.33000000000175</v>
      </c>
      <c r="E33" s="5">
        <f>Balance_Sheet!D52-Balance_Sheet!E52</f>
        <v>-905.55000000000291</v>
      </c>
      <c r="F33" s="5">
        <f>Balance_Sheet!E52-Balance_Sheet!F52</f>
        <v>733.31999999999971</v>
      </c>
      <c r="G33" s="5">
        <f>Balance_Sheet!F52-Balance_Sheet!G52</f>
        <v>-3098.8799999999974</v>
      </c>
      <c r="H33" s="24">
        <f>Balance_Sheet!G52-Balance_Sheet!H52</f>
        <v>-2842.4589312892713</v>
      </c>
      <c r="I33" s="24">
        <f>Balance_Sheet!H52-Balance_Sheet!I52</f>
        <v>-1923.5072727574989</v>
      </c>
      <c r="J33" s="24">
        <f>Balance_Sheet!I52-Balance_Sheet!J52</f>
        <v>-2472.6357568911808</v>
      </c>
      <c r="K33" s="24">
        <f>Balance_Sheet!J52-Balance_Sheet!K52</f>
        <v>-2815.1013996310649</v>
      </c>
      <c r="L33" s="24">
        <f>Balance_Sheet!K52-Balance_Sheet!L52</f>
        <v>-2304.4389405416987</v>
      </c>
    </row>
    <row r="34" spans="2:12" ht="18.75" x14ac:dyDescent="0.25">
      <c r="B34" s="8" t="s">
        <v>59</v>
      </c>
      <c r="C34" s="4"/>
      <c r="D34" s="4">
        <f>Income_Statement!D11</f>
        <v>1420.58</v>
      </c>
      <c r="E34" s="4">
        <f>Income_Statement!E11</f>
        <v>1821.99</v>
      </c>
      <c r="F34" s="4">
        <f>Income_Statement!F11</f>
        <v>895.6</v>
      </c>
      <c r="G34" s="4">
        <f>Income_Statement!G11</f>
        <v>784.89</v>
      </c>
      <c r="H34" s="26">
        <f>Income_Statement!H11</f>
        <v>1612.3063842375389</v>
      </c>
      <c r="I34" s="26">
        <f>Income_Statement!I11</f>
        <v>1869.0684925717583</v>
      </c>
      <c r="J34" s="26">
        <f>Income_Statement!J11</f>
        <v>2298.0831251521868</v>
      </c>
      <c r="K34" s="26">
        <f>Income_Statement!K11</f>
        <v>2707.7505347199194</v>
      </c>
      <c r="L34" s="26">
        <f>Income_Statement!L11</f>
        <v>2957.7873103975985</v>
      </c>
    </row>
    <row r="35" spans="2:12" ht="18.75" x14ac:dyDescent="0.25">
      <c r="B35" s="9" t="s">
        <v>137</v>
      </c>
      <c r="C35" s="6"/>
      <c r="D35" s="7">
        <f>D29+D30+D31+D32+D33+D34</f>
        <v>-14375.640000000003</v>
      </c>
      <c r="E35" s="7">
        <f t="shared" ref="E35:L35" si="2">E29+E30+E31+E32+E33+E34</f>
        <v>-9681.4099999999962</v>
      </c>
      <c r="F35" s="7">
        <f t="shared" si="2"/>
        <v>-3702.1900000000028</v>
      </c>
      <c r="G35" s="7">
        <f t="shared" si="2"/>
        <v>-2318.0500000000043</v>
      </c>
      <c r="H35" s="27">
        <f t="shared" si="2"/>
        <v>-9425.9954118479382</v>
      </c>
      <c r="I35" s="27">
        <f t="shared" si="2"/>
        <v>-12066.317121492155</v>
      </c>
      <c r="J35" s="27">
        <f t="shared" si="2"/>
        <v>-15615.625012826373</v>
      </c>
      <c r="K35" s="27">
        <f t="shared" si="2"/>
        <v>-17687.036504599855</v>
      </c>
      <c r="L35" s="27">
        <f t="shared" si="2"/>
        <v>-13737.362123948598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-9.9999999999909051E-3</v>
      </c>
      <c r="E37" s="5">
        <f>Balance_Sheet!E5-Balance_Sheet!D5</f>
        <v>9.9999999999909051E-3</v>
      </c>
      <c r="F37" s="5">
        <f>Balance_Sheet!F5-Balance_Sheet!E5</f>
        <v>52.659999999999854</v>
      </c>
      <c r="G37" s="5">
        <f>Balance_Sheet!G5-Balance_Sheet!F5</f>
        <v>23.600000000000136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7553.6299999999901</v>
      </c>
      <c r="E39" s="5">
        <f>Balance_Sheet!E15-Balance_Sheet!D15</f>
        <v>13762.240000000005</v>
      </c>
      <c r="F39" s="5">
        <f>Balance_Sheet!F15-Balance_Sheet!E15</f>
        <v>-28406.960000000006</v>
      </c>
      <c r="G39" s="5">
        <f>Balance_Sheet!G15-Balance_Sheet!F15</f>
        <v>-20933.939999999995</v>
      </c>
      <c r="H39" s="24">
        <f>Balance_Sheet!H15-Balance_Sheet!G15</f>
        <v>2796.6999999999971</v>
      </c>
      <c r="I39" s="24">
        <f>Balance_Sheet!I15-Balance_Sheet!H15</f>
        <v>3800.7100000000064</v>
      </c>
      <c r="J39" s="24">
        <f>Balance_Sheet!J15-Balance_Sheet!I15</f>
        <v>4885.75</v>
      </c>
      <c r="K39" s="24">
        <f>Balance_Sheet!K15-Balance_Sheet!J15</f>
        <v>5562.4499999999971</v>
      </c>
      <c r="L39" s="24">
        <f>Balance_Sheet!L15-Balance_Sheet!K15</f>
        <v>4553.4000000000015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1890.0100000000002</v>
      </c>
      <c r="E40" s="5">
        <f>Balance_Sheet!E17-Balance_Sheet!D17</f>
        <v>-3198.51</v>
      </c>
      <c r="F40" s="5">
        <f>Balance_Sheet!F17-Balance_Sheet!E17</f>
        <v>-19.959999999999127</v>
      </c>
      <c r="G40" s="5">
        <f>Balance_Sheet!G17-Balance_Sheet!F17</f>
        <v>3084.3600000000006</v>
      </c>
      <c r="H40" s="24">
        <f>Balance_Sheet!H17-Balance_Sheet!G17</f>
        <v>770.07038507761354</v>
      </c>
      <c r="I40" s="24">
        <f>Balance_Sheet!I17-Balance_Sheet!H17</f>
        <v>1046.5260014538562</v>
      </c>
      <c r="J40" s="24">
        <f>Balance_Sheet!J17-Balance_Sheet!I17</f>
        <v>1345.2913063341421</v>
      </c>
      <c r="K40" s="24">
        <f>Balance_Sheet!K17-Balance_Sheet!J17</f>
        <v>1531.6171938459156</v>
      </c>
      <c r="L40" s="24">
        <f>Balance_Sheet!L17-Balance_Sheet!K17</f>
        <v>1253.7801671955058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-5082.8999999999996</v>
      </c>
      <c r="E41" s="5">
        <f>Balance_Sheet!E19-Balance_Sheet!D19</f>
        <v>8382.4</v>
      </c>
      <c r="F41" s="5">
        <f>Balance_Sheet!F19-Balance_Sheet!E19</f>
        <v>-4215.51</v>
      </c>
      <c r="G41" s="5">
        <f>Balance_Sheet!G19-Balance_Sheet!F19</f>
        <v>9095.6400000000012</v>
      </c>
      <c r="H41" s="24">
        <f>Balance_Sheet!H19-Balance_Sheet!G19</f>
        <v>1503.4700000000012</v>
      </c>
      <c r="I41" s="24">
        <f>Balance_Sheet!I19-Balance_Sheet!H19</f>
        <v>2043.2199999999975</v>
      </c>
      <c r="J41" s="24">
        <f>Balance_Sheet!J19-Balance_Sheet!I19</f>
        <v>2626.5200000000004</v>
      </c>
      <c r="K41" s="24">
        <f>Balance_Sheet!K19-Balance_Sheet!J19</f>
        <v>2990.3000000000029</v>
      </c>
      <c r="L41" s="24">
        <f>Balance_Sheet!L19-Balance_Sheet!K19</f>
        <v>2447.8499999999985</v>
      </c>
    </row>
    <row r="42" spans="2:12" ht="18.75" x14ac:dyDescent="0.25">
      <c r="B42" s="8" t="str">
        <f>Balance_Sheet!B35:G35</f>
        <v>Minority Interest</v>
      </c>
      <c r="C42" s="4"/>
      <c r="D42" s="5">
        <f>Balance_Sheet!D35-Balance_Sheet!C35</f>
        <v>1427.94</v>
      </c>
      <c r="E42" s="5">
        <f>Balance_Sheet!E35-Balance_Sheet!D35</f>
        <v>222.13999999999987</v>
      </c>
      <c r="F42" s="5">
        <f>Balance_Sheet!F35-Balance_Sheet!E35</f>
        <v>683.07999999999993</v>
      </c>
      <c r="G42" s="5">
        <f>Balance_Sheet!G35-Balance_Sheet!F35</f>
        <v>-614.25999999999976</v>
      </c>
      <c r="H42" s="24">
        <f>Balance_Sheet!H35-Balance_Sheet!G35</f>
        <v>572.18256814465622</v>
      </c>
      <c r="I42" s="24">
        <f>Balance_Sheet!I35-Balance_Sheet!H35</f>
        <v>257.92674095998427</v>
      </c>
      <c r="J42" s="24">
        <f>Balance_Sheet!J35-Balance_Sheet!I35</f>
        <v>331.56042162595531</v>
      </c>
      <c r="K42" s="24">
        <f>Balance_Sheet!K35-Balance_Sheet!J35</f>
        <v>377.48228964989721</v>
      </c>
      <c r="L42" s="24">
        <f>Balance_Sheet!L35-Balance_Sheet!K35</f>
        <v>309.00659128941879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1144.76</v>
      </c>
      <c r="E44" s="5">
        <f>Income_Statement!E51</f>
        <v>1488.13</v>
      </c>
      <c r="F44" s="5">
        <f>Income_Statement!F51</f>
        <v>1144.75</v>
      </c>
      <c r="G44" s="5">
        <f>Income_Statement!G51</f>
        <v>3004.16</v>
      </c>
      <c r="H44" s="24">
        <f>Income_Statement!H51</f>
        <v>2895.4282262159727</v>
      </c>
      <c r="I44" s="24">
        <f>Income_Statement!I51</f>
        <v>3356.5293315404388</v>
      </c>
      <c r="J44" s="24">
        <f>Income_Statement!J51</f>
        <v>4126.9666930599597</v>
      </c>
      <c r="K44" s="24">
        <f>Income_Statement!K51</f>
        <v>4862.6597304500765</v>
      </c>
      <c r="L44" s="24">
        <f>Income_Statement!L51</f>
        <v>5311.6832814121644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224.61</v>
      </c>
      <c r="E45" s="4">
        <f>Income_Statement!E53</f>
        <v>297.39999999999998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7660.1</v>
      </c>
      <c r="E46" s="5">
        <f>Income_Statement!E35</f>
        <v>7580.72</v>
      </c>
      <c r="F46" s="5">
        <f>Income_Statement!F35</f>
        <v>7606.71</v>
      </c>
      <c r="G46" s="5">
        <f>Income_Statement!G35</f>
        <v>5462.2</v>
      </c>
      <c r="H46" s="24">
        <f>Income_Statement!H35</f>
        <v>5803.4586927200307</v>
      </c>
      <c r="I46" s="24">
        <f>Income_Statement!I35</f>
        <v>6267.2295145824401</v>
      </c>
      <c r="J46" s="24">
        <f>Income_Statement!J35</f>
        <v>6863.3984032916987</v>
      </c>
      <c r="K46" s="24">
        <f>Income_Statement!K35</f>
        <v>7542.1385636229979</v>
      </c>
      <c r="L46" s="24">
        <f>Income_Statement!L35</f>
        <v>8097.7541082030484</v>
      </c>
    </row>
    <row r="47" spans="2:12" ht="18.75" x14ac:dyDescent="0.25">
      <c r="B47" s="9" t="s">
        <v>141</v>
      </c>
      <c r="C47" s="6"/>
      <c r="D47" s="7">
        <f>D37+D38+D39+D40+D41+D42-D44-D45-D46</f>
        <v>-3240.8000000000093</v>
      </c>
      <c r="E47" s="7">
        <f t="shared" ref="E47:L47" si="3">E37+E38+E39+E40+E41+E42-E44-E45-E46</f>
        <v>9802.0300000000025</v>
      </c>
      <c r="F47" s="7">
        <f t="shared" si="3"/>
        <v>-40658.15</v>
      </c>
      <c r="G47" s="7">
        <f t="shared" si="3"/>
        <v>-17810.959999999995</v>
      </c>
      <c r="H47" s="27">
        <f t="shared" si="3"/>
        <v>-3056.4639657137354</v>
      </c>
      <c r="I47" s="27">
        <f t="shared" si="3"/>
        <v>-2475.3761037090344</v>
      </c>
      <c r="J47" s="27">
        <f t="shared" si="3"/>
        <v>-1801.2433683915615</v>
      </c>
      <c r="K47" s="27">
        <f t="shared" si="3"/>
        <v>-1942.9488105772616</v>
      </c>
      <c r="L47" s="27">
        <f t="shared" si="3"/>
        <v>-4845.4006311302883</v>
      </c>
    </row>
    <row r="48" spans="2:12" ht="18.75" x14ac:dyDescent="0.25">
      <c r="B48" s="9" t="s">
        <v>142</v>
      </c>
      <c r="C48" s="6"/>
      <c r="D48" s="7">
        <f>D27+D35+D47</f>
        <v>6521.2491819322504</v>
      </c>
      <c r="E48" s="7">
        <f t="shared" ref="E48:L48" si="4">E27+E35+E47</f>
        <v>12808.202470329767</v>
      </c>
      <c r="F48" s="7">
        <f t="shared" si="4"/>
        <v>21405.325788548151</v>
      </c>
      <c r="G48" s="7">
        <f t="shared" si="4"/>
        <v>20232.573238972243</v>
      </c>
      <c r="H48" s="27">
        <f t="shared" si="4"/>
        <v>76054.996060312784</v>
      </c>
      <c r="I48" s="27">
        <f t="shared" si="4"/>
        <v>49336.514238603435</v>
      </c>
      <c r="J48" s="27">
        <f t="shared" si="4"/>
        <v>60871.404202908256</v>
      </c>
      <c r="K48" s="27">
        <f t="shared" si="4"/>
        <v>72305.959379376072</v>
      </c>
      <c r="L48" s="27">
        <f t="shared" si="4"/>
        <v>81118.098734838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03B6F7EC-E534-4540-A254-AC983EE5B843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3DFB-7551-42C6-B223-E5B1C3FE4357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4.85546875" bestFit="1" customWidth="1"/>
    <col min="7" max="7" width="15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26214.660370650119</v>
      </c>
      <c r="D6" s="13">
        <f>Income_Statement!D49</f>
        <v>10793.439181932263</v>
      </c>
      <c r="E6" s="13">
        <f>Income_Statement!E49</f>
        <v>5815.9424703297627</v>
      </c>
      <c r="F6" s="13">
        <f>Income_Statement!F49</f>
        <v>15664.735788548152</v>
      </c>
      <c r="G6" s="13">
        <f>Income_Statement!G49</f>
        <v>44294.003238972247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128</v>
      </c>
      <c r="D8" s="14">
        <f t="shared" ref="D8:G8" si="0">ROUND(D6/D7, 2)</f>
        <v>88</v>
      </c>
      <c r="E8" s="14">
        <f t="shared" si="0"/>
        <v>12</v>
      </c>
      <c r="F8" s="14">
        <f t="shared" si="0"/>
        <v>64</v>
      </c>
      <c r="G8" s="14">
        <f t="shared" si="0"/>
        <v>332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1236.18</v>
      </c>
      <c r="D11" s="13">
        <f>Income_Statement!D51</f>
        <v>1144.76</v>
      </c>
      <c r="E11" s="13">
        <f>Income_Statement!E51</f>
        <v>1488.13</v>
      </c>
      <c r="F11" s="13">
        <f>Income_Statement!F51</f>
        <v>1144.75</v>
      </c>
      <c r="G11" s="13">
        <f>Income_Statement!G51</f>
        <v>3004.16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204.80203414570406</v>
      </c>
      <c r="D12" s="13">
        <f>Income_Statement!D61</f>
        <v>122.65271797650298</v>
      </c>
      <c r="E12" s="13">
        <f>Income_Statement!E61</f>
        <v>484.66187252748023</v>
      </c>
      <c r="F12" s="13">
        <f>Income_Statement!F61</f>
        <v>244.76149669606488</v>
      </c>
      <c r="G12" s="13">
        <f>Income_Statement!G61</f>
        <v>133.41567240654291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6.04</v>
      </c>
      <c r="D13" s="14">
        <f t="shared" ref="D13:G13" si="1">ROUND(D11/D12, 2)</f>
        <v>9.33</v>
      </c>
      <c r="E13" s="14">
        <f t="shared" si="1"/>
        <v>3.07</v>
      </c>
      <c r="F13" s="14">
        <f t="shared" si="1"/>
        <v>4.68</v>
      </c>
      <c r="G13" s="14">
        <f t="shared" si="1"/>
        <v>22.52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58595.6</v>
      </c>
      <c r="D16" s="13">
        <f>Balance_Sheet!D13</f>
        <v>68019.659181932264</v>
      </c>
      <c r="E16" s="13">
        <f>Balance_Sheet!E13</f>
        <v>72050.081652262015</v>
      </c>
      <c r="F16" s="13">
        <f>Balance_Sheet!F13</f>
        <v>86622.727440810166</v>
      </c>
      <c r="G16" s="13">
        <f>Balance_Sheet!G13</f>
        <v>127936.17067978242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204.80203414570406</v>
      </c>
      <c r="D17" s="13">
        <f>Income_Statement!D61</f>
        <v>122.65271797650298</v>
      </c>
      <c r="E17" s="13">
        <f>Income_Statement!E61</f>
        <v>484.66187252748023</v>
      </c>
      <c r="F17" s="13">
        <f>Income_Statement!F61</f>
        <v>244.76149669606488</v>
      </c>
      <c r="G17" s="13">
        <f>Income_Statement!G61</f>
        <v>133.41567240654291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286.11</v>
      </c>
      <c r="D18" s="14">
        <f t="shared" ref="D18:G18" si="2">ROUND(D16/D17, 2)</f>
        <v>554.57000000000005</v>
      </c>
      <c r="E18" s="14">
        <f t="shared" si="2"/>
        <v>148.66</v>
      </c>
      <c r="F18" s="14">
        <f t="shared" si="2"/>
        <v>353.91</v>
      </c>
      <c r="G18" s="14">
        <f t="shared" si="2"/>
        <v>958.93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1236.18</v>
      </c>
      <c r="D21" s="13">
        <f>Income_Statement!D51</f>
        <v>1144.76</v>
      </c>
      <c r="E21" s="13">
        <f>Income_Statement!E51</f>
        <v>1488.13</v>
      </c>
      <c r="F21" s="13">
        <f>Income_Statement!F51</f>
        <v>1144.75</v>
      </c>
      <c r="G21" s="13">
        <f>Income_Statement!G51</f>
        <v>3004.16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204.80203414570406</v>
      </c>
      <c r="D22" s="13">
        <f>Income_Statement!D61</f>
        <v>122.65271797650298</v>
      </c>
      <c r="E22" s="13">
        <f>Income_Statement!E61</f>
        <v>484.66187252748023</v>
      </c>
      <c r="F22" s="13">
        <f>Income_Statement!F61</f>
        <v>244.76149669606488</v>
      </c>
      <c r="G22" s="13">
        <f>Income_Statement!G61</f>
        <v>133.41567240654291</v>
      </c>
    </row>
    <row r="23" spans="2:12" ht="18.75" x14ac:dyDescent="0.25">
      <c r="B23" s="12" t="s">
        <v>148</v>
      </c>
      <c r="C23" s="13">
        <f>ROUND(C21/C22, 2)</f>
        <v>6.04</v>
      </c>
      <c r="D23" s="13">
        <f t="shared" ref="D23:G23" si="3">ROUND(D21/D22, 2)</f>
        <v>9.33</v>
      </c>
      <c r="E23" s="13">
        <f t="shared" si="3"/>
        <v>3.07</v>
      </c>
      <c r="F23" s="13">
        <f t="shared" si="3"/>
        <v>4.68</v>
      </c>
      <c r="G23" s="13">
        <f t="shared" si="3"/>
        <v>22.52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26214.660370650119</v>
      </c>
      <c r="D24" s="13">
        <f>Income_Statement!D49</f>
        <v>10793.439181932263</v>
      </c>
      <c r="E24" s="13">
        <f>Income_Statement!E49</f>
        <v>5815.9424703297627</v>
      </c>
      <c r="F24" s="13">
        <f>Income_Statement!F49</f>
        <v>15664.735788548152</v>
      </c>
      <c r="G24" s="13">
        <f>Income_Statement!G49</f>
        <v>44294.003238972247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204.80203414570406</v>
      </c>
      <c r="D25" s="13">
        <f>Income_Statement!D61</f>
        <v>122.65271797650298</v>
      </c>
      <c r="E25" s="13">
        <f>Income_Statement!E61</f>
        <v>484.66187252748023</v>
      </c>
      <c r="F25" s="13">
        <f>Income_Statement!F61</f>
        <v>244.76149669606488</v>
      </c>
      <c r="G25" s="13">
        <f>Income_Statement!G61</f>
        <v>133.41567240654291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128</v>
      </c>
      <c r="D26" s="13">
        <f t="shared" ref="D26:G26" si="4">D24/D25</f>
        <v>88</v>
      </c>
      <c r="E26" s="13">
        <f t="shared" si="4"/>
        <v>12</v>
      </c>
      <c r="F26" s="13">
        <f t="shared" si="4"/>
        <v>64</v>
      </c>
      <c r="G26" s="13">
        <f t="shared" si="4"/>
        <v>332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0.05</v>
      </c>
      <c r="D27" s="14">
        <f t="shared" ref="D27:G27" si="5">ROUND(D23/D26, 2)</f>
        <v>0.11</v>
      </c>
      <c r="E27" s="14">
        <f t="shared" si="5"/>
        <v>0.26</v>
      </c>
      <c r="F27" s="14">
        <f t="shared" si="5"/>
        <v>7.0000000000000007E-2</v>
      </c>
      <c r="G27" s="14">
        <f t="shared" si="5"/>
        <v>7.0000000000000007E-2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1236.18</v>
      </c>
      <c r="D30" s="13">
        <f>Income_Statement!D51</f>
        <v>1144.76</v>
      </c>
      <c r="E30" s="13">
        <f>Income_Statement!E51</f>
        <v>1488.13</v>
      </c>
      <c r="F30" s="13">
        <f>Income_Statement!F51</f>
        <v>1144.75</v>
      </c>
      <c r="G30" s="13">
        <f>Income_Statement!G51</f>
        <v>3004.16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204.80203414570406</v>
      </c>
      <c r="D31" s="13">
        <f>Income_Statement!D61</f>
        <v>122.65271797650298</v>
      </c>
      <c r="E31" s="13">
        <f>Income_Statement!E61</f>
        <v>484.66187252748023</v>
      </c>
      <c r="F31" s="13">
        <f>Income_Statement!F61</f>
        <v>244.76149669606488</v>
      </c>
      <c r="G31" s="13">
        <f>Income_Statement!G61</f>
        <v>133.41567240654291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6.04</v>
      </c>
      <c r="D32" s="13">
        <f t="shared" ref="D32:G32" si="6">ROUND(D30/D31, 2)</f>
        <v>9.33</v>
      </c>
      <c r="E32" s="13">
        <f t="shared" si="6"/>
        <v>3.07</v>
      </c>
      <c r="F32" s="13">
        <f t="shared" si="6"/>
        <v>4.68</v>
      </c>
      <c r="G32" s="13">
        <f t="shared" si="6"/>
        <v>22.52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-5.04</v>
      </c>
      <c r="D33" s="15">
        <f t="shared" ref="D33:G33" si="7">1-D32</f>
        <v>-8.33</v>
      </c>
      <c r="E33" s="15">
        <f t="shared" si="7"/>
        <v>-2.0699999999999998</v>
      </c>
      <c r="F33" s="15">
        <f t="shared" si="7"/>
        <v>-3.6799999999999997</v>
      </c>
      <c r="G33" s="15">
        <f t="shared" si="7"/>
        <v>-21.52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131741.49</v>
      </c>
      <c r="D36" s="13">
        <f>Income_Statement!D5</f>
        <v>154691.84</v>
      </c>
      <c r="E36" s="13">
        <f>Income_Statement!E5</f>
        <v>146106</v>
      </c>
      <c r="F36" s="13">
        <f>Income_Statement!F5</f>
        <v>154719.28</v>
      </c>
      <c r="G36" s="13">
        <f>Income_Statement!G5</f>
        <v>242326.87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41205.43</v>
      </c>
      <c r="D37" s="13">
        <f>Income_Statement!D17</f>
        <v>54309.07</v>
      </c>
      <c r="E37" s="13">
        <f>Income_Statement!E17</f>
        <v>53592.83</v>
      </c>
      <c r="F37" s="13">
        <f>Income_Statement!F17</f>
        <v>45292.49</v>
      </c>
      <c r="G37" s="13">
        <f>Income_Statement!G17</f>
        <v>75763.7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90536.06</v>
      </c>
      <c r="D38" s="16">
        <f t="shared" ref="D38:G38" si="8">ROUND(D36- D37, 2)</f>
        <v>100382.77</v>
      </c>
      <c r="E38" s="16">
        <f t="shared" si="8"/>
        <v>92513.17</v>
      </c>
      <c r="F38" s="16">
        <f t="shared" si="8"/>
        <v>109426.79</v>
      </c>
      <c r="G38" s="16">
        <f t="shared" si="8"/>
        <v>166563.17000000001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131741.49</v>
      </c>
      <c r="D41" s="13">
        <f>Income_Statement!D5</f>
        <v>154691.84</v>
      </c>
      <c r="E41" s="13">
        <f>Income_Statement!E5</f>
        <v>146106</v>
      </c>
      <c r="F41" s="13">
        <f>Income_Statement!F5</f>
        <v>154719.28</v>
      </c>
      <c r="G41" s="13">
        <f>Income_Statement!G5</f>
        <v>242326.87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100306.94</v>
      </c>
      <c r="D42" s="13">
        <f>Income_Statement!D25</f>
        <v>123478.45000000001</v>
      </c>
      <c r="E42" s="13">
        <f>Income_Statement!E25</f>
        <v>123447.98999999999</v>
      </c>
      <c r="F42" s="13">
        <f>Income_Statement!F25</f>
        <v>116413.74</v>
      </c>
      <c r="G42" s="13">
        <f>Income_Statement!G25</f>
        <v>175644.08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31434.55</v>
      </c>
      <c r="D43" s="16">
        <f t="shared" ref="D43:G43" si="9">ROUND(D41- D42, 2)</f>
        <v>31213.39</v>
      </c>
      <c r="E43" s="16">
        <f t="shared" si="9"/>
        <v>22658.01</v>
      </c>
      <c r="F43" s="16">
        <f t="shared" si="9"/>
        <v>38305.54</v>
      </c>
      <c r="G43" s="16">
        <f t="shared" si="9"/>
        <v>66682.789999999994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26214.660370650119</v>
      </c>
      <c r="D46" s="13">
        <f>Income_Statement!D49</f>
        <v>10793.439181932263</v>
      </c>
      <c r="E46" s="13">
        <f>Income_Statement!E49</f>
        <v>5815.9424703297627</v>
      </c>
      <c r="F46" s="13">
        <f>Income_Statement!F49</f>
        <v>15664.735788548152</v>
      </c>
      <c r="G46" s="13">
        <f>Income_Statement!G49</f>
        <v>44294.003238972247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207482.92</v>
      </c>
      <c r="D47" s="13">
        <f>Balance_Sheet!D74</f>
        <v>232676.96918193228</v>
      </c>
      <c r="E47" s="13">
        <f>Balance_Sheet!E74</f>
        <v>248893.23165226201</v>
      </c>
      <c r="F47" s="13">
        <f>Balance_Sheet!F74</f>
        <v>257871.16744081015</v>
      </c>
      <c r="G47" s="13">
        <f>Balance_Sheet!G74</f>
        <v>298938.7306797824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0.13</v>
      </c>
      <c r="D48" s="15">
        <f t="shared" ref="D48:G48" si="10">ROUND(D46/ D47, 2)</f>
        <v>0.05</v>
      </c>
      <c r="E48" s="15">
        <f t="shared" si="10"/>
        <v>0.02</v>
      </c>
      <c r="F48" s="15">
        <f t="shared" si="10"/>
        <v>0.06</v>
      </c>
      <c r="G48" s="15">
        <f t="shared" si="10"/>
        <v>0.15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25522.72037065012</v>
      </c>
      <c r="D51" s="13">
        <f>Income_Statement!D33</f>
        <v>25292.939181932263</v>
      </c>
      <c r="E51" s="13">
        <f>Income_Statement!E33</f>
        <v>15773.342470329762</v>
      </c>
      <c r="F51" s="13">
        <f>Income_Statement!F33</f>
        <v>29968.505788548151</v>
      </c>
      <c r="G51" s="13">
        <f>Income_Statement!G33</f>
        <v>58367.813238972238</v>
      </c>
    </row>
    <row r="52" spans="2:12" ht="19.5" thickTop="1" x14ac:dyDescent="0.25">
      <c r="B52" s="12" t="str">
        <f>Balance_Sheet!B21</f>
        <v>Total Debt</v>
      </c>
      <c r="C52" s="13">
        <f>Balance_Sheet!C21</f>
        <v>99243.96</v>
      </c>
      <c r="D52" s="13">
        <f>Balance_Sheet!D21</f>
        <v>103604.7</v>
      </c>
      <c r="E52" s="13">
        <f>Balance_Sheet!E21</f>
        <v>122550.83</v>
      </c>
      <c r="F52" s="13">
        <f>Balance_Sheet!F21</f>
        <v>89908.4</v>
      </c>
      <c r="G52" s="13">
        <f>Balance_Sheet!G21</f>
        <v>81154.459999999992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58595.6</v>
      </c>
      <c r="D53" s="13">
        <f>Balance_Sheet!D13</f>
        <v>68019.659181932264</v>
      </c>
      <c r="E53" s="13">
        <f>Balance_Sheet!E13</f>
        <v>72050.081652262015</v>
      </c>
      <c r="F53" s="13">
        <f>Balance_Sheet!F13</f>
        <v>86622.727440810166</v>
      </c>
      <c r="G53" s="13">
        <f>Balance_Sheet!G13</f>
        <v>127936.17067978242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0.13</v>
      </c>
      <c r="D54" s="15">
        <f t="shared" ref="D54:G54" si="11">ROUND(D51/ (D52+ D52), 2)</f>
        <v>0.12</v>
      </c>
      <c r="E54" s="15">
        <f t="shared" si="11"/>
        <v>0.06</v>
      </c>
      <c r="F54" s="15">
        <f t="shared" si="11"/>
        <v>0.17</v>
      </c>
      <c r="G54" s="15">
        <f t="shared" si="11"/>
        <v>0.36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26214.660370650119</v>
      </c>
      <c r="D57" s="13">
        <f>Income_Statement!D49</f>
        <v>10793.439181932263</v>
      </c>
      <c r="E57" s="13">
        <f>Income_Statement!E49</f>
        <v>5815.9424703297627</v>
      </c>
      <c r="F57" s="13">
        <f>Income_Statement!F49</f>
        <v>15664.735788548152</v>
      </c>
      <c r="G57" s="13">
        <f>Income_Statement!G49</f>
        <v>44294.003238972247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58595.6</v>
      </c>
      <c r="D58" s="13">
        <f>Balance_Sheet!D13</f>
        <v>68019.659181932264</v>
      </c>
      <c r="E58" s="13">
        <f>Balance_Sheet!E13</f>
        <v>72050.081652262015</v>
      </c>
      <c r="F58" s="13">
        <f>Balance_Sheet!F13</f>
        <v>86622.727440810166</v>
      </c>
      <c r="G58" s="13">
        <f>Balance_Sheet!G13</f>
        <v>127936.17067978242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0.22</v>
      </c>
      <c r="D59" s="15">
        <f t="shared" ref="D59:G59" si="12">ROUND(D57/ (D58+ D58), 2)</f>
        <v>0.08</v>
      </c>
      <c r="E59" s="15">
        <f t="shared" si="12"/>
        <v>0.04</v>
      </c>
      <c r="F59" s="15">
        <f t="shared" si="12"/>
        <v>0.09</v>
      </c>
      <c r="G59" s="15">
        <f t="shared" si="12"/>
        <v>0.17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99243.96</v>
      </c>
      <c r="D62" s="13">
        <f>Balance_Sheet!D21</f>
        <v>103604.7</v>
      </c>
      <c r="E62" s="13">
        <f>Balance_Sheet!E21</f>
        <v>122550.83</v>
      </c>
      <c r="F62" s="13">
        <f>Balance_Sheet!F21</f>
        <v>89908.4</v>
      </c>
      <c r="G62" s="13">
        <f>Balance_Sheet!G21</f>
        <v>81154.459999999992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58595.6</v>
      </c>
      <c r="D63" s="13">
        <f>Balance_Sheet!D13</f>
        <v>68019.659181932264</v>
      </c>
      <c r="E63" s="13">
        <f>Balance_Sheet!E13</f>
        <v>72050.081652262015</v>
      </c>
      <c r="F63" s="13">
        <f>Balance_Sheet!F13</f>
        <v>86622.727440810166</v>
      </c>
      <c r="G63" s="13">
        <f>Balance_Sheet!G13</f>
        <v>127936.17067978242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1.69</v>
      </c>
      <c r="D64" s="14">
        <f t="shared" ref="D64:G64" si="13">ROUND(D62/ D63, 2)</f>
        <v>1.52</v>
      </c>
      <c r="E64" s="14">
        <f t="shared" si="13"/>
        <v>1.7</v>
      </c>
      <c r="F64" s="14">
        <f t="shared" si="13"/>
        <v>1.04</v>
      </c>
      <c r="G64" s="14">
        <f t="shared" si="13"/>
        <v>0.63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79139.170000000013</v>
      </c>
      <c r="D67" s="13">
        <f>Balance_Sheet!D72</f>
        <v>95878.829181932262</v>
      </c>
      <c r="E67" s="13">
        <f>Balance_Sheet!E72</f>
        <v>109299.36165226201</v>
      </c>
      <c r="F67" s="13">
        <f>Balance_Sheet!F72</f>
        <v>122913.14744081016</v>
      </c>
      <c r="G67" s="13">
        <f>Balance_Sheet!G72</f>
        <v>169978.64067978243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48706.84</v>
      </c>
      <c r="D68" s="13">
        <f>Balance_Sheet!D33</f>
        <v>58688.149999999994</v>
      </c>
      <c r="E68" s="13">
        <f>Balance_Sheet!E33</f>
        <v>51705.72</v>
      </c>
      <c r="F68" s="13">
        <f>Balance_Sheet!F33</f>
        <v>78070.359999999986</v>
      </c>
      <c r="G68" s="13">
        <f>Balance_Sheet!G33</f>
        <v>87192.68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1.62</v>
      </c>
      <c r="D69" s="14">
        <f t="shared" ref="D69:G69" si="14">ROUND(D67/ D68, 2)</f>
        <v>1.63</v>
      </c>
      <c r="E69" s="14">
        <f t="shared" si="14"/>
        <v>2.11</v>
      </c>
      <c r="F69" s="14">
        <f t="shared" si="14"/>
        <v>1.57</v>
      </c>
      <c r="G69" s="14">
        <f t="shared" si="14"/>
        <v>1.95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79139.170000000013</v>
      </c>
      <c r="D72" s="13">
        <f>Balance_Sheet!D72</f>
        <v>95878.829181932262</v>
      </c>
      <c r="E72" s="13">
        <f>Balance_Sheet!E72</f>
        <v>109299.36165226201</v>
      </c>
      <c r="F72" s="13">
        <f>Balance_Sheet!F72</f>
        <v>122913.14744081016</v>
      </c>
      <c r="G72" s="13">
        <f>Balance_Sheet!G72</f>
        <v>169978.64067978243</v>
      </c>
    </row>
    <row r="73" spans="2:12" ht="19.5" thickTop="1" x14ac:dyDescent="0.25">
      <c r="B73" s="12" t="str">
        <f>Balance_Sheet!B66</f>
        <v>Inventories</v>
      </c>
      <c r="C73" s="13">
        <f>Balance_Sheet!C66</f>
        <v>28331.040000000001</v>
      </c>
      <c r="D73" s="13">
        <f>Balance_Sheet!D66</f>
        <v>31656.1</v>
      </c>
      <c r="E73" s="13">
        <f>Balance_Sheet!E66</f>
        <v>31068.720000000001</v>
      </c>
      <c r="F73" s="13">
        <f>Balance_Sheet!F66</f>
        <v>33276.379999999997</v>
      </c>
      <c r="G73" s="13">
        <f>Balance_Sheet!G66</f>
        <v>48824.39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48706.84</v>
      </c>
      <c r="D74" s="13">
        <f>Balance_Sheet!D33</f>
        <v>58688.149999999994</v>
      </c>
      <c r="E74" s="13">
        <f>Balance_Sheet!E33</f>
        <v>51705.72</v>
      </c>
      <c r="F74" s="13">
        <f>Balance_Sheet!F33</f>
        <v>78070.359999999986</v>
      </c>
      <c r="G74" s="13">
        <f>Balance_Sheet!G33</f>
        <v>87192.68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1.04</v>
      </c>
      <c r="D75" s="14">
        <f t="shared" ref="D75:G75" si="15">ROUND((D72-D73)/ D74, 2)</f>
        <v>1.0900000000000001</v>
      </c>
      <c r="E75" s="14">
        <f t="shared" si="15"/>
        <v>1.51</v>
      </c>
      <c r="F75" s="14">
        <f t="shared" si="15"/>
        <v>1.1499999999999999</v>
      </c>
      <c r="G75" s="14">
        <f t="shared" si="15"/>
        <v>1.39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25522.72037065012</v>
      </c>
      <c r="D78" s="13">
        <f>Income_Statement!D33</f>
        <v>25292.939181932263</v>
      </c>
      <c r="E78" s="13">
        <f>Income_Statement!E33</f>
        <v>15773.342470329762</v>
      </c>
      <c r="F78" s="13">
        <f>Income_Statement!F33</f>
        <v>29968.505788548151</v>
      </c>
      <c r="G78" s="13">
        <f>Income_Statement!G33</f>
        <v>58367.813238972238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5501.79</v>
      </c>
      <c r="D79" s="13">
        <f>Income_Statement!D35</f>
        <v>7660.1</v>
      </c>
      <c r="E79" s="13">
        <f>Income_Statement!E35</f>
        <v>7580.72</v>
      </c>
      <c r="F79" s="13">
        <f>Income_Statement!F35</f>
        <v>7606.71</v>
      </c>
      <c r="G79" s="13">
        <f>Income_Statement!G35</f>
        <v>5462.2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4.6399999999999997</v>
      </c>
      <c r="D80" s="14">
        <f t="shared" ref="D80:G80" si="16">ROUND(D78/D79, 2)</f>
        <v>3.3</v>
      </c>
      <c r="E80" s="14">
        <f t="shared" si="16"/>
        <v>2.08</v>
      </c>
      <c r="F80" s="14">
        <f t="shared" si="16"/>
        <v>3.94</v>
      </c>
      <c r="G80" s="14">
        <f t="shared" si="16"/>
        <v>10.69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41205.43</v>
      </c>
      <c r="D83" s="13">
        <f>Income_Statement!D17</f>
        <v>54309.07</v>
      </c>
      <c r="E83" s="13">
        <f>Income_Statement!E17</f>
        <v>53592.83</v>
      </c>
      <c r="F83" s="13">
        <f>Income_Statement!F17</f>
        <v>45292.49</v>
      </c>
      <c r="G83" s="13">
        <f>Income_Statement!G17</f>
        <v>75763.7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130880.87</v>
      </c>
      <c r="D84" s="13">
        <f>Income_Statement!D9</f>
        <v>154691.63</v>
      </c>
      <c r="E84" s="13">
        <f>Income_Statement!E9</f>
        <v>146106</v>
      </c>
      <c r="F84" s="13">
        <f>Income_Statement!F9</f>
        <v>154719.28</v>
      </c>
      <c r="G84" s="13">
        <f>Income_Statement!G9</f>
        <v>242326.87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0.31</v>
      </c>
      <c r="D85" s="14">
        <f t="shared" ref="D85:G85" si="17">ROUND(D83/D84, 2)</f>
        <v>0.35</v>
      </c>
      <c r="E85" s="14">
        <f t="shared" si="17"/>
        <v>0.37</v>
      </c>
      <c r="F85" s="14">
        <f t="shared" si="17"/>
        <v>0.28999999999999998</v>
      </c>
      <c r="G85" s="14">
        <f t="shared" si="17"/>
        <v>0.31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7937.85</v>
      </c>
      <c r="D88" s="13">
        <f>Balance_Sheet!D70</f>
        <v>14459.099181932252</v>
      </c>
      <c r="E88" s="13">
        <f>Balance_Sheet!E70</f>
        <v>27267.301652262016</v>
      </c>
      <c r="F88" s="13">
        <f>Balance_Sheet!F70</f>
        <v>48672.627440810167</v>
      </c>
      <c r="G88" s="13">
        <f>Balance_Sheet!G70</f>
        <v>68905.200679782414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41205.43</v>
      </c>
      <c r="D89" s="13">
        <f>Income_Statement!D17</f>
        <v>54309.07</v>
      </c>
      <c r="E89" s="13">
        <f>Income_Statement!E17</f>
        <v>53592.83</v>
      </c>
      <c r="F89" s="13">
        <f>Income_Statement!F17</f>
        <v>45292.49</v>
      </c>
      <c r="G89" s="13">
        <f>Income_Statement!G17</f>
        <v>75763.7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>
        <f>ROUND(C88/C89*365, 2)</f>
        <v>70.31</v>
      </c>
      <c r="D90" s="14">
        <f t="shared" ref="D90:G90" si="18">ROUND(D88/D89*365, 2)</f>
        <v>97.18</v>
      </c>
      <c r="E90" s="14">
        <f t="shared" si="18"/>
        <v>185.71</v>
      </c>
      <c r="F90" s="14">
        <f t="shared" si="18"/>
        <v>392.24</v>
      </c>
      <c r="G90" s="14">
        <f t="shared" si="18"/>
        <v>331.96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7937.85</v>
      </c>
      <c r="D93" s="13">
        <f>Balance_Sheet!D70</f>
        <v>14459.099181932252</v>
      </c>
      <c r="E93" s="13">
        <f>Balance_Sheet!E70</f>
        <v>27267.301652262016</v>
      </c>
      <c r="F93" s="13">
        <f>Balance_Sheet!F70</f>
        <v>48672.627440810167</v>
      </c>
      <c r="G93" s="13">
        <f>Balance_Sheet!G70</f>
        <v>68905.200679782414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7937.85</v>
      </c>
      <c r="D95" s="14">
        <f t="shared" ref="D95:G95" si="19">ROUND(D93/D94*365, 2)</f>
        <v>14459.1</v>
      </c>
      <c r="E95" s="14">
        <f t="shared" si="19"/>
        <v>27267.3</v>
      </c>
      <c r="F95" s="14">
        <f t="shared" si="19"/>
        <v>48672.63</v>
      </c>
      <c r="G95" s="14">
        <f t="shared" si="19"/>
        <v>68905.2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131741.49</v>
      </c>
      <c r="D98" s="13">
        <f>Income_Statement!D5</f>
        <v>154691.84</v>
      </c>
      <c r="E98" s="13">
        <f>Income_Statement!E5</f>
        <v>146106</v>
      </c>
      <c r="F98" s="13">
        <f>Income_Statement!F5</f>
        <v>154719.28</v>
      </c>
      <c r="G98" s="13">
        <f>Income_Statement!G5</f>
        <v>242326.87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207482.92</v>
      </c>
      <c r="D99" s="13">
        <f>Balance_Sheet!D74</f>
        <v>232676.96918193228</v>
      </c>
      <c r="E99" s="13">
        <f>Balance_Sheet!E74</f>
        <v>248893.23165226201</v>
      </c>
      <c r="F99" s="13">
        <f>Balance_Sheet!F74</f>
        <v>257871.16744081015</v>
      </c>
      <c r="G99" s="13">
        <f>Balance_Sheet!G74</f>
        <v>298938.7306797824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0.63</v>
      </c>
      <c r="D100" s="14">
        <f t="shared" ref="D100:G100" si="20">ROUND(D98/D99, 2)</f>
        <v>0.66</v>
      </c>
      <c r="E100" s="14">
        <f t="shared" si="20"/>
        <v>0.59</v>
      </c>
      <c r="F100" s="14">
        <f t="shared" si="20"/>
        <v>0.6</v>
      </c>
      <c r="G100" s="14">
        <f t="shared" si="20"/>
        <v>0.81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131741.49</v>
      </c>
      <c r="D103" s="13">
        <f>Income_Statement!D5</f>
        <v>154691.84</v>
      </c>
      <c r="E103" s="13">
        <f>Income_Statement!E5</f>
        <v>146106</v>
      </c>
      <c r="F103" s="13">
        <f>Income_Statement!F5</f>
        <v>154719.28</v>
      </c>
      <c r="G103" s="13">
        <f>Income_Statement!G5</f>
        <v>242326.87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28331.040000000001</v>
      </c>
      <c r="D104" s="13">
        <f>Balance_Sheet!D66</f>
        <v>31656.1</v>
      </c>
      <c r="E104" s="13">
        <f>Balance_Sheet!E66</f>
        <v>31068.720000000001</v>
      </c>
      <c r="F104" s="13">
        <f>Balance_Sheet!F66</f>
        <v>33276.379999999997</v>
      </c>
      <c r="G104" s="13">
        <f>Balance_Sheet!G66</f>
        <v>48824.39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4.6500000000000004</v>
      </c>
      <c r="D105" s="14">
        <f t="shared" ref="D105:G105" si="21">ROUND(D103/D104, 2)</f>
        <v>4.8899999999999997</v>
      </c>
      <c r="E105" s="14">
        <f t="shared" si="21"/>
        <v>4.7</v>
      </c>
      <c r="F105" s="14">
        <f t="shared" si="21"/>
        <v>4.6500000000000004</v>
      </c>
      <c r="G105" s="14">
        <f t="shared" si="21"/>
        <v>4.96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131741.49</v>
      </c>
      <c r="D108" s="13">
        <f>Income_Statement!D5</f>
        <v>154691.84</v>
      </c>
      <c r="E108" s="13">
        <f>Income_Statement!E5</f>
        <v>146106</v>
      </c>
      <c r="F108" s="13">
        <f>Income_Statement!F5</f>
        <v>154719.28</v>
      </c>
      <c r="G108" s="13">
        <f>Income_Statement!G5</f>
        <v>242326.87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12415.52</v>
      </c>
      <c r="D109" s="13">
        <f>Balance_Sheet!D68</f>
        <v>11811</v>
      </c>
      <c r="E109" s="13">
        <f>Balance_Sheet!E68</f>
        <v>7884.91</v>
      </c>
      <c r="F109" s="13">
        <f>Balance_Sheet!F68</f>
        <v>9539.84</v>
      </c>
      <c r="G109" s="13">
        <f>Balance_Sheet!G68</f>
        <v>12246.43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10.61</v>
      </c>
      <c r="D110" s="14">
        <f t="shared" ref="D110:G110" si="22">ROUND(D108/D109, 2)</f>
        <v>13.1</v>
      </c>
      <c r="E110" s="14">
        <f t="shared" si="22"/>
        <v>18.53</v>
      </c>
      <c r="F110" s="14">
        <f t="shared" si="22"/>
        <v>16.22</v>
      </c>
      <c r="G110" s="14">
        <f t="shared" si="22"/>
        <v>19.79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131741.49</v>
      </c>
      <c r="D113" s="13">
        <f>Income_Statement!D5</f>
        <v>154691.84</v>
      </c>
      <c r="E113" s="13">
        <f>Income_Statement!E5</f>
        <v>146106</v>
      </c>
      <c r="F113" s="13">
        <f>Income_Statement!F5</f>
        <v>154719.28</v>
      </c>
      <c r="G113" s="13">
        <f>Income_Statement!G5</f>
        <v>242326.87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90322.78</v>
      </c>
      <c r="D114" s="13">
        <f>Balance_Sheet!D40</f>
        <v>118450.97</v>
      </c>
      <c r="E114" s="13">
        <f>Balance_Sheet!E40</f>
        <v>128053.75999999999</v>
      </c>
      <c r="F114" s="13">
        <f>Balance_Sheet!F40</f>
        <v>128454.45</v>
      </c>
      <c r="G114" s="13">
        <f>Balance_Sheet!G40</f>
        <v>124504.16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1.46</v>
      </c>
      <c r="D115" s="14">
        <f t="shared" ref="D115:G115" si="23">ROUND(D113/D114, 2)</f>
        <v>1.31</v>
      </c>
      <c r="E115" s="14">
        <f t="shared" si="23"/>
        <v>1.1399999999999999</v>
      </c>
      <c r="F115" s="14">
        <f t="shared" si="23"/>
        <v>1.2</v>
      </c>
      <c r="G115" s="14">
        <f t="shared" si="23"/>
        <v>1.95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41205.43</v>
      </c>
      <c r="D118" s="13">
        <f>Income_Statement!D17</f>
        <v>54309.07</v>
      </c>
      <c r="E118" s="13">
        <f>Income_Statement!E17</f>
        <v>53592.83</v>
      </c>
      <c r="F118" s="13">
        <f>Income_Statement!F17</f>
        <v>45292.49</v>
      </c>
      <c r="G118" s="13">
        <f>Income_Statement!G17</f>
        <v>75763.7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48706.84</v>
      </c>
      <c r="D119" s="13">
        <f>Balance_Sheet!D33</f>
        <v>58688.149999999994</v>
      </c>
      <c r="E119" s="13">
        <f>Balance_Sheet!E33</f>
        <v>51705.72</v>
      </c>
      <c r="F119" s="13">
        <f>Balance_Sheet!F33</f>
        <v>78070.359999999986</v>
      </c>
      <c r="G119" s="13">
        <f>Balance_Sheet!G33</f>
        <v>87192.68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0.85</v>
      </c>
      <c r="D120" s="14">
        <f t="shared" ref="D120:G120" si="24">ROUND(D118/D119, 2)</f>
        <v>0.93</v>
      </c>
      <c r="E120" s="14">
        <f t="shared" si="24"/>
        <v>1.04</v>
      </c>
      <c r="F120" s="14">
        <f t="shared" si="24"/>
        <v>0.57999999999999996</v>
      </c>
      <c r="G120" s="14">
        <f t="shared" si="24"/>
        <v>0.87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131741.49</v>
      </c>
      <c r="D123" s="13">
        <f>Income_Statement!D5</f>
        <v>154691.84</v>
      </c>
      <c r="E123" s="13">
        <f>Income_Statement!E5</f>
        <v>146106</v>
      </c>
      <c r="F123" s="13">
        <f>Income_Statement!F5</f>
        <v>154719.28</v>
      </c>
      <c r="G123" s="13">
        <f>Income_Statement!G5</f>
        <v>242326.87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28331.040000000001</v>
      </c>
      <c r="D124" s="13">
        <f>Balance_Sheet!D66</f>
        <v>31656.1</v>
      </c>
      <c r="E124" s="13">
        <f>Balance_Sheet!E66</f>
        <v>31068.720000000001</v>
      </c>
      <c r="F124" s="13">
        <f>Balance_Sheet!F66</f>
        <v>33276.379999999997</v>
      </c>
      <c r="G124" s="13">
        <f>Balance_Sheet!G66</f>
        <v>48824.39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78.489999999999995</v>
      </c>
      <c r="D125" s="14">
        <f t="shared" ref="D125:G125" si="25">ROUND(365/D123*D124, 2)</f>
        <v>74.69</v>
      </c>
      <c r="E125" s="14">
        <f t="shared" si="25"/>
        <v>77.62</v>
      </c>
      <c r="F125" s="14">
        <f t="shared" si="25"/>
        <v>78.5</v>
      </c>
      <c r="G125" s="14">
        <f t="shared" si="25"/>
        <v>73.540000000000006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41205.43</v>
      </c>
      <c r="D128" s="13">
        <f>Income_Statement!D17</f>
        <v>54309.07</v>
      </c>
      <c r="E128" s="13">
        <f>Income_Statement!E17</f>
        <v>53592.83</v>
      </c>
      <c r="F128" s="13">
        <f>Income_Statement!F17</f>
        <v>45292.49</v>
      </c>
      <c r="G128" s="13">
        <f>Income_Statement!G17</f>
        <v>75763.7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48706.84</v>
      </c>
      <c r="D129" s="13">
        <f>Balance_Sheet!D33</f>
        <v>58688.149999999994</v>
      </c>
      <c r="E129" s="13">
        <f>Balance_Sheet!E33</f>
        <v>51705.72</v>
      </c>
      <c r="F129" s="13">
        <f>Balance_Sheet!F33</f>
        <v>78070.359999999986</v>
      </c>
      <c r="G129" s="13">
        <f>Balance_Sheet!G33</f>
        <v>87192.68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>
        <f>ROUND(365/C128*C129, 2)</f>
        <v>431.45</v>
      </c>
      <c r="D130" s="14">
        <f t="shared" ref="D130:G130" si="26">ROUND(365/D128*D129, 2)</f>
        <v>394.43</v>
      </c>
      <c r="E130" s="14">
        <f t="shared" si="26"/>
        <v>352.15</v>
      </c>
      <c r="F130" s="14">
        <f t="shared" si="26"/>
        <v>629.15</v>
      </c>
      <c r="G130" s="14">
        <f t="shared" si="26"/>
        <v>420.06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131741.49</v>
      </c>
      <c r="D133" s="13">
        <f>Income_Statement!D5</f>
        <v>154691.84</v>
      </c>
      <c r="E133" s="13">
        <f>Income_Statement!E5</f>
        <v>146106</v>
      </c>
      <c r="F133" s="13">
        <f>Income_Statement!F5</f>
        <v>154719.28</v>
      </c>
      <c r="G133" s="13">
        <f>Income_Statement!G5</f>
        <v>242326.87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12415.52</v>
      </c>
      <c r="D134" s="13">
        <f>Balance_Sheet!D68</f>
        <v>11811</v>
      </c>
      <c r="E134" s="13">
        <f>Balance_Sheet!E68</f>
        <v>7884.91</v>
      </c>
      <c r="F134" s="13">
        <f>Balance_Sheet!F68</f>
        <v>9539.84</v>
      </c>
      <c r="G134" s="13">
        <f>Balance_Sheet!G68</f>
        <v>12246.43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34.4</v>
      </c>
      <c r="D135" s="14">
        <f t="shared" ref="D135:G135" si="27">ROUND(365/D133*D134, 2)</f>
        <v>27.87</v>
      </c>
      <c r="E135" s="14">
        <f t="shared" si="27"/>
        <v>19.7</v>
      </c>
      <c r="F135" s="14">
        <f t="shared" si="27"/>
        <v>22.51</v>
      </c>
      <c r="G135" s="14">
        <f t="shared" si="27"/>
        <v>18.45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131741.49</v>
      </c>
      <c r="D138" s="13">
        <f>Income_Statement!D5</f>
        <v>154691.84</v>
      </c>
      <c r="E138" s="13">
        <f>Income_Statement!E5</f>
        <v>146106</v>
      </c>
      <c r="F138" s="13">
        <f>Income_Statement!F5</f>
        <v>154719.28</v>
      </c>
      <c r="G138" s="13">
        <f>Income_Statement!G5</f>
        <v>242326.87</v>
      </c>
    </row>
    <row r="139" spans="2:12" ht="18.75" x14ac:dyDescent="0.25">
      <c r="B139" s="12" t="str">
        <f>Balance_Sheet!B66</f>
        <v>Inventories</v>
      </c>
      <c r="C139" s="13">
        <f>Balance_Sheet!C66</f>
        <v>28331.040000000001</v>
      </c>
      <c r="D139" s="13">
        <f>Balance_Sheet!D66</f>
        <v>31656.1</v>
      </c>
      <c r="E139" s="13">
        <f>Balance_Sheet!E66</f>
        <v>31068.720000000001</v>
      </c>
      <c r="F139" s="13">
        <f>Balance_Sheet!F66</f>
        <v>33276.379999999997</v>
      </c>
      <c r="G139" s="13">
        <f>Balance_Sheet!G66</f>
        <v>48824.39</v>
      </c>
    </row>
    <row r="140" spans="2:12" ht="18.75" x14ac:dyDescent="0.25">
      <c r="B140" s="12" t="s">
        <v>192</v>
      </c>
      <c r="C140" s="13">
        <f>ROUND(365/C138*C139, 2)</f>
        <v>78.489999999999995</v>
      </c>
      <c r="D140" s="13">
        <f t="shared" ref="D140:G140" si="28">ROUND(365/D138*D139, 2)</f>
        <v>74.69</v>
      </c>
      <c r="E140" s="13">
        <f t="shared" si="28"/>
        <v>77.62</v>
      </c>
      <c r="F140" s="13">
        <f t="shared" si="28"/>
        <v>78.5</v>
      </c>
      <c r="G140" s="13">
        <f t="shared" si="28"/>
        <v>73.540000000000006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41205.43</v>
      </c>
      <c r="D141" s="13">
        <f>Income_Statement!D17</f>
        <v>54309.07</v>
      </c>
      <c r="E141" s="13">
        <f>Income_Statement!E17</f>
        <v>53592.83</v>
      </c>
      <c r="F141" s="13">
        <f>Income_Statement!F17</f>
        <v>45292.49</v>
      </c>
      <c r="G141" s="13">
        <f>Income_Statement!G17</f>
        <v>75763.7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48706.84</v>
      </c>
      <c r="D142" s="13">
        <f>Balance_Sheet!D33</f>
        <v>58688.149999999994</v>
      </c>
      <c r="E142" s="13">
        <f>Balance_Sheet!E33</f>
        <v>51705.72</v>
      </c>
      <c r="F142" s="13">
        <f>Balance_Sheet!F33</f>
        <v>78070.359999999986</v>
      </c>
      <c r="G142" s="13">
        <f>Balance_Sheet!G33</f>
        <v>87192.68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>
        <f>ROUND(365/C141*C142, 2)</f>
        <v>431.45</v>
      </c>
      <c r="D143" s="13">
        <f t="shared" ref="D143:G143" si="29">ROUND(365/D141*D142, 2)</f>
        <v>394.43</v>
      </c>
      <c r="E143" s="13">
        <f t="shared" si="29"/>
        <v>352.15</v>
      </c>
      <c r="F143" s="13">
        <f t="shared" si="29"/>
        <v>629.15</v>
      </c>
      <c r="G143" s="13">
        <f t="shared" si="29"/>
        <v>420.06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>
        <f>ROUND(C143+C140, 2)</f>
        <v>509.94</v>
      </c>
      <c r="D144" s="16">
        <f t="shared" ref="D144:G144" si="30">ROUND(D143+D140, 2)</f>
        <v>469.12</v>
      </c>
      <c r="E144" s="16">
        <f t="shared" si="30"/>
        <v>429.77</v>
      </c>
      <c r="F144" s="16">
        <f t="shared" si="30"/>
        <v>707.65</v>
      </c>
      <c r="G144" s="16">
        <f t="shared" si="30"/>
        <v>493.6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131741.49</v>
      </c>
      <c r="D147" s="13">
        <f>Income_Statement!D5</f>
        <v>154691.84</v>
      </c>
      <c r="E147" s="13">
        <f>Income_Statement!E5</f>
        <v>146106</v>
      </c>
      <c r="F147" s="13">
        <f>Income_Statement!F5</f>
        <v>154719.28</v>
      </c>
      <c r="G147" s="13">
        <f>Income_Statement!G5</f>
        <v>242326.87</v>
      </c>
    </row>
    <row r="148" spans="2:12" ht="18.75" x14ac:dyDescent="0.25">
      <c r="B148" s="12" t="str">
        <f>Balance_Sheet!B66</f>
        <v>Inventories</v>
      </c>
      <c r="C148" s="13">
        <f>Balance_Sheet!C66</f>
        <v>28331.040000000001</v>
      </c>
      <c r="D148" s="13">
        <f>Balance_Sheet!D66</f>
        <v>31656.1</v>
      </c>
      <c r="E148" s="13">
        <f>Balance_Sheet!E66</f>
        <v>31068.720000000001</v>
      </c>
      <c r="F148" s="13">
        <f>Balance_Sheet!F66</f>
        <v>33276.379999999997</v>
      </c>
      <c r="G148" s="13">
        <f>Balance_Sheet!G66</f>
        <v>48824.39</v>
      </c>
    </row>
    <row r="149" spans="2:12" ht="18.75" x14ac:dyDescent="0.25">
      <c r="B149" s="12" t="s">
        <v>192</v>
      </c>
      <c r="C149" s="13">
        <f>ROUND(365/C147*C148, 2)</f>
        <v>78.489999999999995</v>
      </c>
      <c r="D149" s="13">
        <f t="shared" ref="D149:G149" si="31">ROUND(365/D147*D148, 2)</f>
        <v>74.69</v>
      </c>
      <c r="E149" s="13">
        <f t="shared" si="31"/>
        <v>77.62</v>
      </c>
      <c r="F149" s="13">
        <f t="shared" si="31"/>
        <v>78.5</v>
      </c>
      <c r="G149" s="13">
        <f t="shared" si="31"/>
        <v>73.540000000000006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41205.43</v>
      </c>
      <c r="D150" s="13">
        <f>Income_Statement!D17</f>
        <v>54309.07</v>
      </c>
      <c r="E150" s="13">
        <f>Income_Statement!E17</f>
        <v>53592.83</v>
      </c>
      <c r="F150" s="13">
        <f>Income_Statement!F17</f>
        <v>45292.49</v>
      </c>
      <c r="G150" s="13">
        <f>Income_Statement!G17</f>
        <v>75763.7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48706.84</v>
      </c>
      <c r="D151" s="13">
        <f>Balance_Sheet!D33</f>
        <v>58688.149999999994</v>
      </c>
      <c r="E151" s="13">
        <f>Balance_Sheet!E33</f>
        <v>51705.72</v>
      </c>
      <c r="F151" s="13">
        <f>Balance_Sheet!F33</f>
        <v>78070.359999999986</v>
      </c>
      <c r="G151" s="13">
        <f>Balance_Sheet!G33</f>
        <v>87192.68</v>
      </c>
    </row>
    <row r="152" spans="2:12" ht="18.75" x14ac:dyDescent="0.25">
      <c r="B152" s="12" t="s">
        <v>194</v>
      </c>
      <c r="C152" s="13">
        <f>ROUND(365/C150*C151, 2)</f>
        <v>431.45</v>
      </c>
      <c r="D152" s="13">
        <f t="shared" ref="D152:G152" si="32">ROUND(365/D150*D151, 2)</f>
        <v>394.43</v>
      </c>
      <c r="E152" s="13">
        <f t="shared" si="32"/>
        <v>352.15</v>
      </c>
      <c r="F152" s="13">
        <f t="shared" si="32"/>
        <v>629.15</v>
      </c>
      <c r="G152" s="13">
        <f t="shared" si="32"/>
        <v>420.06</v>
      </c>
    </row>
    <row r="153" spans="2:12" ht="18.75" x14ac:dyDescent="0.25">
      <c r="B153" s="12" t="s">
        <v>200</v>
      </c>
      <c r="C153" s="13">
        <f>ROUND(C152+C149, 2)</f>
        <v>509.94</v>
      </c>
      <c r="D153" s="13">
        <f t="shared" ref="D153:G153" si="33">ROUND(D152+D149, 2)</f>
        <v>469.12</v>
      </c>
      <c r="E153" s="13">
        <f t="shared" si="33"/>
        <v>429.77</v>
      </c>
      <c r="F153" s="13">
        <f t="shared" si="33"/>
        <v>707.65</v>
      </c>
      <c r="G153" s="13">
        <f t="shared" si="33"/>
        <v>493.6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41205.43</v>
      </c>
      <c r="D154" s="13">
        <f>Income_Statement!D17</f>
        <v>54309.07</v>
      </c>
      <c r="E154" s="13">
        <f>Income_Statement!E17</f>
        <v>53592.83</v>
      </c>
      <c r="F154" s="13">
        <f>Income_Statement!F17</f>
        <v>45292.49</v>
      </c>
      <c r="G154" s="13">
        <f>Income_Statement!G17</f>
        <v>75763.7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48706.84</v>
      </c>
      <c r="D155" s="13">
        <f>Balance_Sheet!D33</f>
        <v>58688.149999999994</v>
      </c>
      <c r="E155" s="13">
        <f>Balance_Sheet!E33</f>
        <v>51705.72</v>
      </c>
      <c r="F155" s="13">
        <f>Balance_Sheet!F33</f>
        <v>78070.359999999986</v>
      </c>
      <c r="G155" s="13">
        <f>Balance_Sheet!G33</f>
        <v>87192.68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>
        <f>ROUND(365/C154*C155, 2)</f>
        <v>431.45</v>
      </c>
      <c r="D156" s="13">
        <f t="shared" ref="D156:G156" si="34">ROUND(365/D154*D155, 2)</f>
        <v>394.43</v>
      </c>
      <c r="E156" s="13">
        <f t="shared" si="34"/>
        <v>352.15</v>
      </c>
      <c r="F156" s="13">
        <f t="shared" si="34"/>
        <v>629.15</v>
      </c>
      <c r="G156" s="13">
        <f t="shared" si="34"/>
        <v>420.06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>
        <f>ROUND(C156-C153, 2)</f>
        <v>-78.489999999999995</v>
      </c>
      <c r="D157" s="16">
        <f t="shared" ref="D157:G157" si="35">ROUND(D156-D153, 2)</f>
        <v>-74.69</v>
      </c>
      <c r="E157" s="16">
        <f t="shared" si="35"/>
        <v>-77.62</v>
      </c>
      <c r="F157" s="16">
        <f t="shared" si="35"/>
        <v>-78.5</v>
      </c>
      <c r="G157" s="16">
        <f t="shared" si="35"/>
        <v>-73.540000000000006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B9FF9CB2-0B67-4A19-8CC4-963CDF6CB7A6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E935A1EC-3374-49BF-9182-B759C7143D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F057A2C2-76D3-4F99-B66B-29971E02CE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8053BC96-36E5-408D-A2F6-F4F696E034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BDD8993F-B576-40B1-B84B-58C88A929F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BC6C14CB-1871-48EC-B537-4FF7F1FA1AC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A1173921-5D8C-46FE-8BD0-7FB8383829A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9DA088D2-F9C7-42DA-8A4D-EFC18F9BBC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1BBCE98B-7A7E-4290-A0AB-A87A5392489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2A88B1BE-B17E-4CF0-8C83-D71A25BFDE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B22DABD4-A3C6-4789-B969-CDAF143FC7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C7878254-2C5A-4A1B-ADB0-558A918D870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2D405C02-C1E2-4966-B331-033F0B551BE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0EA39439-A303-4ECC-9342-D83A76C8525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F498A768-37C3-43BF-9900-FEF3F407388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11A2594B-45BB-4EA1-A07D-2379028D930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F90DFAF3-16F9-4474-86B8-91D58AFD2FA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C8B98592-D5A7-4C5D-B2DA-3E07C11531C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E974BCC7-2DC1-416E-8D0D-CCE7F00FC61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51614B40-340D-4EB8-AC15-6DC017E2E8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9953E4FC-FB91-469B-9632-413B8D41F06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152C93EE-A49E-44F2-93C7-999917EAFF7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77577A32-E7BD-49A6-8714-E03354BC5A0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AD8D2649-40B3-4FDF-8AE6-59B0BAA9C3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B40BE59A-32DC-4B74-9E00-5239EC22E6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73196BD8-830C-4975-BFE3-3181D82DBBE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CE5F4B8B-217C-4601-B175-E716AFA921F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FFA27A58-03FC-4A8D-8C11-E0CEDA83D6F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59A09-6B30-4EE4-97CD-15B9D663905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26214.660370650119</v>
      </c>
      <c r="D6" s="13">
        <f>Income_Statement!D49</f>
        <v>10793.439181932263</v>
      </c>
      <c r="E6" s="13">
        <f>Income_Statement!E49</f>
        <v>5815.9424703297627</v>
      </c>
      <c r="F6" s="13">
        <f>Income_Statement!F49</f>
        <v>15664.735788548152</v>
      </c>
      <c r="G6" s="13">
        <f>Income_Statement!G49</f>
        <v>44294.003238972247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</row>
    <row r="8" spans="2:15" ht="18.75" x14ac:dyDescent="0.25">
      <c r="B8" s="14" t="s">
        <v>146</v>
      </c>
      <c r="C8" s="14">
        <f>ROUND(C6/C7, 2)</f>
        <v>128</v>
      </c>
      <c r="D8" s="14">
        <f t="shared" ref="D8:G8" si="0">ROUND(D6/D7, 2)</f>
        <v>88</v>
      </c>
      <c r="E8" s="14">
        <f t="shared" si="0"/>
        <v>12</v>
      </c>
      <c r="F8" s="14">
        <f t="shared" si="0"/>
        <v>64</v>
      </c>
      <c r="G8" s="14">
        <f t="shared" si="0"/>
        <v>332</v>
      </c>
    </row>
  </sheetData>
  <mergeCells count="1">
    <mergeCell ref="B5:G5"/>
  </mergeCells>
  <hyperlinks>
    <hyperlink ref="F1" location="Index_Data!A1" tooltip="Hi click here To return Index page" display="Index_Data!A1" xr:uid="{B2A87FFA-A6F9-4281-AC15-E4ED6B0C7921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D44E0-D3E5-4D2D-8A42-7F9ADA870495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1236.18</v>
      </c>
      <c r="D6" s="13">
        <f>Income_Statement!D51</f>
        <v>1144.76</v>
      </c>
      <c r="E6" s="13">
        <f>Income_Statement!E51</f>
        <v>1488.13</v>
      </c>
      <c r="F6" s="13">
        <f>Income_Statement!F51</f>
        <v>1144.75</v>
      </c>
      <c r="G6" s="13">
        <f>Income_Statement!G51</f>
        <v>3004.16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204.80203414570406</v>
      </c>
      <c r="D7" s="13">
        <f>Income_Statement!D61</f>
        <v>122.65271797650298</v>
      </c>
      <c r="E7" s="13">
        <f>Income_Statement!E61</f>
        <v>484.66187252748023</v>
      </c>
      <c r="F7" s="13">
        <f>Income_Statement!F61</f>
        <v>244.76149669606488</v>
      </c>
      <c r="G7" s="13">
        <f>Income_Statement!G61</f>
        <v>133.41567240654291</v>
      </c>
    </row>
    <row r="8" spans="2:15" ht="18.75" x14ac:dyDescent="0.25">
      <c r="B8" s="14" t="s">
        <v>148</v>
      </c>
      <c r="C8" s="14">
        <f>ROUND(C6/C7, 2)</f>
        <v>6.04</v>
      </c>
      <c r="D8" s="14">
        <f t="shared" ref="D8:G8" si="0">ROUND(D6/D7, 2)</f>
        <v>9.33</v>
      </c>
      <c r="E8" s="14">
        <f t="shared" si="0"/>
        <v>3.07</v>
      </c>
      <c r="F8" s="14">
        <f t="shared" si="0"/>
        <v>4.68</v>
      </c>
      <c r="G8" s="14">
        <f t="shared" si="0"/>
        <v>22.52</v>
      </c>
    </row>
  </sheetData>
  <mergeCells count="1">
    <mergeCell ref="B5:G5"/>
  </mergeCells>
  <hyperlinks>
    <hyperlink ref="F1" location="Index_Data!A1" tooltip="Hi click here To return Index page" display="Index_Data!A1" xr:uid="{A58E8E3F-1DEC-40B8-8916-A57F561988F3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2022-07-03T10:54:14Z</dcterms:created>
  <dcterms:modified xsi:type="dcterms:W3CDTF">2022-07-04T07:50:25Z</dcterms:modified>
</cp:coreProperties>
</file>