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EF3F0269-B357-42F8-AEE0-23E3BDAAB059}" xr6:coauthVersionLast="47" xr6:coauthVersionMax="47" xr10:uidLastSave="{00000000-0000-0000-0000-000000000000}"/>
  <bookViews>
    <workbookView xWindow="-120" yWindow="-120" windowWidth="20730" windowHeight="11160" firstSheet="2" activeTab="2" xr2:uid="{F5810049-1111-428E-8D34-7446F219313B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H47" i="3"/>
  <c r="I64" i="3"/>
  <c r="J64" i="3" s="1"/>
  <c r="K64" i="3" s="1"/>
  <c r="L64" i="3" s="1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L35" i="3"/>
  <c r="H35" i="3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L31" i="3"/>
  <c r="H31" i="3"/>
  <c r="I62" i="3"/>
  <c r="J62" i="3" s="1"/>
  <c r="K62" i="3" s="1"/>
  <c r="L62" i="3" s="1"/>
  <c r="H62" i="3"/>
  <c r="D62" i="3"/>
  <c r="E62" i="3"/>
  <c r="F62" i="3"/>
  <c r="G62" i="3"/>
  <c r="C62" i="3"/>
  <c r="H44" i="4"/>
  <c r="I44" i="4" s="1"/>
  <c r="J44" i="4" s="1"/>
  <c r="K44" i="4" s="1"/>
  <c r="H46" i="5"/>
  <c r="H47" i="5" s="1"/>
  <c r="I46" i="5"/>
  <c r="I47" i="5" s="1"/>
  <c r="J46" i="5"/>
  <c r="J47" i="5" s="1"/>
  <c r="K46" i="5"/>
  <c r="K47" i="5" s="1"/>
  <c r="L46" i="5"/>
  <c r="L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L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I10" i="5"/>
  <c r="H9" i="5"/>
  <c r="I9" i="5"/>
  <c r="J9" i="5"/>
  <c r="K9" i="5"/>
  <c r="L9" i="5"/>
  <c r="H8" i="5"/>
  <c r="I8" i="5"/>
  <c r="J8" i="5"/>
  <c r="K8" i="5"/>
  <c r="L8" i="5"/>
  <c r="H7" i="5"/>
  <c r="I7" i="5"/>
  <c r="J7" i="5"/>
  <c r="K7" i="5"/>
  <c r="K10" i="5" s="1"/>
  <c r="L7" i="5"/>
  <c r="L10" i="5" s="1"/>
  <c r="L66" i="4"/>
  <c r="H66" i="4"/>
  <c r="I67" i="4"/>
  <c r="J67" i="4" s="1"/>
  <c r="K67" i="4" s="1"/>
  <c r="L67" i="4" s="1"/>
  <c r="H67" i="4"/>
  <c r="H64" i="4"/>
  <c r="I65" i="4"/>
  <c r="I64" i="4" s="1"/>
  <c r="H65" i="4"/>
  <c r="H62" i="4"/>
  <c r="I63" i="4"/>
  <c r="I62" i="4" s="1"/>
  <c r="H63" i="4"/>
  <c r="K58" i="4"/>
  <c r="L58" i="4"/>
  <c r="H58" i="4"/>
  <c r="I59" i="4"/>
  <c r="J59" i="4" s="1"/>
  <c r="K59" i="4" s="1"/>
  <c r="L59" i="4" s="1"/>
  <c r="H59" i="4"/>
  <c r="L56" i="4"/>
  <c r="H56" i="4"/>
  <c r="I57" i="4"/>
  <c r="J57" i="4" s="1"/>
  <c r="K57" i="4" s="1"/>
  <c r="L57" i="4" s="1"/>
  <c r="H57" i="4"/>
  <c r="L52" i="4"/>
  <c r="H52" i="4"/>
  <c r="I53" i="4"/>
  <c r="J53" i="4" s="1"/>
  <c r="K53" i="4" s="1"/>
  <c r="L53" i="4" s="1"/>
  <c r="H53" i="4"/>
  <c r="L50" i="4"/>
  <c r="H50" i="4"/>
  <c r="I51" i="4"/>
  <c r="J51" i="4" s="1"/>
  <c r="K51" i="4" s="1"/>
  <c r="L51" i="4" s="1"/>
  <c r="H51" i="4"/>
  <c r="H48" i="4"/>
  <c r="I49" i="4"/>
  <c r="I48" i="4" s="1"/>
  <c r="H49" i="4"/>
  <c r="L42" i="4"/>
  <c r="H42" i="4"/>
  <c r="I43" i="4"/>
  <c r="J43" i="4" s="1"/>
  <c r="K43" i="4" s="1"/>
  <c r="L43" i="4" s="1"/>
  <c r="H43" i="4"/>
  <c r="L40" i="4"/>
  <c r="H40" i="4"/>
  <c r="H46" i="4" s="1"/>
  <c r="I41" i="4"/>
  <c r="J41" i="4" s="1"/>
  <c r="K41" i="4" s="1"/>
  <c r="L41" i="4" s="1"/>
  <c r="H41" i="4"/>
  <c r="L35" i="4"/>
  <c r="H35" i="4"/>
  <c r="I36" i="4"/>
  <c r="J36" i="4" s="1"/>
  <c r="K36" i="4" s="1"/>
  <c r="L36" i="4" s="1"/>
  <c r="H36" i="4"/>
  <c r="K31" i="4"/>
  <c r="L31" i="4"/>
  <c r="H31" i="4"/>
  <c r="I32" i="4"/>
  <c r="J32" i="4" s="1"/>
  <c r="K32" i="4" s="1"/>
  <c r="L32" i="4" s="1"/>
  <c r="H32" i="4"/>
  <c r="K29" i="4"/>
  <c r="L29" i="4"/>
  <c r="H29" i="4"/>
  <c r="I30" i="4"/>
  <c r="J30" i="4" s="1"/>
  <c r="K30" i="4" s="1"/>
  <c r="L30" i="4" s="1"/>
  <c r="H30" i="4"/>
  <c r="H27" i="4"/>
  <c r="I28" i="4"/>
  <c r="J28" i="4" s="1"/>
  <c r="K28" i="4" s="1"/>
  <c r="L28" i="4" s="1"/>
  <c r="L27" i="4" s="1"/>
  <c r="L33" i="4" s="1"/>
  <c r="L34" i="4" s="1"/>
  <c r="H28" i="4"/>
  <c r="K25" i="4"/>
  <c r="L25" i="4"/>
  <c r="H25" i="4"/>
  <c r="I26" i="4"/>
  <c r="J26" i="4" s="1"/>
  <c r="K26" i="4" s="1"/>
  <c r="L26" i="4" s="1"/>
  <c r="H26" i="4"/>
  <c r="L23" i="4"/>
  <c r="H23" i="4"/>
  <c r="H33" i="4" s="1"/>
  <c r="H34" i="4" s="1"/>
  <c r="I24" i="4"/>
  <c r="I23" i="4" s="1"/>
  <c r="J24" i="4"/>
  <c r="K24" i="4" s="1"/>
  <c r="L24" i="4" s="1"/>
  <c r="H24" i="4"/>
  <c r="L21" i="4"/>
  <c r="H21" i="4"/>
  <c r="I22" i="4"/>
  <c r="J22" i="4" s="1"/>
  <c r="K22" i="4" s="1"/>
  <c r="L22" i="4" s="1"/>
  <c r="H22" i="4"/>
  <c r="H19" i="4"/>
  <c r="I20" i="4"/>
  <c r="I19" i="4" s="1"/>
  <c r="J20" i="4"/>
  <c r="J19" i="4" s="1"/>
  <c r="K20" i="4"/>
  <c r="L20" i="4" s="1"/>
  <c r="L19" i="4" s="1"/>
  <c r="H20" i="4"/>
  <c r="H17" i="4"/>
  <c r="I18" i="4"/>
  <c r="I17" i="4" s="1"/>
  <c r="H18" i="4"/>
  <c r="K15" i="4"/>
  <c r="L15" i="4"/>
  <c r="H15" i="4"/>
  <c r="I16" i="4"/>
  <c r="J16" i="4" s="1"/>
  <c r="K16" i="4" s="1"/>
  <c r="L16" i="4" s="1"/>
  <c r="H16" i="4"/>
  <c r="H13" i="4"/>
  <c r="H14" i="4" s="1"/>
  <c r="I13" i="4"/>
  <c r="J13" i="4"/>
  <c r="K13" i="4"/>
  <c r="K14" i="4" s="1"/>
  <c r="L13" i="4"/>
  <c r="I14" i="4"/>
  <c r="J14" i="4"/>
  <c r="L14" i="4"/>
  <c r="H9" i="4"/>
  <c r="I9" i="4"/>
  <c r="J9" i="4"/>
  <c r="K9" i="4"/>
  <c r="L9" i="4"/>
  <c r="H10" i="4"/>
  <c r="I10" i="4"/>
  <c r="J10" i="4"/>
  <c r="K10" i="4"/>
  <c r="L10" i="4"/>
  <c r="I7" i="4"/>
  <c r="J7" i="4" s="1"/>
  <c r="K7" i="4" s="1"/>
  <c r="L7" i="4" s="1"/>
  <c r="H7" i="4"/>
  <c r="I8" i="4"/>
  <c r="J8" i="4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L68" i="4"/>
  <c r="H68" i="4"/>
  <c r="I69" i="4"/>
  <c r="J69" i="4" s="1"/>
  <c r="K69" i="4" s="1"/>
  <c r="L69" i="4" s="1"/>
  <c r="H69" i="4"/>
  <c r="L53" i="3"/>
  <c r="H53" i="3"/>
  <c r="I54" i="3"/>
  <c r="J54" i="3" s="1"/>
  <c r="K54" i="3" s="1"/>
  <c r="L54" i="3" s="1"/>
  <c r="H54" i="3"/>
  <c r="K51" i="3"/>
  <c r="L51" i="3"/>
  <c r="H51" i="3"/>
  <c r="I52" i="3"/>
  <c r="J52" i="3" s="1"/>
  <c r="K52" i="3" s="1"/>
  <c r="L52" i="3" s="1"/>
  <c r="H52" i="3"/>
  <c r="K43" i="3"/>
  <c r="L43" i="3"/>
  <c r="H43" i="3"/>
  <c r="I44" i="3"/>
  <c r="J44" i="3" s="1"/>
  <c r="K44" i="3" s="1"/>
  <c r="L44" i="3" s="1"/>
  <c r="H44" i="3"/>
  <c r="K39" i="3"/>
  <c r="L39" i="3"/>
  <c r="H39" i="3"/>
  <c r="I40" i="3"/>
  <c r="J40" i="3" s="1"/>
  <c r="K40" i="3" s="1"/>
  <c r="L40" i="3" s="1"/>
  <c r="H40" i="3"/>
  <c r="H37" i="3"/>
  <c r="H41" i="3" s="1"/>
  <c r="H33" i="3"/>
  <c r="H34" i="3" s="1"/>
  <c r="I33" i="3"/>
  <c r="I34" i="3" s="1"/>
  <c r="J33" i="3"/>
  <c r="J37" i="3" s="1"/>
  <c r="K33" i="3"/>
  <c r="K34" i="3" s="1"/>
  <c r="L33" i="3"/>
  <c r="L34" i="3" s="1"/>
  <c r="J34" i="3"/>
  <c r="H29" i="3"/>
  <c r="I29" i="3"/>
  <c r="J29" i="3"/>
  <c r="K29" i="3"/>
  <c r="L29" i="3"/>
  <c r="H30" i="3"/>
  <c r="I30" i="3"/>
  <c r="J30" i="3"/>
  <c r="K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L25" i="3"/>
  <c r="H26" i="3"/>
  <c r="I26" i="3"/>
  <c r="J26" i="3"/>
  <c r="K26" i="3"/>
  <c r="L26" i="3"/>
  <c r="H23" i="3"/>
  <c r="I24" i="3"/>
  <c r="I23" i="3" s="1"/>
  <c r="J24" i="3"/>
  <c r="J23" i="3" s="1"/>
  <c r="K24" i="3"/>
  <c r="L24" i="3" s="1"/>
  <c r="L23" i="3" s="1"/>
  <c r="H24" i="3"/>
  <c r="H21" i="3"/>
  <c r="I22" i="3"/>
  <c r="I21" i="3" s="1"/>
  <c r="H22" i="3"/>
  <c r="L19" i="3"/>
  <c r="H19" i="3"/>
  <c r="I20" i="3"/>
  <c r="J20" i="3" s="1"/>
  <c r="K20" i="3" s="1"/>
  <c r="L20" i="3" s="1"/>
  <c r="H20" i="3"/>
  <c r="K17" i="3"/>
  <c r="L17" i="3"/>
  <c r="H17" i="3"/>
  <c r="I18" i="3"/>
  <c r="J18" i="3" s="1"/>
  <c r="K18" i="3" s="1"/>
  <c r="L18" i="3" s="1"/>
  <c r="H18" i="3"/>
  <c r="H15" i="3"/>
  <c r="I15" i="3"/>
  <c r="J15" i="3"/>
  <c r="K15" i="3"/>
  <c r="K16" i="3" s="1"/>
  <c r="L15" i="3"/>
  <c r="H16" i="3"/>
  <c r="I16" i="3"/>
  <c r="J16" i="3"/>
  <c r="L16" i="3"/>
  <c r="L13" i="3"/>
  <c r="H13" i="3"/>
  <c r="I14" i="3"/>
  <c r="J14" i="3" s="1"/>
  <c r="K14" i="3" s="1"/>
  <c r="L14" i="3" s="1"/>
  <c r="H14" i="3"/>
  <c r="H11" i="3"/>
  <c r="I12" i="3"/>
  <c r="I11" i="3" s="1"/>
  <c r="H12" i="3"/>
  <c r="H9" i="3"/>
  <c r="I9" i="3"/>
  <c r="J9" i="3"/>
  <c r="K9" i="3"/>
  <c r="K10" i="3" s="1"/>
  <c r="L9" i="3"/>
  <c r="H10" i="3"/>
  <c r="I10" i="3"/>
  <c r="J10" i="3"/>
  <c r="L10" i="3"/>
  <c r="K7" i="3"/>
  <c r="L7" i="3"/>
  <c r="H7" i="3"/>
  <c r="I8" i="3"/>
  <c r="J8" i="3" s="1"/>
  <c r="K8" i="3" s="1"/>
  <c r="L8" i="3" s="1"/>
  <c r="H8" i="3"/>
  <c r="H6" i="3"/>
  <c r="I5" i="3"/>
  <c r="J5" i="3" s="1"/>
  <c r="J6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F16" i="47" s="1"/>
  <c r="F17" i="47" s="1"/>
  <c r="F19" i="47" s="1"/>
  <c r="F21" i="47" s="1"/>
  <c r="F23" i="47" s="1"/>
  <c r="F25" i="47" s="1"/>
  <c r="F27" i="47" s="1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30" i="46"/>
  <c r="C40" i="46" s="1"/>
  <c r="C26" i="46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G7" i="46"/>
  <c r="F7" i="46"/>
  <c r="E7" i="46"/>
  <c r="D7" i="46"/>
  <c r="C7" i="46"/>
  <c r="C9" i="46" s="1"/>
  <c r="C21" i="46" s="1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F44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G7" i="5"/>
  <c r="D7" i="5"/>
  <c r="D10" i="5" s="1"/>
  <c r="D33" i="4"/>
  <c r="D6" i="41" s="1"/>
  <c r="E33" i="4"/>
  <c r="F33" i="4"/>
  <c r="F151" i="6" s="1"/>
  <c r="G33" i="4"/>
  <c r="G129" i="6" s="1"/>
  <c r="D21" i="4"/>
  <c r="D62" i="6" s="1"/>
  <c r="E21" i="4"/>
  <c r="E52" i="6" s="1"/>
  <c r="F21" i="4"/>
  <c r="F62" i="6" s="1"/>
  <c r="G21" i="4"/>
  <c r="G6" i="17" s="1"/>
  <c r="D9" i="4"/>
  <c r="E9" i="4"/>
  <c r="F9" i="4"/>
  <c r="G9" i="4"/>
  <c r="C72" i="4"/>
  <c r="C67" i="6" s="1"/>
  <c r="C46" i="4"/>
  <c r="C54" i="4" s="1"/>
  <c r="C33" i="4"/>
  <c r="C21" i="4"/>
  <c r="C6" i="17" s="1"/>
  <c r="C9" i="4"/>
  <c r="C13" i="4" s="1"/>
  <c r="C53" i="6" s="1"/>
  <c r="D25" i="3"/>
  <c r="D5" i="44" s="1"/>
  <c r="E25" i="3"/>
  <c r="E26" i="3" s="1"/>
  <c r="F25" i="3"/>
  <c r="F5" i="44" s="1"/>
  <c r="G25" i="3"/>
  <c r="G26" i="3" s="1"/>
  <c r="D9" i="3"/>
  <c r="E9" i="3"/>
  <c r="E10" i="3" s="1"/>
  <c r="F9" i="3"/>
  <c r="F10" i="3" s="1"/>
  <c r="G9" i="3"/>
  <c r="G10" i="3" s="1"/>
  <c r="C25" i="3"/>
  <c r="C26" i="3" s="1"/>
  <c r="C9" i="3"/>
  <c r="L37" i="4" l="1"/>
  <c r="L38" i="4" s="1"/>
  <c r="H37" i="4"/>
  <c r="H38" i="4" s="1"/>
  <c r="J10" i="5"/>
  <c r="H10" i="5"/>
  <c r="J38" i="3"/>
  <c r="J41" i="3"/>
  <c r="L37" i="3"/>
  <c r="K37" i="3"/>
  <c r="I37" i="3"/>
  <c r="L44" i="4"/>
  <c r="L45" i="4" s="1"/>
  <c r="H42" i="3"/>
  <c r="H45" i="3"/>
  <c r="H38" i="3"/>
  <c r="K45" i="4"/>
  <c r="J45" i="4"/>
  <c r="I45" i="4"/>
  <c r="H45" i="4"/>
  <c r="L46" i="4"/>
  <c r="L47" i="4" s="1"/>
  <c r="H54" i="4"/>
  <c r="H55" i="4" s="1"/>
  <c r="H47" i="4"/>
  <c r="K68" i="4"/>
  <c r="J68" i="4"/>
  <c r="I68" i="4"/>
  <c r="K66" i="4"/>
  <c r="J66" i="4"/>
  <c r="I66" i="4"/>
  <c r="J65" i="4"/>
  <c r="J63" i="4"/>
  <c r="J58" i="4"/>
  <c r="I58" i="4"/>
  <c r="K56" i="4"/>
  <c r="J56" i="4"/>
  <c r="I56" i="4"/>
  <c r="K52" i="4"/>
  <c r="J52" i="4"/>
  <c r="I52" i="4"/>
  <c r="K50" i="4"/>
  <c r="J50" i="4"/>
  <c r="I50" i="4"/>
  <c r="J49" i="4"/>
  <c r="K42" i="4"/>
  <c r="J42" i="4"/>
  <c r="I42" i="4"/>
  <c r="K40" i="4"/>
  <c r="J40" i="4"/>
  <c r="I40" i="4"/>
  <c r="I46" i="4" s="1"/>
  <c r="K35" i="4"/>
  <c r="J35" i="4"/>
  <c r="I35" i="4"/>
  <c r="J31" i="4"/>
  <c r="I31" i="4"/>
  <c r="J29" i="4"/>
  <c r="I29" i="4"/>
  <c r="K27" i="4"/>
  <c r="J27" i="4"/>
  <c r="I27" i="4"/>
  <c r="J25" i="4"/>
  <c r="I25" i="4"/>
  <c r="I33" i="4" s="1"/>
  <c r="I34" i="4" s="1"/>
  <c r="K23" i="4"/>
  <c r="J23" i="4"/>
  <c r="K21" i="4"/>
  <c r="J21" i="4"/>
  <c r="I21" i="4"/>
  <c r="K19" i="4"/>
  <c r="J18" i="4"/>
  <c r="J15" i="4"/>
  <c r="I15" i="4"/>
  <c r="K80" i="4"/>
  <c r="L80" i="4" s="1"/>
  <c r="K53" i="3"/>
  <c r="J53" i="3"/>
  <c r="I53" i="3"/>
  <c r="J51" i="3"/>
  <c r="I51" i="3"/>
  <c r="J43" i="3"/>
  <c r="I43" i="3"/>
  <c r="J39" i="3"/>
  <c r="I39" i="3"/>
  <c r="K23" i="3"/>
  <c r="J22" i="3"/>
  <c r="K19" i="3"/>
  <c r="J19" i="3"/>
  <c r="I19" i="3"/>
  <c r="J17" i="3"/>
  <c r="I17" i="3"/>
  <c r="K13" i="3"/>
  <c r="J13" i="3"/>
  <c r="I13" i="3"/>
  <c r="J12" i="3"/>
  <c r="J7" i="3"/>
  <c r="I7" i="3"/>
  <c r="I6" i="3"/>
  <c r="K5" i="3"/>
  <c r="F26" i="3"/>
  <c r="D26" i="3"/>
  <c r="G10" i="5"/>
  <c r="F10" i="5"/>
  <c r="F38" i="6"/>
  <c r="F8" i="25"/>
  <c r="F8" i="26"/>
  <c r="F8" i="27"/>
  <c r="E8" i="29"/>
  <c r="D8" i="31"/>
  <c r="D8" i="32"/>
  <c r="G8" i="33"/>
  <c r="C8" i="33"/>
  <c r="D105" i="6"/>
  <c r="D110" i="6"/>
  <c r="D115" i="6"/>
  <c r="G125" i="6"/>
  <c r="C125" i="6"/>
  <c r="F135" i="6"/>
  <c r="F140" i="6"/>
  <c r="E149" i="6"/>
  <c r="G15" i="3"/>
  <c r="G16" i="3" s="1"/>
  <c r="F105" i="6"/>
  <c r="F110" i="6"/>
  <c r="F115" i="6"/>
  <c r="E125" i="6"/>
  <c r="D135" i="6"/>
  <c r="D140" i="6"/>
  <c r="G149" i="6"/>
  <c r="C149" i="6"/>
  <c r="C10" i="3"/>
  <c r="C15" i="3" s="1"/>
  <c r="C16" i="3" s="1"/>
  <c r="D10" i="3"/>
  <c r="D15" i="3" s="1"/>
  <c r="D16" i="3" s="1"/>
  <c r="G38" i="6"/>
  <c r="C38" i="6"/>
  <c r="F8" i="12"/>
  <c r="E8" i="12"/>
  <c r="E38" i="6"/>
  <c r="D8" i="25"/>
  <c r="D8" i="26"/>
  <c r="D8" i="27"/>
  <c r="G8" i="29"/>
  <c r="C8" i="29"/>
  <c r="F8" i="31"/>
  <c r="F8" i="32"/>
  <c r="E8" i="33"/>
  <c r="F8" i="33"/>
  <c r="E25" i="46"/>
  <c r="E26" i="46" s="1"/>
  <c r="E30" i="46" s="1"/>
  <c r="G130" i="6"/>
  <c r="D38" i="6"/>
  <c r="E105" i="6"/>
  <c r="E110" i="6"/>
  <c r="E115" i="6"/>
  <c r="D125" i="6"/>
  <c r="G135" i="6"/>
  <c r="C135" i="6"/>
  <c r="G140" i="6"/>
  <c r="C140" i="6"/>
  <c r="F149" i="6"/>
  <c r="G8" i="12"/>
  <c r="C8" i="12"/>
  <c r="D8" i="12"/>
  <c r="G6" i="44"/>
  <c r="G5" i="44"/>
  <c r="G7" i="13"/>
  <c r="G8" i="13" s="1"/>
  <c r="G42" i="6"/>
  <c r="G43" i="6" s="1"/>
  <c r="G7" i="21"/>
  <c r="G8" i="21" s="1"/>
  <c r="G84" i="6"/>
  <c r="G85" i="6" s="1"/>
  <c r="F7" i="21"/>
  <c r="F8" i="21" s="1"/>
  <c r="F84" i="6"/>
  <c r="F85" i="6" s="1"/>
  <c r="F15" i="3"/>
  <c r="F16" i="3" s="1"/>
  <c r="E7" i="21"/>
  <c r="E8" i="21" s="1"/>
  <c r="E84" i="6"/>
  <c r="E85" i="6" s="1"/>
  <c r="E15" i="3"/>
  <c r="E16" i="3" s="1"/>
  <c r="E7" i="13"/>
  <c r="E8" i="13" s="1"/>
  <c r="E42" i="6"/>
  <c r="E43" i="6" s="1"/>
  <c r="E5" i="44"/>
  <c r="D42" i="6"/>
  <c r="D43" i="6" s="1"/>
  <c r="D84" i="6"/>
  <c r="D85" i="6" s="1"/>
  <c r="D7" i="13"/>
  <c r="D8" i="13" s="1"/>
  <c r="D7" i="21"/>
  <c r="D8" i="21" s="1"/>
  <c r="C7" i="21"/>
  <c r="C8" i="21" s="1"/>
  <c r="C84" i="6"/>
  <c r="C85" i="6" s="1"/>
  <c r="F7" i="13"/>
  <c r="F8" i="13" s="1"/>
  <c r="F42" i="6"/>
  <c r="F43" i="6" s="1"/>
  <c r="C5" i="44"/>
  <c r="C7" i="13"/>
  <c r="C8" i="13" s="1"/>
  <c r="C42" i="6"/>
  <c r="C43" i="6" s="1"/>
  <c r="E8" i="25"/>
  <c r="E8" i="26"/>
  <c r="E8" i="27"/>
  <c r="D8" i="29"/>
  <c r="G8" i="31"/>
  <c r="C8" i="31"/>
  <c r="G8" i="32"/>
  <c r="C8" i="32"/>
  <c r="C90" i="6"/>
  <c r="G105" i="6"/>
  <c r="C105" i="6"/>
  <c r="G110" i="6"/>
  <c r="C110" i="6"/>
  <c r="G115" i="6"/>
  <c r="C115" i="6"/>
  <c r="F125" i="6"/>
  <c r="E135" i="6"/>
  <c r="E140" i="6"/>
  <c r="D149" i="6"/>
  <c r="C8" i="22"/>
  <c r="G8" i="25"/>
  <c r="C8" i="25"/>
  <c r="G8" i="26"/>
  <c r="C8" i="26"/>
  <c r="G8" i="27"/>
  <c r="C8" i="27"/>
  <c r="F8" i="29"/>
  <c r="E8" i="31"/>
  <c r="E8" i="32"/>
  <c r="D8" i="33"/>
  <c r="E35" i="47"/>
  <c r="E30" i="47"/>
  <c r="F35" i="47"/>
  <c r="F30" i="47"/>
  <c r="C35" i="47"/>
  <c r="C30" i="47"/>
  <c r="G35" i="47"/>
  <c r="G30" i="47"/>
  <c r="D30" i="47"/>
  <c r="D35" i="47"/>
  <c r="D46" i="4"/>
  <c r="E46" i="4"/>
  <c r="G35" i="5"/>
  <c r="E47" i="5"/>
  <c r="F47" i="5"/>
  <c r="G47" i="5"/>
  <c r="D7" i="18"/>
  <c r="D47" i="5"/>
  <c r="F119" i="6"/>
  <c r="F120" i="6" s="1"/>
  <c r="G142" i="6"/>
  <c r="G143" i="6" s="1"/>
  <c r="F6" i="17"/>
  <c r="F7" i="30"/>
  <c r="F8" i="30" s="1"/>
  <c r="C16" i="6"/>
  <c r="C63" i="6"/>
  <c r="D68" i="6"/>
  <c r="F74" i="6"/>
  <c r="D7" i="28"/>
  <c r="D8" i="28" s="1"/>
  <c r="D129" i="6"/>
  <c r="D130" i="6" s="1"/>
  <c r="F155" i="6"/>
  <c r="F156" i="6" s="1"/>
  <c r="C6" i="40"/>
  <c r="E6" i="41"/>
  <c r="E10" i="33"/>
  <c r="E11" i="33" s="1"/>
  <c r="E7" i="28"/>
  <c r="E8" i="28" s="1"/>
  <c r="E8" i="19"/>
  <c r="E155" i="6"/>
  <c r="E156" i="6" s="1"/>
  <c r="E6" i="36"/>
  <c r="E14" i="33"/>
  <c r="E15" i="33" s="1"/>
  <c r="E7" i="30"/>
  <c r="E8" i="30" s="1"/>
  <c r="E7" i="18"/>
  <c r="E151" i="6"/>
  <c r="E152" i="6" s="1"/>
  <c r="E129" i="6"/>
  <c r="E130" i="6" s="1"/>
  <c r="E68" i="6"/>
  <c r="E142" i="6"/>
  <c r="E143" i="6" s="1"/>
  <c r="E10" i="32"/>
  <c r="E11" i="32" s="1"/>
  <c r="E119" i="6"/>
  <c r="E120" i="6" s="1"/>
  <c r="E74" i="6"/>
  <c r="E35" i="5"/>
  <c r="F35" i="5"/>
  <c r="E6" i="40"/>
  <c r="E6" i="17"/>
  <c r="E62" i="6"/>
  <c r="E7" i="15"/>
  <c r="G44" i="4"/>
  <c r="F46" i="4"/>
  <c r="C14" i="33"/>
  <c r="C15" i="33" s="1"/>
  <c r="C7" i="30"/>
  <c r="C8" i="30" s="1"/>
  <c r="C7" i="18"/>
  <c r="C151" i="6"/>
  <c r="C152" i="6" s="1"/>
  <c r="C10" i="32"/>
  <c r="C11" i="32" s="1"/>
  <c r="C6" i="41"/>
  <c r="C10" i="33"/>
  <c r="C11" i="33" s="1"/>
  <c r="C12" i="33" s="1"/>
  <c r="C7" i="28"/>
  <c r="C8" i="28" s="1"/>
  <c r="C8" i="19"/>
  <c r="C155" i="6"/>
  <c r="C156" i="6" s="1"/>
  <c r="C6" i="36"/>
  <c r="C119" i="6"/>
  <c r="C120" i="6" s="1"/>
  <c r="C74" i="6"/>
  <c r="C129" i="6"/>
  <c r="C130" i="6" s="1"/>
  <c r="C68" i="6"/>
  <c r="C69" i="6" s="1"/>
  <c r="C74" i="4"/>
  <c r="C71" i="4" s="1"/>
  <c r="C6" i="42"/>
  <c r="D35" i="5"/>
  <c r="C142" i="6"/>
  <c r="C143" i="6" s="1"/>
  <c r="C144" i="6" s="1"/>
  <c r="D6" i="40"/>
  <c r="D7" i="15"/>
  <c r="D52" i="6"/>
  <c r="G62" i="6"/>
  <c r="C62" i="6"/>
  <c r="G68" i="6"/>
  <c r="C72" i="6"/>
  <c r="F142" i="6"/>
  <c r="F143" i="6" s="1"/>
  <c r="F152" i="6"/>
  <c r="D155" i="6"/>
  <c r="D156" i="6" s="1"/>
  <c r="G7" i="15"/>
  <c r="D6" i="17"/>
  <c r="F8" i="19"/>
  <c r="F14" i="33"/>
  <c r="F15" i="33" s="1"/>
  <c r="D6" i="36"/>
  <c r="D14" i="33"/>
  <c r="D15" i="33" s="1"/>
  <c r="D7" i="30"/>
  <c r="D8" i="30" s="1"/>
  <c r="D10" i="32"/>
  <c r="D11" i="32" s="1"/>
  <c r="D12" i="32" s="1"/>
  <c r="C37" i="4"/>
  <c r="C5" i="34"/>
  <c r="C8" i="15"/>
  <c r="C7" i="16"/>
  <c r="G14" i="33"/>
  <c r="G15" i="33" s="1"/>
  <c r="G7" i="30"/>
  <c r="G8" i="30" s="1"/>
  <c r="G7" i="18"/>
  <c r="G151" i="6"/>
  <c r="G152" i="6" s="1"/>
  <c r="G10" i="32"/>
  <c r="G11" i="32" s="1"/>
  <c r="G6" i="41"/>
  <c r="G10" i="33"/>
  <c r="G11" i="33" s="1"/>
  <c r="G7" i="28"/>
  <c r="G8" i="28" s="1"/>
  <c r="G8" i="19"/>
  <c r="G155" i="6"/>
  <c r="G156" i="6" s="1"/>
  <c r="G52" i="6"/>
  <c r="C52" i="6"/>
  <c r="F68" i="6"/>
  <c r="D74" i="6"/>
  <c r="D119" i="6"/>
  <c r="D120" i="6" s="1"/>
  <c r="F129" i="6"/>
  <c r="F130" i="6" s="1"/>
  <c r="D8" i="19"/>
  <c r="D10" i="33"/>
  <c r="D11" i="33" s="1"/>
  <c r="G6" i="36"/>
  <c r="C6" i="43"/>
  <c r="C6" i="19"/>
  <c r="C5" i="36"/>
  <c r="F6" i="40"/>
  <c r="F7" i="15"/>
  <c r="F10" i="32"/>
  <c r="F6" i="41"/>
  <c r="F10" i="33"/>
  <c r="F11" i="33" s="1"/>
  <c r="F7" i="28"/>
  <c r="F8" i="28" s="1"/>
  <c r="F6" i="36"/>
  <c r="F52" i="6"/>
  <c r="C58" i="6"/>
  <c r="G74" i="6"/>
  <c r="G119" i="6"/>
  <c r="G120" i="6" s="1"/>
  <c r="D142" i="6"/>
  <c r="D143" i="6" s="1"/>
  <c r="D151" i="6"/>
  <c r="D152" i="6" s="1"/>
  <c r="C6" i="9"/>
  <c r="C7" i="15"/>
  <c r="C7" i="17"/>
  <c r="C8" i="17" s="1"/>
  <c r="F7" i="18"/>
  <c r="C6" i="18"/>
  <c r="F11" i="32"/>
  <c r="G6" i="40"/>
  <c r="K38" i="3" l="1"/>
  <c r="K41" i="3"/>
  <c r="L41" i="3"/>
  <c r="L38" i="3"/>
  <c r="J45" i="3"/>
  <c r="J42" i="3"/>
  <c r="I38" i="3"/>
  <c r="I41" i="3"/>
  <c r="H5" i="5"/>
  <c r="H27" i="5" s="1"/>
  <c r="H48" i="5" s="1"/>
  <c r="H70" i="4" s="1"/>
  <c r="H49" i="3"/>
  <c r="H46" i="3"/>
  <c r="J46" i="4"/>
  <c r="I54" i="4"/>
  <c r="I55" i="4" s="1"/>
  <c r="I47" i="4"/>
  <c r="J33" i="4"/>
  <c r="J34" i="4" s="1"/>
  <c r="K46" i="4"/>
  <c r="I37" i="4"/>
  <c r="I38" i="4" s="1"/>
  <c r="K33" i="4"/>
  <c r="K34" i="4" s="1"/>
  <c r="K65" i="4"/>
  <c r="J64" i="4"/>
  <c r="K63" i="4"/>
  <c r="J62" i="4"/>
  <c r="K49" i="4"/>
  <c r="J48" i="4"/>
  <c r="J17" i="4"/>
  <c r="K18" i="4"/>
  <c r="J21" i="3"/>
  <c r="K22" i="3"/>
  <c r="K12" i="3"/>
  <c r="J11" i="3"/>
  <c r="L5" i="3"/>
  <c r="L6" i="3" s="1"/>
  <c r="K6" i="3"/>
  <c r="G27" i="3"/>
  <c r="G6" i="39"/>
  <c r="G12" i="33"/>
  <c r="G16" i="33" s="1"/>
  <c r="G12" i="32"/>
  <c r="E12" i="33"/>
  <c r="G153" i="6"/>
  <c r="G157" i="6" s="1"/>
  <c r="D6" i="44"/>
  <c r="D27" i="3"/>
  <c r="D6" i="39"/>
  <c r="D144" i="6"/>
  <c r="E153" i="6"/>
  <c r="E157" i="6" s="1"/>
  <c r="C6" i="44"/>
  <c r="C6" i="39"/>
  <c r="C27" i="3"/>
  <c r="F25" i="46"/>
  <c r="F26" i="46" s="1"/>
  <c r="F30" i="46" s="1"/>
  <c r="E144" i="6"/>
  <c r="F12" i="33"/>
  <c r="F153" i="6"/>
  <c r="F157" i="6" s="1"/>
  <c r="C153" i="6"/>
  <c r="C157" i="6" s="1"/>
  <c r="D12" i="33"/>
  <c r="D16" i="33" s="1"/>
  <c r="F144" i="6"/>
  <c r="F12" i="32"/>
  <c r="G144" i="6"/>
  <c r="C12" i="32"/>
  <c r="E12" i="32"/>
  <c r="E6" i="39"/>
  <c r="E6" i="44"/>
  <c r="E27" i="3"/>
  <c r="F6" i="44"/>
  <c r="F6" i="39"/>
  <c r="F27" i="3"/>
  <c r="D153" i="6"/>
  <c r="D157" i="6" s="1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C38" i="4"/>
  <c r="F54" i="4"/>
  <c r="E54" i="4"/>
  <c r="D54" i="4"/>
  <c r="C47" i="4"/>
  <c r="G46" i="4"/>
  <c r="C41" i="4"/>
  <c r="C43" i="4"/>
  <c r="C9" i="19"/>
  <c r="C34" i="4"/>
  <c r="C36" i="4"/>
  <c r="C30" i="4"/>
  <c r="C32" i="4"/>
  <c r="C26" i="4"/>
  <c r="C28" i="4"/>
  <c r="C22" i="4"/>
  <c r="C24" i="4"/>
  <c r="C18" i="4"/>
  <c r="C20" i="4"/>
  <c r="C14" i="4"/>
  <c r="C16" i="4"/>
  <c r="C75" i="6"/>
  <c r="C10" i="4"/>
  <c r="C12" i="4"/>
  <c r="C8" i="18"/>
  <c r="C6" i="4"/>
  <c r="C8" i="4"/>
  <c r="C64" i="6"/>
  <c r="C5" i="41"/>
  <c r="C6" i="34"/>
  <c r="C5" i="40"/>
  <c r="F16" i="33"/>
  <c r="E16" i="33"/>
  <c r="C16" i="33"/>
  <c r="C5" i="42"/>
  <c r="C7" i="24"/>
  <c r="C8" i="24" s="1"/>
  <c r="C7" i="14"/>
  <c r="C99" i="6"/>
  <c r="C100" i="6" s="1"/>
  <c r="C47" i="6"/>
  <c r="C5" i="43"/>
  <c r="I45" i="3" l="1"/>
  <c r="I42" i="3"/>
  <c r="L45" i="3"/>
  <c r="L42" i="3"/>
  <c r="K45" i="3"/>
  <c r="K42" i="3"/>
  <c r="J49" i="3"/>
  <c r="J5" i="5"/>
  <c r="J27" i="5" s="1"/>
  <c r="J48" i="5" s="1"/>
  <c r="J46" i="3"/>
  <c r="H55" i="3"/>
  <c r="H56" i="3" s="1"/>
  <c r="H50" i="3"/>
  <c r="H71" i="4"/>
  <c r="H72" i="4"/>
  <c r="H73" i="4" s="1"/>
  <c r="J47" i="4"/>
  <c r="J54" i="4"/>
  <c r="J55" i="4" s="1"/>
  <c r="K37" i="4"/>
  <c r="K38" i="4" s="1"/>
  <c r="K47" i="4"/>
  <c r="J37" i="4"/>
  <c r="J38" i="4" s="1"/>
  <c r="L65" i="4"/>
  <c r="L64" i="4" s="1"/>
  <c r="K64" i="4"/>
  <c r="L63" i="4"/>
  <c r="L62" i="4" s="1"/>
  <c r="K62" i="4"/>
  <c r="L49" i="4"/>
  <c r="L48" i="4" s="1"/>
  <c r="L54" i="4" s="1"/>
  <c r="L55" i="4" s="1"/>
  <c r="K48" i="4"/>
  <c r="K54" i="4" s="1"/>
  <c r="K55" i="4" s="1"/>
  <c r="L18" i="4"/>
  <c r="L17" i="4" s="1"/>
  <c r="K17" i="4"/>
  <c r="L22" i="3"/>
  <c r="L21" i="3" s="1"/>
  <c r="K21" i="3"/>
  <c r="L12" i="3"/>
  <c r="L11" i="3" s="1"/>
  <c r="K11" i="3"/>
  <c r="E29" i="3"/>
  <c r="E30" i="3" s="1"/>
  <c r="E28" i="3"/>
  <c r="D29" i="3"/>
  <c r="D30" i="3" s="1"/>
  <c r="D28" i="3"/>
  <c r="C29" i="3"/>
  <c r="C28" i="3"/>
  <c r="F29" i="3"/>
  <c r="F30" i="3" s="1"/>
  <c r="F28" i="3"/>
  <c r="G29" i="3"/>
  <c r="G30" i="3" s="1"/>
  <c r="G28" i="3"/>
  <c r="G25" i="46"/>
  <c r="G26" i="46" s="1"/>
  <c r="G30" i="46" s="1"/>
  <c r="C5" i="35"/>
  <c r="E5" i="35"/>
  <c r="E33" i="3"/>
  <c r="E34" i="3" s="1"/>
  <c r="F5" i="35"/>
  <c r="F33" i="3"/>
  <c r="F34" i="3" s="1"/>
  <c r="E6" i="42"/>
  <c r="D6" i="42"/>
  <c r="F6" i="42"/>
  <c r="G54" i="4"/>
  <c r="J55" i="3" l="1"/>
  <c r="J56" i="3" s="1"/>
  <c r="J50" i="3"/>
  <c r="L49" i="3"/>
  <c r="L46" i="3"/>
  <c r="L5" i="5"/>
  <c r="L27" i="5" s="1"/>
  <c r="L48" i="5" s="1"/>
  <c r="K46" i="3"/>
  <c r="K5" i="5"/>
  <c r="K27" i="5" s="1"/>
  <c r="K48" i="5" s="1"/>
  <c r="K49" i="3"/>
  <c r="I49" i="3"/>
  <c r="I5" i="5"/>
  <c r="I27" i="5" s="1"/>
  <c r="I48" i="5" s="1"/>
  <c r="I70" i="4" s="1"/>
  <c r="I71" i="4" s="1"/>
  <c r="I46" i="3"/>
  <c r="C33" i="3"/>
  <c r="C34" i="3" s="1"/>
  <c r="C30" i="3"/>
  <c r="D33" i="3"/>
  <c r="D34" i="3" s="1"/>
  <c r="D5" i="35"/>
  <c r="G5" i="35"/>
  <c r="G33" i="3"/>
  <c r="G34" i="3" s="1"/>
  <c r="F6" i="15"/>
  <c r="F9" i="15" s="1"/>
  <c r="F51" i="6"/>
  <c r="F54" i="6" s="1"/>
  <c r="F6" i="20"/>
  <c r="F8" i="20" s="1"/>
  <c r="F78" i="6"/>
  <c r="F80" i="6" s="1"/>
  <c r="F6" i="35"/>
  <c r="F37" i="3"/>
  <c r="E6" i="20"/>
  <c r="E8" i="20" s="1"/>
  <c r="E78" i="6"/>
  <c r="E80" i="6" s="1"/>
  <c r="E6" i="35"/>
  <c r="E6" i="15"/>
  <c r="E9" i="15" s="1"/>
  <c r="E51" i="6"/>
  <c r="E54" i="6" s="1"/>
  <c r="E37" i="3"/>
  <c r="G6" i="42"/>
  <c r="I72" i="4" l="1"/>
  <c r="I73" i="4" s="1"/>
  <c r="J70" i="4"/>
  <c r="J72" i="4" s="1"/>
  <c r="J73" i="4" s="1"/>
  <c r="K50" i="3"/>
  <c r="K55" i="3"/>
  <c r="K56" i="3" s="1"/>
  <c r="L55" i="3"/>
  <c r="L56" i="3" s="1"/>
  <c r="L50" i="3"/>
  <c r="I55" i="3"/>
  <c r="I56" i="3" s="1"/>
  <c r="I50" i="3"/>
  <c r="J71" i="4"/>
  <c r="F41" i="3"/>
  <c r="F38" i="3"/>
  <c r="E41" i="3"/>
  <c r="E38" i="3"/>
  <c r="C6" i="15"/>
  <c r="C9" i="15" s="1"/>
  <c r="C6" i="35"/>
  <c r="C78" i="6"/>
  <c r="C80" i="6" s="1"/>
  <c r="C51" i="6"/>
  <c r="C54" i="6" s="1"/>
  <c r="C6" i="20"/>
  <c r="C8" i="20" s="1"/>
  <c r="C37" i="3"/>
  <c r="G51" i="6"/>
  <c r="G54" i="6" s="1"/>
  <c r="G6" i="20"/>
  <c r="G8" i="20" s="1"/>
  <c r="G6" i="35"/>
  <c r="G6" i="15"/>
  <c r="G9" i="15" s="1"/>
  <c r="G78" i="6"/>
  <c r="G80" i="6" s="1"/>
  <c r="G37" i="3"/>
  <c r="D51" i="6"/>
  <c r="D54" i="6" s="1"/>
  <c r="D37" i="3"/>
  <c r="D6" i="15"/>
  <c r="D9" i="15" s="1"/>
  <c r="D6" i="35"/>
  <c r="D6" i="20"/>
  <c r="D8" i="20" s="1"/>
  <c r="D78" i="6"/>
  <c r="D80" i="6" s="1"/>
  <c r="K70" i="4" l="1"/>
  <c r="K71" i="4" s="1"/>
  <c r="L70" i="4"/>
  <c r="K72" i="4"/>
  <c r="K73" i="4" s="1"/>
  <c r="E45" i="3"/>
  <c r="E46" i="3" s="1"/>
  <c r="E42" i="3"/>
  <c r="F45" i="3"/>
  <c r="F46" i="3" s="1"/>
  <c r="F42" i="3"/>
  <c r="G41" i="3"/>
  <c r="G38" i="3"/>
  <c r="D41" i="3"/>
  <c r="D38" i="3"/>
  <c r="C41" i="3"/>
  <c r="C38" i="3"/>
  <c r="L71" i="4" l="1"/>
  <c r="L72" i="4"/>
  <c r="L73" i="4" s="1"/>
  <c r="D45" i="3"/>
  <c r="D46" i="3" s="1"/>
  <c r="D42" i="3"/>
  <c r="F49" i="3"/>
  <c r="F50" i="3" s="1"/>
  <c r="F5" i="5"/>
  <c r="F27" i="5" s="1"/>
  <c r="F48" i="5" s="1"/>
  <c r="C45" i="3"/>
  <c r="C42" i="3"/>
  <c r="G45" i="3"/>
  <c r="G46" i="3" s="1"/>
  <c r="G42" i="3"/>
  <c r="E49" i="3"/>
  <c r="E50" i="3" s="1"/>
  <c r="E5" i="5"/>
  <c r="E27" i="5" s="1"/>
  <c r="E48" i="5" s="1"/>
  <c r="C49" i="3" l="1"/>
  <c r="C50" i="3" s="1"/>
  <c r="C46" i="3"/>
  <c r="G49" i="3"/>
  <c r="G50" i="3" s="1"/>
  <c r="G5" i="5"/>
  <c r="G27" i="5" s="1"/>
  <c r="G48" i="5" s="1"/>
  <c r="F6" i="16"/>
  <c r="F55" i="3"/>
  <c r="F5" i="45" s="1"/>
  <c r="F6" i="7"/>
  <c r="F24" i="6"/>
  <c r="F9" i="10"/>
  <c r="F6" i="6"/>
  <c r="F6" i="14"/>
  <c r="F61" i="3"/>
  <c r="F46" i="6"/>
  <c r="F57" i="6"/>
  <c r="F6" i="45"/>
  <c r="E24" i="6"/>
  <c r="E6" i="6"/>
  <c r="E61" i="3"/>
  <c r="E9" i="10"/>
  <c r="E6" i="14"/>
  <c r="E6" i="16"/>
  <c r="E6" i="45"/>
  <c r="E55" i="3"/>
  <c r="E5" i="45" s="1"/>
  <c r="E57" i="6"/>
  <c r="E6" i="7"/>
  <c r="E46" i="6"/>
  <c r="C24" i="6"/>
  <c r="C57" i="6"/>
  <c r="C59" i="6" s="1"/>
  <c r="C6" i="6"/>
  <c r="C6" i="16"/>
  <c r="C8" i="16" s="1"/>
  <c r="C55" i="3"/>
  <c r="C5" i="45" s="1"/>
  <c r="C9" i="10"/>
  <c r="C46" i="6"/>
  <c r="C48" i="6" s="1"/>
  <c r="C61" i="3"/>
  <c r="C6" i="45"/>
  <c r="D49" i="3"/>
  <c r="D50" i="3" s="1"/>
  <c r="D5" i="5"/>
  <c r="D27" i="5" s="1"/>
  <c r="D48" i="5" s="1"/>
  <c r="C6" i="14" l="1"/>
  <c r="C8" i="14" s="1"/>
  <c r="C6" i="7"/>
  <c r="D38" i="46"/>
  <c r="D70" i="4"/>
  <c r="E7" i="8"/>
  <c r="E8" i="8" s="1"/>
  <c r="E31" i="6"/>
  <c r="E32" i="6" s="1"/>
  <c r="E33" i="6" s="1"/>
  <c r="E17" i="6"/>
  <c r="E22" i="6"/>
  <c r="E23" i="6" s="1"/>
  <c r="E27" i="6" s="1"/>
  <c r="E10" i="10"/>
  <c r="E11" i="10" s="1"/>
  <c r="E7" i="7"/>
  <c r="E8" i="7" s="1"/>
  <c r="E25" i="6"/>
  <c r="E26" i="6" s="1"/>
  <c r="E12" i="6"/>
  <c r="E13" i="6" s="1"/>
  <c r="E7" i="6"/>
  <c r="E8" i="6" s="1"/>
  <c r="E7" i="9"/>
  <c r="E7" i="11"/>
  <c r="E8" i="11" s="1"/>
  <c r="E9" i="11" s="1"/>
  <c r="E7" i="10"/>
  <c r="E8" i="10" s="1"/>
  <c r="E12" i="10" s="1"/>
  <c r="D61" i="3"/>
  <c r="D6" i="6"/>
  <c r="D55" i="3"/>
  <c r="D46" i="6"/>
  <c r="D6" i="45"/>
  <c r="D6" i="16"/>
  <c r="D24" i="6"/>
  <c r="D6" i="7"/>
  <c r="D9" i="10"/>
  <c r="D57" i="6"/>
  <c r="D6" i="14"/>
  <c r="F10" i="10"/>
  <c r="F11" i="10" s="1"/>
  <c r="F7" i="6"/>
  <c r="F8" i="6" s="1"/>
  <c r="F7" i="8"/>
  <c r="F8" i="8" s="1"/>
  <c r="F12" i="6"/>
  <c r="F13" i="6" s="1"/>
  <c r="F7" i="11"/>
  <c r="F8" i="11" s="1"/>
  <c r="F9" i="11" s="1"/>
  <c r="F7" i="9"/>
  <c r="F7" i="10"/>
  <c r="F8" i="10" s="1"/>
  <c r="F17" i="6"/>
  <c r="F7" i="7"/>
  <c r="F8" i="7" s="1"/>
  <c r="F25" i="6"/>
  <c r="F22" i="6"/>
  <c r="F23" i="6" s="1"/>
  <c r="F31" i="6"/>
  <c r="F32" i="6" s="1"/>
  <c r="F33" i="6" s="1"/>
  <c r="F26" i="6"/>
  <c r="C7" i="10"/>
  <c r="C8" i="10" s="1"/>
  <c r="C7" i="11"/>
  <c r="C8" i="11" s="1"/>
  <c r="C9" i="11" s="1"/>
  <c r="C22" i="6"/>
  <c r="C23" i="6" s="1"/>
  <c r="C31" i="6"/>
  <c r="C32" i="6" s="1"/>
  <c r="C33" i="6" s="1"/>
  <c r="C7" i="8"/>
  <c r="C8" i="8" s="1"/>
  <c r="C7" i="7"/>
  <c r="C8" i="7" s="1"/>
  <c r="C12" i="6"/>
  <c r="C13" i="6" s="1"/>
  <c r="C17" i="6"/>
  <c r="C18" i="6" s="1"/>
  <c r="C10" i="10"/>
  <c r="C11" i="10" s="1"/>
  <c r="C25" i="6"/>
  <c r="C26" i="6" s="1"/>
  <c r="C7" i="9"/>
  <c r="C8" i="9" s="1"/>
  <c r="C7" i="6"/>
  <c r="C8" i="6" s="1"/>
  <c r="G6" i="7"/>
  <c r="G6" i="14"/>
  <c r="G6" i="45"/>
  <c r="G9" i="10"/>
  <c r="G24" i="6"/>
  <c r="G57" i="6"/>
  <c r="G46" i="6"/>
  <c r="G6" i="16"/>
  <c r="G6" i="6"/>
  <c r="G55" i="3"/>
  <c r="G5" i="45" s="1"/>
  <c r="G61" i="3"/>
  <c r="F27" i="6" l="1"/>
  <c r="F12" i="10"/>
  <c r="C12" i="10"/>
  <c r="D12" i="6"/>
  <c r="D13" i="6" s="1"/>
  <c r="D17" i="6"/>
  <c r="D7" i="7"/>
  <c r="D8" i="7" s="1"/>
  <c r="D7" i="10"/>
  <c r="D8" i="10" s="1"/>
  <c r="D25" i="6"/>
  <c r="D26" i="6" s="1"/>
  <c r="D22" i="6"/>
  <c r="D23" i="6" s="1"/>
  <c r="D7" i="11"/>
  <c r="D8" i="11" s="1"/>
  <c r="D9" i="11" s="1"/>
  <c r="D7" i="6"/>
  <c r="D8" i="6" s="1"/>
  <c r="D7" i="8"/>
  <c r="D8" i="8" s="1"/>
  <c r="D7" i="9"/>
  <c r="D10" i="10"/>
  <c r="D11" i="10" s="1"/>
  <c r="D31" i="6"/>
  <c r="D32" i="6" s="1"/>
  <c r="D33" i="6" s="1"/>
  <c r="D6" i="22"/>
  <c r="D8" i="22" s="1"/>
  <c r="D93" i="6"/>
  <c r="D95" i="6" s="1"/>
  <c r="D88" i="6"/>
  <c r="D90" i="6" s="1"/>
  <c r="D6" i="23"/>
  <c r="D8" i="23" s="1"/>
  <c r="D72" i="4"/>
  <c r="E70" i="4"/>
  <c r="G22" i="6"/>
  <c r="G23" i="6" s="1"/>
  <c r="G7" i="11"/>
  <c r="G8" i="11" s="1"/>
  <c r="G9" i="11" s="1"/>
  <c r="G12" i="6"/>
  <c r="G13" i="6" s="1"/>
  <c r="G7" i="8"/>
  <c r="G8" i="8" s="1"/>
  <c r="G7" i="6"/>
  <c r="G8" i="6" s="1"/>
  <c r="G17" i="6"/>
  <c r="G7" i="7"/>
  <c r="G8" i="7" s="1"/>
  <c r="G7" i="10"/>
  <c r="G8" i="10" s="1"/>
  <c r="G7" i="9"/>
  <c r="G31" i="6"/>
  <c r="G32" i="6" s="1"/>
  <c r="G33" i="6" s="1"/>
  <c r="G10" i="10"/>
  <c r="G11" i="10" s="1"/>
  <c r="G25" i="6"/>
  <c r="G26" i="6" s="1"/>
  <c r="C27" i="6"/>
  <c r="D5" i="45"/>
  <c r="D8" i="46"/>
  <c r="D11" i="4"/>
  <c r="D39" i="46"/>
  <c r="D40" i="46" s="1"/>
  <c r="E38" i="46"/>
  <c r="G27" i="6" l="1"/>
  <c r="E11" i="4"/>
  <c r="D13" i="4"/>
  <c r="G12" i="10"/>
  <c r="E93" i="6"/>
  <c r="E95" i="6" s="1"/>
  <c r="E6" i="22"/>
  <c r="E8" i="22" s="1"/>
  <c r="F70" i="4"/>
  <c r="E6" i="23"/>
  <c r="E8" i="23" s="1"/>
  <c r="E72" i="4"/>
  <c r="E88" i="6"/>
  <c r="E90" i="6" s="1"/>
  <c r="D27" i="6"/>
  <c r="D9" i="46"/>
  <c r="D21" i="46" s="1"/>
  <c r="E8" i="46"/>
  <c r="D72" i="6"/>
  <c r="D75" i="6" s="1"/>
  <c r="D6" i="19"/>
  <c r="D9" i="19" s="1"/>
  <c r="D67" i="6"/>
  <c r="D69" i="6" s="1"/>
  <c r="D74" i="4"/>
  <c r="D5" i="36"/>
  <c r="D6" i="43"/>
  <c r="D6" i="18"/>
  <c r="D8" i="18" s="1"/>
  <c r="F38" i="46"/>
  <c r="E39" i="46"/>
  <c r="E40" i="46" s="1"/>
  <c r="D12" i="10"/>
  <c r="F39" i="46" l="1"/>
  <c r="F40" i="46" s="1"/>
  <c r="G38" i="46"/>
  <c r="G39" i="46" s="1"/>
  <c r="G40" i="46" s="1"/>
  <c r="D57" i="4"/>
  <c r="D10" i="4"/>
  <c r="D6" i="4"/>
  <c r="D67" i="4"/>
  <c r="D20" i="4"/>
  <c r="D75" i="4"/>
  <c r="D26" i="4"/>
  <c r="D30" i="4"/>
  <c r="D51" i="4"/>
  <c r="D63" i="4"/>
  <c r="D24" i="4"/>
  <c r="D69" i="4"/>
  <c r="D71" i="4"/>
  <c r="D34" i="4"/>
  <c r="D47" i="4"/>
  <c r="D41" i="4"/>
  <c r="D7" i="24"/>
  <c r="D8" i="24" s="1"/>
  <c r="D65" i="4"/>
  <c r="D18" i="4"/>
  <c r="D7" i="14"/>
  <c r="D8" i="14" s="1"/>
  <c r="D47" i="6"/>
  <c r="D48" i="6" s="1"/>
  <c r="D36" i="4"/>
  <c r="D49" i="4"/>
  <c r="D5" i="42"/>
  <c r="D99" i="6"/>
  <c r="D100" i="6" s="1"/>
  <c r="D8" i="4"/>
  <c r="D53" i="4"/>
  <c r="D32" i="4"/>
  <c r="D28" i="4"/>
  <c r="D22" i="4"/>
  <c r="D45" i="4"/>
  <c r="D12" i="4"/>
  <c r="D73" i="4"/>
  <c r="D43" i="4"/>
  <c r="D55" i="4"/>
  <c r="D16" i="4"/>
  <c r="D61" i="4"/>
  <c r="D59" i="4"/>
  <c r="D5" i="43"/>
  <c r="E9" i="46"/>
  <c r="E21" i="46" s="1"/>
  <c r="F8" i="46"/>
  <c r="E6" i="19"/>
  <c r="E9" i="19" s="1"/>
  <c r="E72" i="6"/>
  <c r="E75" i="6" s="1"/>
  <c r="E74" i="4"/>
  <c r="E6" i="18"/>
  <c r="E8" i="18" s="1"/>
  <c r="E5" i="36"/>
  <c r="E67" i="6"/>
  <c r="E69" i="6" s="1"/>
  <c r="E6" i="43"/>
  <c r="F6" i="23"/>
  <c r="F8" i="23" s="1"/>
  <c r="F6" i="22"/>
  <c r="F8" i="22" s="1"/>
  <c r="G70" i="4"/>
  <c r="F72" i="4"/>
  <c r="F93" i="6"/>
  <c r="F95" i="6" s="1"/>
  <c r="F88" i="6"/>
  <c r="F90" i="6" s="1"/>
  <c r="D7" i="16"/>
  <c r="D8" i="16" s="1"/>
  <c r="D6" i="9"/>
  <c r="D8" i="9" s="1"/>
  <c r="D37" i="4"/>
  <c r="D53" i="6"/>
  <c r="D5" i="34"/>
  <c r="D14" i="4"/>
  <c r="D7" i="17"/>
  <c r="D8" i="17" s="1"/>
  <c r="D16" i="6"/>
  <c r="D18" i="6" s="1"/>
  <c r="D8" i="15"/>
  <c r="D58" i="6"/>
  <c r="D59" i="6" s="1"/>
  <c r="D63" i="6"/>
  <c r="D64" i="6" s="1"/>
  <c r="E13" i="4"/>
  <c r="F11" i="4"/>
  <c r="E7" i="17" l="1"/>
  <c r="E8" i="17" s="1"/>
  <c r="E6" i="9"/>
  <c r="E8" i="9" s="1"/>
  <c r="E14" i="4"/>
  <c r="E5" i="34"/>
  <c r="E37" i="4"/>
  <c r="E63" i="6"/>
  <c r="E64" i="6" s="1"/>
  <c r="E16" i="6"/>
  <c r="E18" i="6" s="1"/>
  <c r="E53" i="6"/>
  <c r="E58" i="6"/>
  <c r="E59" i="6" s="1"/>
  <c r="E7" i="16"/>
  <c r="E8" i="16" s="1"/>
  <c r="E8" i="15"/>
  <c r="D5" i="40"/>
  <c r="D38" i="4"/>
  <c r="D6" i="34"/>
  <c r="D5" i="41"/>
  <c r="F9" i="46"/>
  <c r="F21" i="46" s="1"/>
  <c r="G8" i="46"/>
  <c r="G9" i="46" s="1"/>
  <c r="G21" i="46" s="1"/>
  <c r="F74" i="4"/>
  <c r="F6" i="18"/>
  <c r="F8" i="18" s="1"/>
  <c r="F5" i="36"/>
  <c r="F67" i="6"/>
  <c r="F69" i="6" s="1"/>
  <c r="F6" i="19"/>
  <c r="F9" i="19" s="1"/>
  <c r="F72" i="6"/>
  <c r="F75" i="6" s="1"/>
  <c r="F6" i="43"/>
  <c r="E12" i="4"/>
  <c r="E36" i="4"/>
  <c r="E61" i="4"/>
  <c r="E16" i="4"/>
  <c r="E53" i="4"/>
  <c r="E8" i="4"/>
  <c r="E6" i="4"/>
  <c r="E45" i="4"/>
  <c r="E5" i="42"/>
  <c r="E24" i="4"/>
  <c r="E47" i="4"/>
  <c r="E20" i="4"/>
  <c r="E5" i="43"/>
  <c r="E63" i="4"/>
  <c r="E67" i="4"/>
  <c r="E18" i="4"/>
  <c r="E55" i="4"/>
  <c r="E59" i="4"/>
  <c r="E51" i="4"/>
  <c r="E43" i="4"/>
  <c r="E28" i="4"/>
  <c r="E73" i="4"/>
  <c r="E57" i="4"/>
  <c r="E30" i="4"/>
  <c r="E10" i="4"/>
  <c r="E22" i="4"/>
  <c r="E34" i="4"/>
  <c r="E65" i="4"/>
  <c r="E26" i="4"/>
  <c r="E69" i="4"/>
  <c r="E7" i="14"/>
  <c r="E8" i="14" s="1"/>
  <c r="E49" i="4"/>
  <c r="E71" i="4"/>
  <c r="E41" i="4"/>
  <c r="E7" i="24"/>
  <c r="E8" i="24" s="1"/>
  <c r="E75" i="4"/>
  <c r="E32" i="4"/>
  <c r="E99" i="6"/>
  <c r="E100" i="6" s="1"/>
  <c r="E47" i="6"/>
  <c r="E48" i="6" s="1"/>
  <c r="F13" i="4"/>
  <c r="G11" i="4"/>
  <c r="G13" i="4" s="1"/>
  <c r="G93" i="6"/>
  <c r="G95" i="6" s="1"/>
  <c r="G88" i="6"/>
  <c r="G90" i="6" s="1"/>
  <c r="G6" i="22"/>
  <c r="G8" i="22" s="1"/>
  <c r="G72" i="4"/>
  <c r="G6" i="23"/>
  <c r="G8" i="23" s="1"/>
  <c r="G37" i="4"/>
  <c r="G8" i="15"/>
  <c r="G63" i="6"/>
  <c r="G64" i="6" s="1"/>
  <c r="G58" i="6"/>
  <c r="G59" i="6" s="1"/>
  <c r="G7" i="17"/>
  <c r="G8" i="17" s="1"/>
  <c r="G53" i="6"/>
  <c r="G5" i="34"/>
  <c r="G6" i="9"/>
  <c r="G8" i="9" s="1"/>
  <c r="G16" i="6"/>
  <c r="G18" i="6" s="1"/>
  <c r="G7" i="16"/>
  <c r="G8" i="16" s="1"/>
  <c r="F7" i="16" l="1"/>
  <c r="F8" i="16" s="1"/>
  <c r="F5" i="34"/>
  <c r="F37" i="4"/>
  <c r="F6" i="9"/>
  <c r="F8" i="9" s="1"/>
  <c r="F14" i="4"/>
  <c r="F58" i="6"/>
  <c r="F59" i="6" s="1"/>
  <c r="F63" i="6"/>
  <c r="F64" i="6" s="1"/>
  <c r="F53" i="6"/>
  <c r="F8" i="15"/>
  <c r="F7" i="17"/>
  <c r="F8" i="17" s="1"/>
  <c r="F16" i="6"/>
  <c r="F18" i="6" s="1"/>
  <c r="F12" i="4"/>
  <c r="F22" i="4"/>
  <c r="F28" i="4"/>
  <c r="F5" i="42"/>
  <c r="F7" i="14"/>
  <c r="F8" i="14" s="1"/>
  <c r="F20" i="4"/>
  <c r="F18" i="4"/>
  <c r="F73" i="4"/>
  <c r="F47" i="6"/>
  <c r="F48" i="6" s="1"/>
  <c r="F36" i="4"/>
  <c r="F51" i="4"/>
  <c r="F53" i="4"/>
  <c r="F57" i="4"/>
  <c r="F6" i="4"/>
  <c r="F75" i="4"/>
  <c r="F43" i="4"/>
  <c r="F55" i="4"/>
  <c r="F30" i="4"/>
  <c r="F67" i="4"/>
  <c r="F5" i="43"/>
  <c r="F59" i="4"/>
  <c r="F71" i="4"/>
  <c r="F63" i="4"/>
  <c r="F65" i="4"/>
  <c r="F49" i="4"/>
  <c r="F41" i="4"/>
  <c r="F7" i="24"/>
  <c r="F8" i="24" s="1"/>
  <c r="F34" i="4"/>
  <c r="F10" i="4"/>
  <c r="F8" i="4"/>
  <c r="F61" i="4"/>
  <c r="F47" i="4"/>
  <c r="F32" i="4"/>
  <c r="F99" i="6"/>
  <c r="F100" i="6" s="1"/>
  <c r="F24" i="4"/>
  <c r="F45" i="4"/>
  <c r="F16" i="4"/>
  <c r="F69" i="4"/>
  <c r="F26" i="4"/>
  <c r="G5" i="36"/>
  <c r="G74" i="4"/>
  <c r="G67" i="6"/>
  <c r="G69" i="6" s="1"/>
  <c r="G6" i="43"/>
  <c r="G6" i="18"/>
  <c r="G8" i="18" s="1"/>
  <c r="G72" i="6"/>
  <c r="G75" i="6" s="1"/>
  <c r="G6" i="19"/>
  <c r="G9" i="19" s="1"/>
  <c r="E38" i="4"/>
  <c r="E6" i="34"/>
  <c r="E5" i="40"/>
  <c r="E5" i="41"/>
  <c r="G6" i="34"/>
  <c r="G5" i="41"/>
  <c r="G38" i="4"/>
  <c r="G5" i="40"/>
  <c r="G12" i="4" l="1"/>
  <c r="G47" i="4"/>
  <c r="G51" i="4"/>
  <c r="G7" i="14"/>
  <c r="G8" i="14" s="1"/>
  <c r="G24" i="4"/>
  <c r="G45" i="4"/>
  <c r="G49" i="4"/>
  <c r="G69" i="4"/>
  <c r="G47" i="6"/>
  <c r="G48" i="6" s="1"/>
  <c r="G26" i="4"/>
  <c r="G65" i="4"/>
  <c r="G18" i="4"/>
  <c r="G75" i="4"/>
  <c r="G10" i="4"/>
  <c r="G7" i="24"/>
  <c r="G8" i="24" s="1"/>
  <c r="G16" i="4"/>
  <c r="G36" i="4"/>
  <c r="G41" i="4"/>
  <c r="G61" i="4"/>
  <c r="G14" i="4"/>
  <c r="G73" i="4"/>
  <c r="G32" i="4"/>
  <c r="G53" i="4"/>
  <c r="G22" i="4"/>
  <c r="G43" i="4"/>
  <c r="G63" i="4"/>
  <c r="G67" i="4"/>
  <c r="G5" i="43"/>
  <c r="G8" i="4"/>
  <c r="G28" i="4"/>
  <c r="G71" i="4"/>
  <c r="G99" i="6"/>
  <c r="G100" i="6" s="1"/>
  <c r="G20" i="4"/>
  <c r="G57" i="4"/>
  <c r="G5" i="42"/>
  <c r="G6" i="4"/>
  <c r="G34" i="4"/>
  <c r="G55" i="4"/>
  <c r="G59" i="4"/>
  <c r="G30" i="4"/>
  <c r="F5" i="40"/>
  <c r="F5" i="41"/>
  <c r="F38" i="4"/>
  <c r="F6" i="34"/>
</calcChain>
</file>

<file path=xl/sharedStrings.xml><?xml version="1.0" encoding="utf-8"?>
<sst xmlns="http://schemas.openxmlformats.org/spreadsheetml/2006/main" count="720" uniqueCount="288">
  <si>
    <t>Balance Sheet of NMDC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</si>
  <si>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</si>
  <si>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</si>
  <si>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</si>
  <si>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</si>
  <si>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</si>
  <si>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</si>
  <si>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</si>
  <si>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</si>
  <si>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</si>
  <si>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</si>
  <si>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</si>
  <si>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</si>
  <si>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</si>
  <si>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</si>
  <si>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</si>
  <si>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</si>
  <si>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</si>
  <si>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</si>
  <si>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</si>
  <si>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</si>
  <si>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</si>
  <si>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</si>
  <si>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</si>
  <si>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</si>
  <si>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</si>
  <si>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</si>
  <si>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</si>
  <si>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</si>
  <si>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</si>
  <si>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</si>
  <si>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</si>
  <si>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</si>
  <si>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</si>
  <si>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</si>
  <si>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</si>
  <si>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</si>
  <si>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</si>
  <si>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</si>
  <si>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</si>
  <si>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</si>
  <si>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</si>
  <si>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</si>
  <si>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</si>
  <si>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</si>
  <si>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</si>
  <si>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</si>
  <si>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</si>
  <si>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</si>
  <si>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</si>
  <si>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</si>
  <si>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</si>
  <si>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</si>
  <si>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</si>
  <si>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</si>
  <si>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NMDC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</si>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</sst>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0" fontId="1" fillId="8" borderId="0" xfId="0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2" fillId="8" borderId="0" xfId="0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4" fontId="1" fillId="8" borderId="0" xfId="0" applyNumberFormat="1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39F-4988-88F2-FACF29E0D01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39F-4988-88F2-FACF29E0D01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39F-4988-88F2-FACF29E0D0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12</c:v>
                </c:pt>
                <c:pt idx="1">
                  <c:v>15</c:v>
                </c:pt>
                <c:pt idx="2">
                  <c:v>12</c:v>
                </c:pt>
                <c:pt idx="3">
                  <c:v>21</c:v>
                </c:pt>
                <c:pt idx="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39F-4988-88F2-FACF29E0D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559232"/>
        <c:axId val="450556280"/>
      </c:lineChart>
      <c:catAx>
        <c:axId val="45055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56280"/>
        <c:crosses val="autoZero"/>
        <c:auto val="0"/>
        <c:lblAlgn val="ctr"/>
        <c:lblOffset val="100"/>
        <c:noMultiLvlLbl val="0"/>
      </c:catAx>
      <c:valAx>
        <c:axId val="450556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5592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359-4A24-971F-D517B2D6A61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359-4A24-971F-D517B2D6A61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359-4A24-971F-D517B2D6A61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0.08</c:v>
                </c:pt>
                <c:pt idx="1">
                  <c:v>0.08</c:v>
                </c:pt>
                <c:pt idx="2">
                  <c:v>0.06</c:v>
                </c:pt>
                <c:pt idx="3">
                  <c:v>0.09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359-4A24-971F-D517B2D6A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17808"/>
        <c:axId val="560416496"/>
      </c:lineChart>
      <c:catAx>
        <c:axId val="56041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6496"/>
        <c:crosses val="autoZero"/>
        <c:auto val="0"/>
        <c:lblAlgn val="ctr"/>
        <c:lblOffset val="100"/>
        <c:noMultiLvlLbl val="0"/>
      </c:catAx>
      <c:valAx>
        <c:axId val="560416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604178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658-40E1-85E3-79EFABBB668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658-40E1-85E3-79EFABBB668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658-40E1-85E3-79EFABBB66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0.02</c:v>
                </c:pt>
                <c:pt idx="1">
                  <c:v>0.01</c:v>
                </c:pt>
                <c:pt idx="2">
                  <c:v>0.02</c:v>
                </c:pt>
                <c:pt idx="3">
                  <c:v>0.06</c:v>
                </c:pt>
                <c:pt idx="4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58-40E1-85E3-79EFABBB6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4608"/>
        <c:axId val="553593624"/>
      </c:lineChart>
      <c:catAx>
        <c:axId val="55359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624"/>
        <c:crosses val="autoZero"/>
        <c:auto val="0"/>
        <c:lblAlgn val="ctr"/>
        <c:lblOffset val="100"/>
        <c:noMultiLvlLbl val="0"/>
      </c:catAx>
      <c:valAx>
        <c:axId val="553593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4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74C-49C8-91E4-C193FC21D65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74C-49C8-91E4-C193FC21D65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74C-49C8-91E4-C193FC21D65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3.2</c:v>
                </c:pt>
                <c:pt idx="1">
                  <c:v>3.74</c:v>
                </c:pt>
                <c:pt idx="2">
                  <c:v>4.13</c:v>
                </c:pt>
                <c:pt idx="3">
                  <c:v>3.64</c:v>
                </c:pt>
                <c:pt idx="4">
                  <c:v>4.33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74C-49C8-91E4-C193FC21D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2024"/>
        <c:axId val="548324120"/>
      </c:lineChart>
      <c:catAx>
        <c:axId val="5495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120"/>
        <c:crosses val="autoZero"/>
        <c:auto val="0"/>
        <c:lblAlgn val="ctr"/>
        <c:lblOffset val="100"/>
        <c:noMultiLvlLbl val="0"/>
      </c:catAx>
      <c:valAx>
        <c:axId val="548324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2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91F-4266-982A-5C65A5FEBBB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91F-4266-982A-5C65A5FEBBB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D91F-4266-982A-5C65A5FEBB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3.04</c:v>
                </c:pt>
                <c:pt idx="1">
                  <c:v>3.54</c:v>
                </c:pt>
                <c:pt idx="2">
                  <c:v>3.89</c:v>
                </c:pt>
                <c:pt idx="3">
                  <c:v>3.46</c:v>
                </c:pt>
                <c:pt idx="4">
                  <c:v>3.99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1F-4266-982A-5C65A5FEB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3464"/>
        <c:axId val="446640840"/>
      </c:lineChart>
      <c:catAx>
        <c:axId val="446643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40840"/>
        <c:crosses val="autoZero"/>
        <c:auto val="0"/>
        <c:lblAlgn val="ctr"/>
        <c:lblOffset val="100"/>
        <c:noMultiLvlLbl val="0"/>
      </c:catAx>
      <c:valAx>
        <c:axId val="446640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43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EF8-4556-9BFD-3764D88F620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EF8-4556-9BFD-3764D88F62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162.57</c:v>
                </c:pt>
                <c:pt idx="1">
                  <c:v>177.47</c:v>
                </c:pt>
                <c:pt idx="2">
                  <c:v>624.30999999999995</c:v>
                </c:pt>
                <c:pt idx="3">
                  <c:v>520.61</c:v>
                </c:pt>
                <c:pt idx="4">
                  <c:v>302.45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EF8-4556-9BFD-3764D88F6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17480"/>
        <c:axId val="560418464"/>
      </c:lineChart>
      <c:catAx>
        <c:axId val="560417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8464"/>
        <c:crosses val="autoZero"/>
        <c:auto val="0"/>
        <c:lblAlgn val="ctr"/>
        <c:lblOffset val="100"/>
        <c:noMultiLvlLbl val="0"/>
      </c:catAx>
      <c:valAx>
        <c:axId val="560418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4174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C56-4EAD-9F62-426541B3223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C56-4EAD-9F62-426541B322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0.03</c:v>
                </c:pt>
                <c:pt idx="1">
                  <c:v>0.04</c:v>
                </c:pt>
                <c:pt idx="2">
                  <c:v>0.03</c:v>
                </c:pt>
                <c:pt idx="3">
                  <c:v>0.03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C56-4EAD-9F62-426541B32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529528"/>
        <c:axId val="441530512"/>
      </c:lineChart>
      <c:catAx>
        <c:axId val="441529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530512"/>
        <c:crosses val="autoZero"/>
        <c:auto val="0"/>
        <c:lblAlgn val="ctr"/>
        <c:lblOffset val="100"/>
        <c:noMultiLvlLbl val="0"/>
      </c:catAx>
      <c:valAx>
        <c:axId val="441530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5295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8C5-4152-BE78-F86EF1FB0AE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8C5-4152-BE78-F86EF1FB0A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5151.87</c:v>
                </c:pt>
                <c:pt idx="1">
                  <c:v>5030.3100000000004</c:v>
                </c:pt>
                <c:pt idx="2">
                  <c:v>3689.97</c:v>
                </c:pt>
                <c:pt idx="3">
                  <c:v>8229.48</c:v>
                </c:pt>
                <c:pt idx="4">
                  <c:v>50140.81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C5-4152-BE78-F86EF1FB0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14856"/>
        <c:axId val="449042480"/>
      </c:lineChart>
      <c:catAx>
        <c:axId val="560414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042480"/>
        <c:crosses val="autoZero"/>
        <c:auto val="0"/>
        <c:lblAlgn val="ctr"/>
        <c:lblOffset val="100"/>
        <c:noMultiLvlLbl val="0"/>
      </c:catAx>
      <c:valAx>
        <c:axId val="449042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414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2C9-4BA1-BE43-946EC64AD8C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2C9-4BA1-BE43-946EC64AD8C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2C9-4BA1-BE43-946EC64AD8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5460.98</c:v>
                </c:pt>
                <c:pt idx="1">
                  <c:v>5876.78</c:v>
                </c:pt>
                <c:pt idx="2">
                  <c:v>3986.78</c:v>
                </c:pt>
                <c:pt idx="3">
                  <c:v>9249.49</c:v>
                </c:pt>
                <c:pt idx="4">
                  <c:v>14691.94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C9-4BA1-BE43-946EC64AD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0184"/>
        <c:axId val="446640512"/>
      </c:lineChart>
      <c:catAx>
        <c:axId val="446640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40512"/>
        <c:crosses val="autoZero"/>
        <c:auto val="0"/>
        <c:lblAlgn val="ctr"/>
        <c:lblOffset val="100"/>
        <c:noMultiLvlLbl val="0"/>
      </c:catAx>
      <c:valAx>
        <c:axId val="446640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401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80D-4DA2-835C-96F761B56D2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80D-4DA2-835C-96F761B56D2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0.4</c:v>
                </c:pt>
                <c:pt idx="1">
                  <c:v>0.39</c:v>
                </c:pt>
                <c:pt idx="2">
                  <c:v>0.36</c:v>
                </c:pt>
                <c:pt idx="3">
                  <c:v>0.39</c:v>
                </c:pt>
                <c:pt idx="4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0D-4DA2-835C-96F761B56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49184"/>
        <c:axId val="622849512"/>
      </c:lineChart>
      <c:catAx>
        <c:axId val="62284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49512"/>
        <c:crosses val="autoZero"/>
        <c:auto val="0"/>
        <c:lblAlgn val="ctr"/>
        <c:lblOffset val="100"/>
        <c:noMultiLvlLbl val="0"/>
      </c:catAx>
      <c:valAx>
        <c:axId val="622849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28491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D92-4988-A1BD-E937A936DC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20.32</c:v>
                </c:pt>
                <c:pt idx="1">
                  <c:v>18.239999999999998</c:v>
                </c:pt>
                <c:pt idx="2">
                  <c:v>16.170000000000002</c:v>
                </c:pt>
                <c:pt idx="3">
                  <c:v>16.68</c:v>
                </c:pt>
                <c:pt idx="4">
                  <c:v>11.96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92-4988-A1BD-E937A936D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4040"/>
        <c:axId val="451266336"/>
      </c:lineChart>
      <c:catAx>
        <c:axId val="45126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6336"/>
        <c:crosses val="autoZero"/>
        <c:auto val="0"/>
        <c:lblAlgn val="ctr"/>
        <c:lblOffset val="100"/>
        <c:noMultiLvlLbl val="0"/>
      </c:catAx>
      <c:valAx>
        <c:axId val="451266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2640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177-4CAC-8320-72397250B8A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177-4CAC-8320-72397250B8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5.34</c:v>
                </c:pt>
                <c:pt idx="1">
                  <c:v>5.56</c:v>
                </c:pt>
                <c:pt idx="2">
                  <c:v>5.48</c:v>
                </c:pt>
                <c:pt idx="3">
                  <c:v>7.85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177-4CAC-8320-72397250B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561856"/>
        <c:axId val="450562184"/>
      </c:lineChart>
      <c:catAx>
        <c:axId val="45056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62184"/>
        <c:crosses val="autoZero"/>
        <c:auto val="0"/>
        <c:lblAlgn val="ctr"/>
        <c:lblOffset val="100"/>
        <c:noMultiLvlLbl val="0"/>
      </c:catAx>
      <c:valAx>
        <c:axId val="450562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561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8CC-4238-A2EC-16A8CA104D71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8CC-4238-A2EC-16A8CA104D7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8CC-4238-A2EC-16A8CA104D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7.89</c:v>
                </c:pt>
                <c:pt idx="1">
                  <c:v>8.5299999999999994</c:v>
                </c:pt>
                <c:pt idx="2">
                  <c:v>5.26</c:v>
                </c:pt>
                <c:pt idx="3">
                  <c:v>7.18</c:v>
                </c:pt>
                <c:pt idx="4">
                  <c:v>8.76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C-4238-A2EC-16A8CA104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5272"/>
        <c:axId val="446755600"/>
      </c:lineChart>
      <c:catAx>
        <c:axId val="44675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5600"/>
        <c:crosses val="autoZero"/>
        <c:auto val="0"/>
        <c:lblAlgn val="ctr"/>
        <c:lblOffset val="100"/>
        <c:noMultiLvlLbl val="0"/>
      </c:catAx>
      <c:valAx>
        <c:axId val="446755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52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5EC-49D2-92F1-CBC4BD85477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5EC-49D2-92F1-CBC4BD85477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3.69</c:v>
                </c:pt>
                <c:pt idx="1">
                  <c:v>3.8</c:v>
                </c:pt>
                <c:pt idx="2">
                  <c:v>3.59</c:v>
                </c:pt>
                <c:pt idx="3">
                  <c:v>4.63</c:v>
                </c:pt>
                <c:pt idx="4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EC-49D2-92F1-CBC4BD854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1664"/>
        <c:axId val="446752648"/>
      </c:lineChart>
      <c:catAx>
        <c:axId val="44675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2648"/>
        <c:crosses val="autoZero"/>
        <c:auto val="0"/>
        <c:lblAlgn val="ctr"/>
        <c:lblOffset val="100"/>
        <c:noMultiLvlLbl val="0"/>
      </c:catAx>
      <c:valAx>
        <c:axId val="446752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16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ED2-4E01-8FD7-3677BBB592C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ED2-4E01-8FD7-3677BBB59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0.1</c:v>
                </c:pt>
                <c:pt idx="1">
                  <c:v>0.12</c:v>
                </c:pt>
                <c:pt idx="2">
                  <c:v>0.13</c:v>
                </c:pt>
                <c:pt idx="3">
                  <c:v>0.08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D2-4E01-8FD7-3677BBB59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8864"/>
        <c:axId val="553649192"/>
      </c:lineChart>
      <c:catAx>
        <c:axId val="5536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9192"/>
        <c:crosses val="autoZero"/>
        <c:auto val="0"/>
        <c:lblAlgn val="ctr"/>
        <c:lblOffset val="100"/>
        <c:noMultiLvlLbl val="0"/>
      </c:catAx>
      <c:valAx>
        <c:axId val="553649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8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7F4-4C44-87D5-EF2A5016E47B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7F4-4C44-87D5-EF2A5016E47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7F4-4C44-87D5-EF2A5016E4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17.97</c:v>
                </c:pt>
                <c:pt idx="1">
                  <c:v>20.010000000000002</c:v>
                </c:pt>
                <c:pt idx="2">
                  <c:v>22.57</c:v>
                </c:pt>
                <c:pt idx="3">
                  <c:v>21.89</c:v>
                </c:pt>
                <c:pt idx="4">
                  <c:v>30.53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F4-4C44-87D5-EF2A5016E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240"/>
        <c:axId val="553817864"/>
      </c:lineChart>
      <c:catAx>
        <c:axId val="55381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7864"/>
        <c:crosses val="autoZero"/>
        <c:auto val="0"/>
        <c:lblAlgn val="ctr"/>
        <c:lblOffset val="100"/>
        <c:noMultiLvlLbl val="0"/>
      </c:catAx>
      <c:valAx>
        <c:axId val="553817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2EC-4BFB-93A0-084E780F7C7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2EC-4BFB-93A0-084E780F7C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3546.16</c:v>
                </c:pt>
                <c:pt idx="1">
                  <c:v>2969.5</c:v>
                </c:pt>
                <c:pt idx="2">
                  <c:v>2820.84</c:v>
                </c:pt>
                <c:pt idx="3">
                  <c:v>4482.1899999999996</c:v>
                </c:pt>
                <c:pt idx="4">
                  <c:v>21706.94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EC-4BFB-93A0-084E780F7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299328"/>
        <c:axId val="554300312"/>
      </c:lineChart>
      <c:catAx>
        <c:axId val="55429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00312"/>
        <c:crosses val="autoZero"/>
        <c:auto val="0"/>
        <c:lblAlgn val="ctr"/>
        <c:lblOffset val="100"/>
        <c:noMultiLvlLbl val="0"/>
      </c:catAx>
      <c:valAx>
        <c:axId val="554300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42993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5EC-4DAE-86A7-A64AB535A3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46.28</c:v>
                </c:pt>
                <c:pt idx="1">
                  <c:v>42.79</c:v>
                </c:pt>
                <c:pt idx="2">
                  <c:v>69.38</c:v>
                </c:pt>
                <c:pt idx="3">
                  <c:v>50.82</c:v>
                </c:pt>
                <c:pt idx="4">
                  <c:v>41.66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EC-4DAE-86A7-A64AB535A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296048"/>
        <c:axId val="554296376"/>
      </c:lineChart>
      <c:catAx>
        <c:axId val="55429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296376"/>
        <c:crosses val="autoZero"/>
        <c:auto val="0"/>
        <c:lblAlgn val="ctr"/>
        <c:lblOffset val="100"/>
        <c:noMultiLvlLbl val="0"/>
      </c:catAx>
      <c:valAx>
        <c:axId val="554296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4296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31B-4FE9-811E-99FBF073D09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31B-4FE9-811E-99FBF073D0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3564.13</c:v>
                </c:pt>
                <c:pt idx="1">
                  <c:v>2989.51</c:v>
                </c:pt>
                <c:pt idx="2">
                  <c:v>2843.41</c:v>
                </c:pt>
                <c:pt idx="3">
                  <c:v>4504.08</c:v>
                </c:pt>
                <c:pt idx="4">
                  <c:v>21737.47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1B-4FE9-811E-99FBF073D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298672"/>
        <c:axId val="554299984"/>
      </c:lineChart>
      <c:catAx>
        <c:axId val="55429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299984"/>
        <c:crosses val="autoZero"/>
        <c:auto val="0"/>
        <c:lblAlgn val="ctr"/>
        <c:lblOffset val="100"/>
        <c:noMultiLvlLbl val="0"/>
      </c:catAx>
      <c:valAx>
        <c:axId val="55429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42986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CB6-4FC6-A613-160485F3D9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-17.97</c:v>
                </c:pt>
                <c:pt idx="1">
                  <c:v>-20.010000000000002</c:v>
                </c:pt>
                <c:pt idx="2">
                  <c:v>-22.57</c:v>
                </c:pt>
                <c:pt idx="3">
                  <c:v>-21.89</c:v>
                </c:pt>
                <c:pt idx="4">
                  <c:v>-30.53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B6-4FC6-A613-160485F3D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943304"/>
        <c:axId val="440939696"/>
      </c:lineChart>
      <c:catAx>
        <c:axId val="440943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939696"/>
        <c:crosses val="autoZero"/>
        <c:auto val="0"/>
        <c:lblAlgn val="ctr"/>
        <c:lblOffset val="100"/>
        <c:noMultiLvlLbl val="0"/>
      </c:catAx>
      <c:valAx>
        <c:axId val="440939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0943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24417.41</c:v>
                </c:pt>
                <c:pt idx="1">
                  <c:v>26928.458465497875</c:v>
                </c:pt>
                <c:pt idx="2">
                  <c:v>28524.89243243805</c:v>
                </c:pt>
                <c:pt idx="3">
                  <c:v>32323.89530809558</c:v>
                </c:pt>
                <c:pt idx="4">
                  <c:v>40516.413069763752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60-41EB-B5C4-6A1581498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940680"/>
        <c:axId val="440942976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28691.32</c:v>
                </c:pt>
                <c:pt idx="1">
                  <c:v>30775.688465497875</c:v>
                </c:pt>
                <c:pt idx="2">
                  <c:v>32146.252432438047</c:v>
                </c:pt>
                <c:pt idx="3">
                  <c:v>39369.645308095576</c:v>
                </c:pt>
                <c:pt idx="4">
                  <c:v>50381.08306976375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60-41EB-B5C4-6A1581498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940680"/>
        <c:axId val="440942976"/>
      </c:lineChart>
      <c:catAx>
        <c:axId val="44094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942976"/>
        <c:crosses val="autoZero"/>
        <c:auto val="1"/>
        <c:lblAlgn val="ctr"/>
        <c:lblOffset val="100"/>
        <c:noMultiLvlLbl val="0"/>
      </c:catAx>
      <c:valAx>
        <c:axId val="440942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9406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6287.8250492803181</c:v>
                </c:pt>
                <c:pt idx="1">
                  <c:v>7434.6884654978767</c:v>
                </c:pt>
                <c:pt idx="2">
                  <c:v>6463.0639669401726</c:v>
                </c:pt>
                <c:pt idx="3">
                  <c:v>8980.0728756575299</c:v>
                </c:pt>
                <c:pt idx="4">
                  <c:v>12101.567761668173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57-4C79-88E3-385D19022F40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6031.195049280318</c:v>
                </c:pt>
                <c:pt idx="1">
                  <c:v>7155.6484654978767</c:v>
                </c:pt>
                <c:pt idx="2">
                  <c:v>6168.1339669401723</c:v>
                </c:pt>
                <c:pt idx="3">
                  <c:v>8751.5328756575291</c:v>
                </c:pt>
                <c:pt idx="4">
                  <c:v>11813.827761668173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57-4C79-88E3-385D19022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938712"/>
        <c:axId val="450567760"/>
      </c:barChart>
      <c:catAx>
        <c:axId val="44093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67760"/>
        <c:crosses val="autoZero"/>
        <c:auto val="1"/>
        <c:lblAlgn val="ctr"/>
        <c:lblOffset val="100"/>
        <c:noMultiLvlLbl val="0"/>
      </c:catAx>
      <c:valAx>
        <c:axId val="450567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9387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D69-49CA-9753-6DE7769016A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D69-49CA-9753-6DE7769016A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D69-49CA-9753-6DE7769016A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D69-49CA-9753-6DE7769016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77.819999999999993</c:v>
                </c:pt>
                <c:pt idx="1">
                  <c:v>88.6</c:v>
                </c:pt>
                <c:pt idx="2">
                  <c:v>96.45</c:v>
                </c:pt>
                <c:pt idx="3">
                  <c:v>111.53</c:v>
                </c:pt>
                <c:pt idx="4">
                  <c:v>158.26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D69-49CA-9753-6DE776901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568744"/>
        <c:axId val="450569400"/>
      </c:lineChart>
      <c:catAx>
        <c:axId val="450568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69400"/>
        <c:crosses val="autoZero"/>
        <c:auto val="0"/>
        <c:lblAlgn val="ctr"/>
        <c:lblOffset val="100"/>
        <c:noMultiLvlLbl val="0"/>
      </c:catAx>
      <c:valAx>
        <c:axId val="45056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5687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12016.32</c:v>
                </c:pt>
                <c:pt idx="1">
                  <c:v>12958.438465497875</c:v>
                </c:pt>
                <c:pt idx="2">
                  <c:v>12594.292432438049</c:v>
                </c:pt>
                <c:pt idx="3">
                  <c:v>18351.225308095578</c:v>
                </c:pt>
                <c:pt idx="4">
                  <c:v>27546.003069763748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6C-4503-A78E-0528D242E56E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3758.93</c:v>
                </c:pt>
                <c:pt idx="1">
                  <c:v>3469.1899999999996</c:v>
                </c:pt>
                <c:pt idx="2">
                  <c:v>3047.74</c:v>
                </c:pt>
                <c:pt idx="3">
                  <c:v>5037.74</c:v>
                </c:pt>
                <c:pt idx="4">
                  <c:v>6360.43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6C-4503-A78E-0528D242E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071176"/>
        <c:axId val="627073800"/>
      </c:barChart>
      <c:catAx>
        <c:axId val="62707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073800"/>
        <c:crosses val="autoZero"/>
        <c:auto val="1"/>
        <c:lblAlgn val="ctr"/>
        <c:lblOffset val="100"/>
        <c:noMultiLvlLbl val="0"/>
      </c:catAx>
      <c:valAx>
        <c:axId val="627073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0711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714.12</c:v>
                </c:pt>
                <c:pt idx="1">
                  <c:v>768.52</c:v>
                </c:pt>
                <c:pt idx="2">
                  <c:v>827.96</c:v>
                </c:pt>
                <c:pt idx="3">
                  <c:v>945.41</c:v>
                </c:pt>
                <c:pt idx="4">
                  <c:v>1092.46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06-44B8-B178-3AB09362F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197376"/>
        <c:axId val="45019770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27.61</c:v>
                </c:pt>
                <c:pt idx="1">
                  <c:v>41.45</c:v>
                </c:pt>
                <c:pt idx="2">
                  <c:v>222.78</c:v>
                </c:pt>
                <c:pt idx="3">
                  <c:v>98.56</c:v>
                </c:pt>
                <c:pt idx="4">
                  <c:v>15.13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06-44B8-B178-3AB09362F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948728"/>
        <c:axId val="546949384"/>
      </c:lineChart>
      <c:catAx>
        <c:axId val="45019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0197704"/>
        <c:crosses val="autoZero"/>
        <c:auto val="1"/>
        <c:lblAlgn val="ctr"/>
        <c:lblOffset val="100"/>
        <c:noMultiLvlLbl val="0"/>
      </c:catAx>
      <c:valAx>
        <c:axId val="450197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97376"/>
        <c:crosses val="autoZero"/>
        <c:crossBetween val="between"/>
      </c:valAx>
      <c:valAx>
        <c:axId val="54694938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6948728"/>
        <c:crosses val="max"/>
        <c:crossBetween val="between"/>
      </c:valAx>
      <c:catAx>
        <c:axId val="546948728"/>
        <c:scaling>
          <c:orientation val="minMax"/>
        </c:scaling>
        <c:delete val="1"/>
        <c:axPos val="b"/>
        <c:majorTickMark val="out"/>
        <c:minorTickMark val="none"/>
        <c:tickLblPos val="nextTo"/>
        <c:crossAx val="54694938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386.9</c:v>
                </c:pt>
                <c:pt idx="1">
                  <c:v>426.42</c:v>
                </c:pt>
                <c:pt idx="2">
                  <c:v>394.36</c:v>
                </c:pt>
                <c:pt idx="3">
                  <c:v>410.24</c:v>
                </c:pt>
                <c:pt idx="4">
                  <c:v>106.95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C9-44EF-BEBD-769BE735C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944288"/>
        <c:axId val="55429834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2119.73</c:v>
                </c:pt>
                <c:pt idx="1">
                  <c:v>2003.78</c:v>
                </c:pt>
                <c:pt idx="2">
                  <c:v>2096.29</c:v>
                </c:pt>
                <c:pt idx="3">
                  <c:v>2969.38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C9-44EF-BEBD-769BE735C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757080"/>
        <c:axId val="551760360"/>
      </c:lineChart>
      <c:catAx>
        <c:axId val="44094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298344"/>
        <c:crosses val="autoZero"/>
        <c:auto val="1"/>
        <c:lblAlgn val="ctr"/>
        <c:lblOffset val="100"/>
        <c:noMultiLvlLbl val="0"/>
      </c:catAx>
      <c:valAx>
        <c:axId val="554298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944288"/>
        <c:crosses val="autoZero"/>
        <c:crossBetween val="between"/>
      </c:valAx>
      <c:valAx>
        <c:axId val="55176036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1757080"/>
        <c:crosses val="max"/>
        <c:crossBetween val="between"/>
      </c:valAx>
      <c:catAx>
        <c:axId val="551757080"/>
        <c:scaling>
          <c:orientation val="minMax"/>
        </c:scaling>
        <c:delete val="1"/>
        <c:axPos val="b"/>
        <c:majorTickMark val="out"/>
        <c:minorTickMark val="none"/>
        <c:tickLblPos val="nextTo"/>
        <c:crossAx val="55176036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11614.17</c:v>
                </c:pt>
                <c:pt idx="1">
                  <c:v>12152.15</c:v>
                </c:pt>
                <c:pt idx="2">
                  <c:v>11698.79</c:v>
                </c:pt>
                <c:pt idx="3">
                  <c:v>15370.05</c:v>
                </c:pt>
                <c:pt idx="4">
                  <c:v>25881.73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7C-4544-B8D3-55EF33D979A3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12138.425049280318</c:v>
                </c:pt>
                <c:pt idx="1">
                  <c:v>12742.158465497876</c:v>
                </c:pt>
                <c:pt idx="2">
                  <c:v>12214.193966940173</c:v>
                </c:pt>
                <c:pt idx="3">
                  <c:v>15722.672875657528</c:v>
                </c:pt>
                <c:pt idx="4">
                  <c:v>26601.277761668174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7C-4544-B8D3-55EF33D97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194424"/>
        <c:axId val="450260504"/>
      </c:barChart>
      <c:catAx>
        <c:axId val="45019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260504"/>
        <c:crosses val="autoZero"/>
        <c:auto val="1"/>
        <c:lblAlgn val="ctr"/>
        <c:lblOffset val="100"/>
        <c:noMultiLvlLbl val="0"/>
      </c:catAx>
      <c:valAx>
        <c:axId val="450260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9442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28691.32</c:v>
                </c:pt>
                <c:pt idx="1">
                  <c:v>30775.688465497875</c:v>
                </c:pt>
                <c:pt idx="2">
                  <c:v>32146.252432438047</c:v>
                </c:pt>
                <c:pt idx="3">
                  <c:v>39369.645308095576</c:v>
                </c:pt>
                <c:pt idx="4">
                  <c:v>50381.08306976375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93-4104-A44C-5353A0AD81D3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500.09</c:v>
                </c:pt>
                <c:pt idx="1">
                  <c:v>364.15</c:v>
                </c:pt>
                <c:pt idx="2">
                  <c:v>565.57000000000005</c:v>
                </c:pt>
                <c:pt idx="3">
                  <c:v>1994.4699999999998</c:v>
                </c:pt>
                <c:pt idx="4">
                  <c:v>3490.79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93-4104-A44C-5353A0AD8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2837048"/>
        <c:axId val="452841968"/>
      </c:barChart>
      <c:catAx>
        <c:axId val="45283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41968"/>
        <c:crosses val="autoZero"/>
        <c:auto val="1"/>
        <c:lblAlgn val="ctr"/>
        <c:lblOffset val="100"/>
        <c:noMultiLvlLbl val="0"/>
      </c:catAx>
      <c:valAx>
        <c:axId val="452841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370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28691.32</c:v>
                </c:pt>
                <c:pt idx="1">
                  <c:v>30775.688465497875</c:v>
                </c:pt>
                <c:pt idx="2">
                  <c:v>32146.252432438047</c:v>
                </c:pt>
                <c:pt idx="3">
                  <c:v>39369.645308095576</c:v>
                </c:pt>
                <c:pt idx="4">
                  <c:v>50381.08306976375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3E-4CD8-B5C2-A9C6AFA0807F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3758.93</c:v>
                </c:pt>
                <c:pt idx="1">
                  <c:v>3469.1899999999996</c:v>
                </c:pt>
                <c:pt idx="2">
                  <c:v>3047.74</c:v>
                </c:pt>
                <c:pt idx="3">
                  <c:v>5037.74</c:v>
                </c:pt>
                <c:pt idx="4">
                  <c:v>6360.43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3E-4CD8-B5C2-A9C6AFA08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758392"/>
        <c:axId val="551755440"/>
      </c:barChart>
      <c:catAx>
        <c:axId val="55175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755440"/>
        <c:crosses val="autoZero"/>
        <c:auto val="1"/>
        <c:lblAlgn val="ctr"/>
        <c:lblOffset val="100"/>
        <c:noMultiLvlLbl val="0"/>
      </c:catAx>
      <c:valAx>
        <c:axId val="551755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7583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28691.32</c:v>
                </c:pt>
                <c:pt idx="1">
                  <c:v>30775.688465497875</c:v>
                </c:pt>
                <c:pt idx="2">
                  <c:v>32146.25243243805</c:v>
                </c:pt>
                <c:pt idx="3">
                  <c:v>39369.645308095576</c:v>
                </c:pt>
                <c:pt idx="4">
                  <c:v>50381.08306976375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91-43A8-8205-777DC3FB33C7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16675</c:v>
                </c:pt>
                <c:pt idx="1">
                  <c:v>17817.25</c:v>
                </c:pt>
                <c:pt idx="2">
                  <c:v>19551.96</c:v>
                </c:pt>
                <c:pt idx="3">
                  <c:v>21018.42</c:v>
                </c:pt>
                <c:pt idx="4">
                  <c:v>22835.08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91-43A8-8205-777DC3FB3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614384"/>
        <c:axId val="453617664"/>
      </c:barChart>
      <c:catAx>
        <c:axId val="45361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617664"/>
        <c:crosses val="autoZero"/>
        <c:auto val="1"/>
        <c:lblAlgn val="ctr"/>
        <c:lblOffset val="100"/>
        <c:noMultiLvlLbl val="0"/>
      </c:catAx>
      <c:valAx>
        <c:axId val="453617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6143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28691.32</c:v>
                </c:pt>
                <c:pt idx="1">
                  <c:v>30775.688465497875</c:v>
                </c:pt>
                <c:pt idx="2">
                  <c:v>32146.25243243805</c:v>
                </c:pt>
                <c:pt idx="3">
                  <c:v>39369.645308095576</c:v>
                </c:pt>
                <c:pt idx="4">
                  <c:v>50381.08306976375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4-4DE9-BB6D-0244CC7301E2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12016.32</c:v>
                </c:pt>
                <c:pt idx="1">
                  <c:v>12958.438465497875</c:v>
                </c:pt>
                <c:pt idx="2">
                  <c:v>12594.292432438049</c:v>
                </c:pt>
                <c:pt idx="3">
                  <c:v>18351.225308095578</c:v>
                </c:pt>
                <c:pt idx="4">
                  <c:v>27546.003069763748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D4-4DE9-BB6D-0244CC730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068320"/>
        <c:axId val="453071600"/>
      </c:barChart>
      <c:catAx>
        <c:axId val="4530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71600"/>
        <c:crosses val="autoZero"/>
        <c:auto val="1"/>
        <c:lblAlgn val="ctr"/>
        <c:lblOffset val="100"/>
        <c:noMultiLvlLbl val="0"/>
      </c:catAx>
      <c:valAx>
        <c:axId val="453071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6832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5850.6</c:v>
                </c:pt>
                <c:pt idx="1">
                  <c:v>5307.4699999999993</c:v>
                </c:pt>
                <c:pt idx="2">
                  <c:v>5751.13</c:v>
                </c:pt>
                <c:pt idx="3">
                  <c:v>6742.5999999999995</c:v>
                </c:pt>
                <c:pt idx="4">
                  <c:v>14499.710000000001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05-4799-9031-FE61959E7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527184"/>
        <c:axId val="55952816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12138.425049280318</c:v>
                </c:pt>
                <c:pt idx="1">
                  <c:v>12742.158465497876</c:v>
                </c:pt>
                <c:pt idx="2">
                  <c:v>12214.193966940173</c:v>
                </c:pt>
                <c:pt idx="3">
                  <c:v>15722.672875657528</c:v>
                </c:pt>
                <c:pt idx="4">
                  <c:v>26601.277761668174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05-4799-9031-FE61959E7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055696"/>
        <c:axId val="627060288"/>
      </c:lineChart>
      <c:catAx>
        <c:axId val="55952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528168"/>
        <c:crosses val="autoZero"/>
        <c:auto val="1"/>
        <c:lblAlgn val="ctr"/>
        <c:lblOffset val="100"/>
        <c:noMultiLvlLbl val="0"/>
      </c:catAx>
      <c:valAx>
        <c:axId val="559528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527184"/>
        <c:crosses val="autoZero"/>
        <c:crossBetween val="between"/>
      </c:valAx>
      <c:valAx>
        <c:axId val="6270602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7055696"/>
        <c:crosses val="max"/>
        <c:crossBetween val="between"/>
      </c:valAx>
      <c:catAx>
        <c:axId val="627055696"/>
        <c:scaling>
          <c:orientation val="minMax"/>
        </c:scaling>
        <c:delete val="1"/>
        <c:axPos val="b"/>
        <c:majorTickMark val="out"/>
        <c:minorTickMark val="none"/>
        <c:tickLblPos val="nextTo"/>
        <c:crossAx val="62706028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1746.8250492803181</c:v>
                </c:pt>
                <c:pt idx="1">
                  <c:v>2521.2484654978771</c:v>
                </c:pt>
                <c:pt idx="2">
                  <c:v>1596.4339669401727</c:v>
                </c:pt>
                <c:pt idx="3">
                  <c:v>3812.1228756575297</c:v>
                </c:pt>
                <c:pt idx="4">
                  <c:v>8192.517761668174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F6-434B-A4D7-A3DD17DA9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437240"/>
        <c:axId val="556435600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3765.0550492803177</c:v>
                </c:pt>
                <c:pt idx="1">
                  <c:v>4558.7984654978773</c:v>
                </c:pt>
                <c:pt idx="2">
                  <c:v>3549.0939669401728</c:v>
                </c:pt>
                <c:pt idx="3">
                  <c:v>6086.2728756575298</c:v>
                </c:pt>
                <c:pt idx="4">
                  <c:v>8192.517761668174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F6-434B-A4D7-A3DD17DA9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1095768"/>
        <c:axId val="621089208"/>
      </c:lineChart>
      <c:catAx>
        <c:axId val="556437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435600"/>
        <c:crosses val="autoZero"/>
        <c:auto val="1"/>
        <c:lblAlgn val="ctr"/>
        <c:lblOffset val="100"/>
        <c:noMultiLvlLbl val="0"/>
      </c:catAx>
      <c:valAx>
        <c:axId val="556435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437240"/>
        <c:crosses val="autoZero"/>
        <c:crossBetween val="between"/>
      </c:valAx>
      <c:valAx>
        <c:axId val="62108920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1095768"/>
        <c:crosses val="max"/>
        <c:crossBetween val="between"/>
      </c:valAx>
      <c:catAx>
        <c:axId val="621095768"/>
        <c:scaling>
          <c:orientation val="minMax"/>
        </c:scaling>
        <c:delete val="1"/>
        <c:axPos val="b"/>
        <c:majorTickMark val="out"/>
        <c:minorTickMark val="none"/>
        <c:tickLblPos val="nextTo"/>
        <c:crossAx val="62108920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AE1-4142-AEE4-7546203F2D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0.45</c:v>
                </c:pt>
                <c:pt idx="1">
                  <c:v>0.37</c:v>
                </c:pt>
                <c:pt idx="2">
                  <c:v>0.46</c:v>
                </c:pt>
                <c:pt idx="3">
                  <c:v>0.37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E1-4142-AEE4-7546203F2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5128"/>
        <c:axId val="449043136"/>
      </c:lineChart>
      <c:catAx>
        <c:axId val="62751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043136"/>
        <c:crosses val="autoZero"/>
        <c:auto val="0"/>
        <c:lblAlgn val="ctr"/>
        <c:lblOffset val="100"/>
        <c:noMultiLvlLbl val="0"/>
      </c:catAx>
      <c:valAx>
        <c:axId val="449043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5151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2A9-450F-9E13-CE29C7244DC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2A9-450F-9E13-CE29C7244D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-4.34</c:v>
                </c:pt>
                <c:pt idx="1">
                  <c:v>-4.5599999999999996</c:v>
                </c:pt>
                <c:pt idx="2">
                  <c:v>-4.4800000000000004</c:v>
                </c:pt>
                <c:pt idx="3">
                  <c:v>-6.85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2A9-450F-9E13-CE29C7244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040512"/>
        <c:axId val="449039856"/>
      </c:lineChart>
      <c:catAx>
        <c:axId val="44904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039856"/>
        <c:crosses val="autoZero"/>
        <c:auto val="0"/>
        <c:lblAlgn val="ctr"/>
        <c:lblOffset val="100"/>
        <c:noMultiLvlLbl val="0"/>
      </c:catAx>
      <c:valAx>
        <c:axId val="449039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040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A6F-4B02-B9A3-A73CE1766F9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A6F-4B02-B9A3-A73CE1766F9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A6F-4B02-B9A3-A73CE1766F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11227.27</c:v>
                </c:pt>
                <c:pt idx="1">
                  <c:v>11725.73</c:v>
                </c:pt>
                <c:pt idx="2">
                  <c:v>11304.43</c:v>
                </c:pt>
                <c:pt idx="3">
                  <c:v>14959.81</c:v>
                </c:pt>
                <c:pt idx="4">
                  <c:v>25774.78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A6F-4B02-B9A3-A73CE1766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566448"/>
        <c:axId val="450566776"/>
      </c:lineChart>
      <c:catAx>
        <c:axId val="45056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66776"/>
        <c:crosses val="autoZero"/>
        <c:auto val="0"/>
        <c:lblAlgn val="ctr"/>
        <c:lblOffset val="100"/>
        <c:noMultiLvlLbl val="0"/>
      </c:catAx>
      <c:valAx>
        <c:axId val="450566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505664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478-4B70-B922-164F4890D79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478-4B70-B922-164F4890D79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478-4B70-B922-164F4890D7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5763.57</c:v>
                </c:pt>
                <c:pt idx="1">
                  <c:v>6844.68</c:v>
                </c:pt>
                <c:pt idx="2">
                  <c:v>5947.66</c:v>
                </c:pt>
                <c:pt idx="3">
                  <c:v>8627.4500000000007</c:v>
                </c:pt>
                <c:pt idx="4">
                  <c:v>11382.02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478-4B70-B922-164F4890D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7880"/>
        <c:axId val="553647552"/>
      </c:lineChart>
      <c:catAx>
        <c:axId val="55364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552"/>
        <c:crosses val="autoZero"/>
        <c:auto val="0"/>
        <c:lblAlgn val="ctr"/>
        <c:lblOffset val="100"/>
        <c:noMultiLvlLbl val="0"/>
      </c:catAx>
      <c:valAx>
        <c:axId val="553647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647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A-4B97-97CB-EE58B1F5FBF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41A-4B97-97CB-EE58B1F5FBF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A-4B97-97CB-EE58B1F5FBF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0.13</c:v>
                </c:pt>
                <c:pt idx="1">
                  <c:v>0.15</c:v>
                </c:pt>
                <c:pt idx="2">
                  <c:v>0.11</c:v>
                </c:pt>
                <c:pt idx="3">
                  <c:v>0.15</c:v>
                </c:pt>
                <c:pt idx="4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1A-4B97-97CB-EE58B1F5F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6552"/>
        <c:axId val="553817536"/>
      </c:lineChart>
      <c:catAx>
        <c:axId val="55381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7536"/>
        <c:crosses val="autoZero"/>
        <c:auto val="0"/>
        <c:lblAlgn val="ctr"/>
        <c:lblOffset val="100"/>
        <c:noMultiLvlLbl val="0"/>
      </c:catAx>
      <c:valAx>
        <c:axId val="553817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816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B54-486D-AC0C-19726AC495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6.03</c:v>
                </c:pt>
                <c:pt idx="1">
                  <c:v>9.83</c:v>
                </c:pt>
                <c:pt idx="2">
                  <c:v>5.45</c:v>
                </c:pt>
                <c:pt idx="3">
                  <c:v>2.19</c:v>
                </c:pt>
                <c:pt idx="4">
                  <c:v>1.69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54-486D-AC0C-19726AC49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2320"/>
        <c:axId val="446750024"/>
      </c:lineChart>
      <c:catAx>
        <c:axId val="44675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0024"/>
        <c:crosses val="autoZero"/>
        <c:auto val="0"/>
        <c:lblAlgn val="ctr"/>
        <c:lblOffset val="100"/>
        <c:noMultiLvlLbl val="0"/>
      </c:catAx>
      <c:valAx>
        <c:axId val="446750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67523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96A6FE-935D-759F-919F-3B46A2481F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7469AF-6DDA-36F4-E867-AC31F0B1DE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304388-DB11-7567-CA34-6E69E2AFBE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09EB65-BCC4-9337-6233-AFF41128EE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8AE238-A309-FCF7-F67F-27DB1AFD94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5445DA-6858-30EF-5DE1-41A8B1D4F2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69A8EF-9E5B-72D5-AC60-B2B3398A83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5ABDC9-D8EC-7EFB-2A94-575F8E3983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B4F361-D6A1-F37F-E8D3-5CC8D3712F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5FBD66-9CF7-E3AC-BCB7-7B23D27529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5F54F3-53BD-2CE5-6A29-1BCBA83852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92EF15-53F1-811B-7CE6-89413BDC2D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E755C0-C031-5DF0-0C29-809819431A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7A5EA1-B62F-F2BB-A6D6-F400CF9991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A6A63C-3255-7F73-D5A9-DDEAE6222D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0B0AAA-16CC-EC0F-B409-4214DE8093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E2E0DC-C12E-B0AE-8117-8716198811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A09CAC-8022-2423-3AD0-77F443698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57537B-7427-7E45-7F01-FBD55917B5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7CADD7-2920-99DC-3E8A-EF38DA0BBA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0A58EF98-908B-2E0C-960F-4A16501E71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23DC8DD6-A41D-9065-E73F-B03ABDC638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02169D-8403-091D-98B6-DC26FF4974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036C2359-67DB-8678-9D27-5E5C24D6B7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9ACA7E80-8030-ABE6-2BA6-589BCBCC31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D29A8DCD-6115-C8AF-4CF9-91CB4F719C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AA35B358-52B5-CF4C-D000-6B8871B20A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69A09DFB-2C7E-D20F-6822-8BAFA71243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2B216D25-AD35-0383-E3FE-EC9572E0BF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D99E1931-ED60-1B8B-BE7C-A44816AF5D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ACD6DC7F-48C8-653A-574B-F8757457AF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390A5EB4-585F-2DD5-B7BA-B608D34719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29A1D1D4-C57A-F7A1-ADF7-2FABCA4568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5FECDD-4F00-0038-2516-EDD892A83B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17AF65-F67A-85F5-FD55-63EF85DC3A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67B7CC-D7BA-CE4C-27C8-34961964E6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60D132-A1D8-CB6D-7B8A-21D5645D63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B9FDFC-CCB8-D738-4168-8373329227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63815B-38E1-E3EF-1372-B59507FAED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D63BD-D51C-48D6-9280-877525F4EFD6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>
        <v>316.39</v>
      </c>
      <c r="D6">
        <v>306.19</v>
      </c>
      <c r="E6">
        <v>306.19</v>
      </c>
      <c r="F6">
        <v>293.07</v>
      </c>
      <c r="G6">
        <v>293.07</v>
      </c>
      <c r="H6" t="s">
        <v>1</v>
      </c>
    </row>
    <row r="7" spans="1:15" x14ac:dyDescent="0.25">
      <c r="B7" t="s">
        <v>6</v>
      </c>
      <c r="C7">
        <v>316.39</v>
      </c>
      <c r="D7">
        <v>306.19</v>
      </c>
      <c r="E7">
        <v>306.19</v>
      </c>
      <c r="F7">
        <v>293.07</v>
      </c>
      <c r="G7">
        <v>293.07</v>
      </c>
      <c r="H7" t="s">
        <v>1</v>
      </c>
    </row>
    <row r="8" spans="1:15" x14ac:dyDescent="0.25">
      <c r="A8" t="s">
        <v>90</v>
      </c>
      <c r="B8" t="s">
        <v>7</v>
      </c>
      <c r="C8" s="2">
        <v>24101.02</v>
      </c>
      <c r="D8" s="2">
        <v>25737.81</v>
      </c>
      <c r="E8" s="2">
        <v>27366.880000000001</v>
      </c>
      <c r="F8" s="2">
        <v>29590.98</v>
      </c>
      <c r="G8" s="2">
        <v>34693.83</v>
      </c>
      <c r="H8" t="s">
        <v>1</v>
      </c>
    </row>
    <row r="9" spans="1:15" x14ac:dyDescent="0.25">
      <c r="B9" t="s">
        <v>8</v>
      </c>
      <c r="C9" s="2">
        <v>24101.02</v>
      </c>
      <c r="D9" s="2">
        <v>25737.81</v>
      </c>
      <c r="E9" s="2">
        <v>27366.880000000001</v>
      </c>
      <c r="F9" s="2">
        <v>29590.98</v>
      </c>
      <c r="G9" s="2">
        <v>34693.83</v>
      </c>
      <c r="H9" t="s">
        <v>1</v>
      </c>
    </row>
    <row r="10" spans="1:15" x14ac:dyDescent="0.25">
      <c r="B10" t="s">
        <v>9</v>
      </c>
      <c r="C10" s="2">
        <v>24417.41</v>
      </c>
      <c r="D10" s="2">
        <v>26044</v>
      </c>
      <c r="E10" s="2">
        <v>27673.07</v>
      </c>
      <c r="F10" s="2">
        <v>29884.05</v>
      </c>
      <c r="G10" s="2">
        <v>34986.9</v>
      </c>
      <c r="H10" t="s">
        <v>1</v>
      </c>
    </row>
    <row r="11" spans="1:15" x14ac:dyDescent="0.25">
      <c r="A11" t="s">
        <v>10</v>
      </c>
      <c r="B11" t="s">
        <v>10</v>
      </c>
      <c r="C11">
        <v>14.89</v>
      </c>
      <c r="D11">
        <v>13.89</v>
      </c>
      <c r="E11">
        <v>8.0500000000000007</v>
      </c>
      <c r="F11">
        <v>13.54</v>
      </c>
      <c r="G11">
        <v>13.45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 s="2">
        <v>0</v>
      </c>
      <c r="D13">
        <v>0</v>
      </c>
      <c r="E13">
        <v>0</v>
      </c>
      <c r="F13">
        <v>546.42999999999995</v>
      </c>
      <c r="G13">
        <v>1674.07</v>
      </c>
      <c r="H13" t="s">
        <v>1</v>
      </c>
    </row>
    <row r="14" spans="1:15" x14ac:dyDescent="0.25">
      <c r="A14" t="s">
        <v>91</v>
      </c>
      <c r="B14" t="s">
        <v>13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15" x14ac:dyDescent="0.25">
      <c r="A15" t="s">
        <v>92</v>
      </c>
      <c r="B15" t="s">
        <v>14</v>
      </c>
      <c r="C15">
        <v>0</v>
      </c>
      <c r="D15">
        <v>0</v>
      </c>
      <c r="E15">
        <v>5.83</v>
      </c>
      <c r="F15">
        <v>4.7</v>
      </c>
      <c r="G15">
        <v>150.28</v>
      </c>
      <c r="H15" t="s">
        <v>1</v>
      </c>
    </row>
    <row r="16" spans="1:15" x14ac:dyDescent="0.25">
      <c r="A16" t="s">
        <v>93</v>
      </c>
      <c r="B16" t="s">
        <v>15</v>
      </c>
      <c r="C16" s="2">
        <v>714.12</v>
      </c>
      <c r="D16">
        <v>768.52</v>
      </c>
      <c r="E16">
        <v>827.96</v>
      </c>
      <c r="F16">
        <v>945.41</v>
      </c>
      <c r="G16">
        <v>1092.46</v>
      </c>
      <c r="H16" t="s">
        <v>1</v>
      </c>
    </row>
    <row r="17" spans="1:8" x14ac:dyDescent="0.25">
      <c r="B17" t="s">
        <v>16</v>
      </c>
      <c r="C17" s="2">
        <v>714.12</v>
      </c>
      <c r="D17" s="2">
        <v>768.52</v>
      </c>
      <c r="E17">
        <v>833.79</v>
      </c>
      <c r="F17">
        <v>1496.54</v>
      </c>
      <c r="G17">
        <v>2916.81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500.09</v>
      </c>
      <c r="D19" s="2">
        <v>364.15</v>
      </c>
      <c r="E19">
        <v>565.57000000000005</v>
      </c>
      <c r="F19">
        <v>1448.04</v>
      </c>
      <c r="G19">
        <v>1816.72</v>
      </c>
      <c r="H19" t="s">
        <v>1</v>
      </c>
    </row>
    <row r="20" spans="1:8" x14ac:dyDescent="0.25">
      <c r="A20" t="s">
        <v>92</v>
      </c>
      <c r="B20" t="s">
        <v>19</v>
      </c>
      <c r="C20">
        <v>159.63999999999999</v>
      </c>
      <c r="D20">
        <v>202.79</v>
      </c>
      <c r="E20">
        <v>225.9</v>
      </c>
      <c r="F20">
        <v>360.78</v>
      </c>
      <c r="G20">
        <v>967.53</v>
      </c>
      <c r="H20" t="s">
        <v>1</v>
      </c>
    </row>
    <row r="21" spans="1:8" x14ac:dyDescent="0.25">
      <c r="A21" t="s">
        <v>92</v>
      </c>
      <c r="B21" t="s">
        <v>20</v>
      </c>
      <c r="C21" s="2">
        <v>2857.56</v>
      </c>
      <c r="D21" s="2">
        <v>2456.4299999999998</v>
      </c>
      <c r="E21" s="2">
        <v>1765.27</v>
      </c>
      <c r="F21" s="2">
        <v>3628.29</v>
      </c>
      <c r="G21" s="2">
        <v>4135.03</v>
      </c>
      <c r="H21" t="s">
        <v>1</v>
      </c>
    </row>
    <row r="22" spans="1:8" x14ac:dyDescent="0.25">
      <c r="A22" t="s">
        <v>93</v>
      </c>
      <c r="B22" t="s">
        <v>21</v>
      </c>
      <c r="C22">
        <v>27.61</v>
      </c>
      <c r="D22">
        <v>41.45</v>
      </c>
      <c r="E22">
        <v>222.78</v>
      </c>
      <c r="F22">
        <v>98.56</v>
      </c>
      <c r="G22">
        <v>15.13</v>
      </c>
      <c r="H22" t="s">
        <v>1</v>
      </c>
    </row>
    <row r="23" spans="1:8" x14ac:dyDescent="0.25">
      <c r="B23" t="s">
        <v>22</v>
      </c>
      <c r="C23" s="2">
        <v>3544.9</v>
      </c>
      <c r="D23" s="2">
        <v>3064.82</v>
      </c>
      <c r="E23" s="2">
        <v>2779.52</v>
      </c>
      <c r="F23" s="2">
        <v>5535.67</v>
      </c>
      <c r="G23" s="2">
        <v>6934.41</v>
      </c>
      <c r="H23" t="s">
        <v>1</v>
      </c>
    </row>
    <row r="24" spans="1:8" x14ac:dyDescent="0.25">
      <c r="B24" t="s">
        <v>23</v>
      </c>
      <c r="C24" s="2">
        <v>28691.32</v>
      </c>
      <c r="D24" s="2">
        <v>29891.23</v>
      </c>
      <c r="E24" s="2">
        <v>31294.43</v>
      </c>
      <c r="F24" s="2">
        <v>36929.800000000003</v>
      </c>
      <c r="G24" s="2">
        <v>44851.57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3149.61</v>
      </c>
      <c r="D27" s="2">
        <v>3198.51</v>
      </c>
      <c r="E27" s="2">
        <v>3260.95</v>
      </c>
      <c r="F27" s="2">
        <v>3320.95</v>
      </c>
      <c r="G27" s="2">
        <v>23030.38</v>
      </c>
      <c r="H27" t="s">
        <v>1</v>
      </c>
    </row>
    <row r="28" spans="1:8" x14ac:dyDescent="0.25">
      <c r="A28" t="s">
        <v>29</v>
      </c>
      <c r="B28" t="s">
        <v>27</v>
      </c>
      <c r="C28">
        <v>213.71</v>
      </c>
      <c r="D28">
        <v>220.01</v>
      </c>
      <c r="E28">
        <v>454.66</v>
      </c>
      <c r="F28">
        <v>518.57000000000005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12545.06</v>
      </c>
      <c r="D29" s="2">
        <v>13818.9</v>
      </c>
      <c r="E29" s="2">
        <v>15500.22</v>
      </c>
      <c r="F29" s="2">
        <v>17106.509999999998</v>
      </c>
      <c r="G29" s="2">
        <v>0</v>
      </c>
      <c r="H29" t="s">
        <v>1</v>
      </c>
    </row>
    <row r="30" spans="1:8" x14ac:dyDescent="0.25">
      <c r="B30" t="s">
        <v>29</v>
      </c>
      <c r="C30" s="2">
        <v>15908.38</v>
      </c>
      <c r="D30" s="2">
        <v>17237.419999999998</v>
      </c>
      <c r="E30" s="2">
        <v>19245.47</v>
      </c>
      <c r="F30" s="2">
        <v>20997.45</v>
      </c>
      <c r="G30" s="2">
        <v>23030.38</v>
      </c>
      <c r="H30" t="s">
        <v>1</v>
      </c>
    </row>
    <row r="31" spans="1:8" x14ac:dyDescent="0.25">
      <c r="A31" t="s">
        <v>94</v>
      </c>
      <c r="B31" t="s">
        <v>30</v>
      </c>
      <c r="C31">
        <v>672.73</v>
      </c>
      <c r="D31">
        <v>858.87</v>
      </c>
      <c r="E31">
        <v>910.1</v>
      </c>
      <c r="F31">
        <v>874.9</v>
      </c>
      <c r="G31">
        <v>894.95</v>
      </c>
      <c r="H31" t="s">
        <v>1</v>
      </c>
    </row>
    <row r="32" spans="1:8" x14ac:dyDescent="0.25">
      <c r="A32" t="s">
        <v>95</v>
      </c>
      <c r="B32" t="s">
        <v>31</v>
      </c>
      <c r="C32">
        <v>385.71</v>
      </c>
      <c r="D32">
        <v>582.73</v>
      </c>
      <c r="E32">
        <v>397.07</v>
      </c>
      <c r="F32">
        <v>408.28</v>
      </c>
      <c r="G32">
        <v>530.95000000000005</v>
      </c>
      <c r="H32" t="s">
        <v>1</v>
      </c>
    </row>
    <row r="33" spans="1:8" x14ac:dyDescent="0.25">
      <c r="A33" t="s">
        <v>95</v>
      </c>
      <c r="B33" t="s">
        <v>32</v>
      </c>
      <c r="C33">
        <v>140.07</v>
      </c>
      <c r="D33">
        <v>154.71</v>
      </c>
      <c r="E33">
        <v>224.38</v>
      </c>
      <c r="F33">
        <v>259.17</v>
      </c>
      <c r="G33">
        <v>40.770000000000003</v>
      </c>
      <c r="H33" t="s">
        <v>1</v>
      </c>
    </row>
    <row r="34" spans="1:8" x14ac:dyDescent="0.25">
      <c r="A34" t="s">
        <v>95</v>
      </c>
      <c r="B34" t="s">
        <v>33</v>
      </c>
      <c r="C34" s="2">
        <v>2626.23</v>
      </c>
      <c r="D34" s="2">
        <v>2986.32</v>
      </c>
      <c r="E34" s="2">
        <v>3075.48</v>
      </c>
      <c r="F34" s="2">
        <v>3695.91</v>
      </c>
      <c r="G34" s="2">
        <v>4449.8</v>
      </c>
      <c r="H34" t="s">
        <v>1</v>
      </c>
    </row>
    <row r="35" spans="1:8" x14ac:dyDescent="0.25">
      <c r="B35" t="s">
        <v>34</v>
      </c>
      <c r="C35" s="2">
        <v>19827.009999999998</v>
      </c>
      <c r="D35" s="2">
        <v>21913.94</v>
      </c>
      <c r="E35" s="2">
        <v>23946.39</v>
      </c>
      <c r="F35" s="2">
        <v>26329.599999999999</v>
      </c>
      <c r="G35" s="2">
        <v>29040.74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0</v>
      </c>
      <c r="D37">
        <v>0</v>
      </c>
      <c r="E37">
        <v>0</v>
      </c>
      <c r="F37">
        <v>0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 s="2">
        <v>571.69000000000005</v>
      </c>
      <c r="D38">
        <v>666.17</v>
      </c>
      <c r="E38">
        <v>723.51</v>
      </c>
      <c r="F38">
        <v>921.72</v>
      </c>
      <c r="G38">
        <v>2164.9</v>
      </c>
      <c r="H38" t="s">
        <v>1</v>
      </c>
    </row>
    <row r="39" spans="1:8" x14ac:dyDescent="0.25">
      <c r="A39" t="s">
        <v>96</v>
      </c>
      <c r="B39" t="s">
        <v>38</v>
      </c>
      <c r="C39" s="2">
        <v>1472.74</v>
      </c>
      <c r="D39" s="2">
        <v>1424.51</v>
      </c>
      <c r="E39" s="2">
        <v>2223.71</v>
      </c>
      <c r="F39" s="2">
        <v>2139.89</v>
      </c>
      <c r="G39" s="2">
        <v>2954.3</v>
      </c>
      <c r="H39" t="s">
        <v>1</v>
      </c>
    </row>
    <row r="40" spans="1:8" x14ac:dyDescent="0.25">
      <c r="A40" t="s">
        <v>96</v>
      </c>
      <c r="B40" t="s">
        <v>39</v>
      </c>
      <c r="C40" s="2">
        <v>5460.98</v>
      </c>
      <c r="D40" s="2">
        <v>4619.3900000000003</v>
      </c>
      <c r="E40" s="2">
        <v>2437.46</v>
      </c>
      <c r="F40" s="2">
        <v>5861.82</v>
      </c>
      <c r="G40" s="2">
        <v>7978.29</v>
      </c>
      <c r="H40" t="s">
        <v>1</v>
      </c>
    </row>
    <row r="41" spans="1:8" x14ac:dyDescent="0.25">
      <c r="A41" t="s">
        <v>95</v>
      </c>
      <c r="B41" t="s">
        <v>40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  <row r="42" spans="1:8" x14ac:dyDescent="0.25">
      <c r="A42" t="s">
        <v>95</v>
      </c>
      <c r="B42" t="s">
        <v>41</v>
      </c>
      <c r="C42" s="2">
        <v>1358.9</v>
      </c>
      <c r="D42" s="2">
        <v>1267.22</v>
      </c>
      <c r="E42" s="2">
        <v>1963.36</v>
      </c>
      <c r="F42" s="2">
        <v>1676.77</v>
      </c>
      <c r="G42" s="2">
        <v>2713.34</v>
      </c>
      <c r="H42" t="s">
        <v>1</v>
      </c>
    </row>
    <row r="43" spans="1:8" x14ac:dyDescent="0.25">
      <c r="B43" t="s">
        <v>42</v>
      </c>
      <c r="C43" s="2">
        <v>8864.31</v>
      </c>
      <c r="D43" s="2">
        <v>7977.29</v>
      </c>
      <c r="E43" s="2">
        <v>7348.04</v>
      </c>
      <c r="F43" s="2">
        <v>10600.2</v>
      </c>
      <c r="G43" s="2">
        <v>15810.83</v>
      </c>
      <c r="H43" t="s">
        <v>1</v>
      </c>
    </row>
    <row r="44" spans="1:8" x14ac:dyDescent="0.25">
      <c r="B44" t="s">
        <v>43</v>
      </c>
      <c r="C44" s="2">
        <v>28691.32</v>
      </c>
      <c r="D44" s="2">
        <v>29891.23</v>
      </c>
      <c r="E44" s="2">
        <v>31294.43</v>
      </c>
      <c r="F44" s="2">
        <v>36929.800000000003</v>
      </c>
      <c r="G44" s="2">
        <v>44851.57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10070.5</v>
      </c>
      <c r="D47" s="2">
        <v>9879.2099999999991</v>
      </c>
      <c r="E47" s="2">
        <v>8601.9500000000007</v>
      </c>
      <c r="F47" s="2">
        <v>9854.61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264.31</v>
      </c>
      <c r="D49">
        <v>255.79</v>
      </c>
      <c r="E49">
        <v>255.79</v>
      </c>
      <c r="F49">
        <v>255.79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42.17</v>
      </c>
      <c r="D51">
        <v>0</v>
      </c>
      <c r="E51">
        <v>0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653.74</v>
      </c>
      <c r="D52">
        <v>856.86</v>
      </c>
      <c r="E52">
        <v>910.1</v>
      </c>
      <c r="F52">
        <v>880.15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hyperlinks>
    <hyperlink ref="F1" location="Index_Data!A1" tooltip="Hi click here To return Index page" display="Index_Data!A1" xr:uid="{338EAA3C-3C93-4476-92B4-920F760FFF5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5FF5B-6130-4468-AF5A-D8D7E9B0602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149</v>
      </c>
      <c r="C5" s="44"/>
      <c r="D5" s="44"/>
      <c r="E5" s="44"/>
      <c r="F5" s="44"/>
      <c r="G5" s="44"/>
    </row>
    <row r="6" spans="2:15" ht="18.75" x14ac:dyDescent="0.25">
      <c r="B6" s="12" t="str">
        <f>Balance_Sheet!B13</f>
        <v>Net Worth</v>
      </c>
      <c r="C6" s="13">
        <f>Balance_Sheet!C13</f>
        <v>24417.41</v>
      </c>
      <c r="D6" s="13">
        <f>Balance_Sheet!D13</f>
        <v>26928.458465497875</v>
      </c>
      <c r="E6" s="13">
        <f>Balance_Sheet!E13</f>
        <v>28524.89243243805</v>
      </c>
      <c r="F6" s="13">
        <f>Balance_Sheet!F13</f>
        <v>32323.89530809558</v>
      </c>
      <c r="G6" s="13">
        <f>Balance_Sheet!G13</f>
        <v>40516.413069763752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313.75458744002646</v>
      </c>
      <c r="D7" s="13">
        <f>Income_Statement!D61</f>
        <v>303.9198976998585</v>
      </c>
      <c r="E7" s="13">
        <f>Income_Statement!E61</f>
        <v>295.75783057834775</v>
      </c>
      <c r="F7" s="13">
        <f>Income_Statement!F61</f>
        <v>289.82251788845377</v>
      </c>
      <c r="G7" s="13">
        <f>Income_Statement!G61</f>
        <v>256.01618005213044</v>
      </c>
    </row>
    <row r="8" spans="2:15" ht="18.75" x14ac:dyDescent="0.25">
      <c r="B8" s="14" t="s">
        <v>150</v>
      </c>
      <c r="C8" s="14">
        <f>ROUND(C6/C7, 2)</f>
        <v>77.819999999999993</v>
      </c>
      <c r="D8" s="14">
        <f t="shared" ref="D8:G8" si="0">ROUND(D6/D7, 2)</f>
        <v>88.6</v>
      </c>
      <c r="E8" s="14">
        <f t="shared" si="0"/>
        <v>96.45</v>
      </c>
      <c r="F8" s="14">
        <f t="shared" si="0"/>
        <v>111.53</v>
      </c>
      <c r="G8" s="14">
        <f t="shared" si="0"/>
        <v>158.26</v>
      </c>
    </row>
  </sheetData>
  <mergeCells count="1">
    <mergeCell ref="B5:G5"/>
  </mergeCells>
  <hyperlinks>
    <hyperlink ref="F1" location="Index_Data!A1" tooltip="Hi click here To return Index page" display="Index_Data!A1" xr:uid="{48E85448-2DBD-48D9-AB2F-76F93A35FBC4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EE415-B61B-46AE-8B59-BB534F345602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151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1676.86</v>
      </c>
      <c r="D6" s="13">
        <f>Income_Statement!D51</f>
        <v>1690.14</v>
      </c>
      <c r="E6" s="13">
        <f>Income_Statement!E51</f>
        <v>1619.72</v>
      </c>
      <c r="F6" s="13">
        <f>Income_Statement!F51</f>
        <v>2274.15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313.75458744002646</v>
      </c>
      <c r="D7" s="13">
        <f>Income_Statement!D61</f>
        <v>303.9198976998585</v>
      </c>
      <c r="E7" s="13">
        <f>Income_Statement!E61</f>
        <v>295.75783057834775</v>
      </c>
      <c r="F7" s="13">
        <f>Income_Statement!F61</f>
        <v>289.82251788845377</v>
      </c>
      <c r="G7" s="13">
        <f>Income_Statement!G61</f>
        <v>256.01618005213044</v>
      </c>
    </row>
    <row r="8" spans="2:15" ht="18.75" x14ac:dyDescent="0.25">
      <c r="B8" s="12" t="s">
        <v>148</v>
      </c>
      <c r="C8" s="13">
        <f>ROUND(C6/C7, 2)</f>
        <v>5.34</v>
      </c>
      <c r="D8" s="13">
        <f t="shared" ref="D8:G8" si="0">ROUND(D6/D7, 2)</f>
        <v>5.56</v>
      </c>
      <c r="E8" s="13">
        <f t="shared" si="0"/>
        <v>5.48</v>
      </c>
      <c r="F8" s="13">
        <f t="shared" si="0"/>
        <v>7.85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3765.0550492803177</v>
      </c>
      <c r="D9" s="13">
        <f>Income_Statement!D49</f>
        <v>4558.7984654978773</v>
      </c>
      <c r="E9" s="13">
        <f>Income_Statement!E49</f>
        <v>3549.0939669401728</v>
      </c>
      <c r="F9" s="13">
        <f>Income_Statement!F49</f>
        <v>6086.2728756575298</v>
      </c>
      <c r="G9" s="13">
        <f>Income_Statement!G49</f>
        <v>8192.517761668174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313.75458744002646</v>
      </c>
      <c r="D10" s="13">
        <f>Income_Statement!D61</f>
        <v>303.9198976998585</v>
      </c>
      <c r="E10" s="13">
        <f>Income_Statement!E61</f>
        <v>295.75783057834775</v>
      </c>
      <c r="F10" s="13">
        <f>Income_Statement!F61</f>
        <v>289.82251788845377</v>
      </c>
      <c r="G10" s="13">
        <f>Income_Statement!G61</f>
        <v>256.01618005213044</v>
      </c>
    </row>
    <row r="11" spans="2:15" ht="18.75" x14ac:dyDescent="0.25">
      <c r="B11" s="12" t="s">
        <v>146</v>
      </c>
      <c r="C11" s="13">
        <f>C9/C10</f>
        <v>12</v>
      </c>
      <c r="D11" s="13">
        <f t="shared" ref="D11:G11" si="1">D9/D10</f>
        <v>15</v>
      </c>
      <c r="E11" s="13">
        <f t="shared" si="1"/>
        <v>12</v>
      </c>
      <c r="F11" s="13">
        <f t="shared" si="1"/>
        <v>21</v>
      </c>
      <c r="G11" s="13">
        <f t="shared" si="1"/>
        <v>32</v>
      </c>
    </row>
    <row r="12" spans="2:15" ht="18.75" x14ac:dyDescent="0.25">
      <c r="B12" s="14" t="s">
        <v>152</v>
      </c>
      <c r="C12" s="14">
        <f>ROUND(C8/C11, 2)</f>
        <v>0.45</v>
      </c>
      <c r="D12" s="14">
        <f t="shared" ref="D12:G12" si="2">ROUND(D8/D11, 2)</f>
        <v>0.37</v>
      </c>
      <c r="E12" s="14">
        <f t="shared" si="2"/>
        <v>0.46</v>
      </c>
      <c r="F12" s="14">
        <f t="shared" si="2"/>
        <v>0.37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1DCB071C-AED6-4754-96EA-A17AB9184E7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DB542-27BD-4C18-AEA2-74C8D900A6CF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6" width="13.5703125" bestFit="1" customWidth="1"/>
    <col min="7" max="7" width="12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153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1676.86</v>
      </c>
      <c r="D6" s="13">
        <f>Income_Statement!D51</f>
        <v>1690.14</v>
      </c>
      <c r="E6" s="13">
        <f>Income_Statement!E51</f>
        <v>1619.72</v>
      </c>
      <c r="F6" s="13">
        <f>Income_Statement!F51</f>
        <v>2274.15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313.75458744002646</v>
      </c>
      <c r="D7" s="13">
        <f>Income_Statement!D61</f>
        <v>303.9198976998585</v>
      </c>
      <c r="E7" s="13">
        <f>Income_Statement!E61</f>
        <v>295.75783057834775</v>
      </c>
      <c r="F7" s="13">
        <f>Income_Statement!F61</f>
        <v>289.82251788845377</v>
      </c>
      <c r="G7" s="13">
        <f>Income_Statement!G61</f>
        <v>256.01618005213044</v>
      </c>
    </row>
    <row r="8" spans="2:15" ht="18.75" x14ac:dyDescent="0.25">
      <c r="B8" s="12" t="s">
        <v>154</v>
      </c>
      <c r="C8" s="13">
        <f>ROUND(C6/C7, 2)</f>
        <v>5.34</v>
      </c>
      <c r="D8" s="13">
        <f t="shared" ref="D8:G8" si="0">ROUND(D6/D7, 2)</f>
        <v>5.56</v>
      </c>
      <c r="E8" s="13">
        <f t="shared" si="0"/>
        <v>5.48</v>
      </c>
      <c r="F8" s="13">
        <f t="shared" si="0"/>
        <v>7.85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-4.34</v>
      </c>
      <c r="D9" s="15">
        <f t="shared" ref="D9:G9" si="1">1-D8</f>
        <v>-4.5599999999999996</v>
      </c>
      <c r="E9" s="15">
        <f t="shared" si="1"/>
        <v>-4.4800000000000004</v>
      </c>
      <c r="F9" s="15">
        <f t="shared" si="1"/>
        <v>-6.85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64CA56FD-8518-4D42-BD06-CC80C3F5BDC2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2CCB1-D16E-4462-A51A-8602203749D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156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11614.17</v>
      </c>
      <c r="D6" s="13">
        <f>Income_Statement!D5</f>
        <v>12152.15</v>
      </c>
      <c r="E6" s="13">
        <f>Income_Statement!E5</f>
        <v>11698.79</v>
      </c>
      <c r="F6" s="13">
        <f>Income_Statement!F5</f>
        <v>15370.05</v>
      </c>
      <c r="G6" s="13">
        <f>Income_Statement!G5</f>
        <v>25881.73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386.9</v>
      </c>
      <c r="D7" s="13">
        <f>Income_Statement!D17</f>
        <v>426.42</v>
      </c>
      <c r="E7" s="13">
        <f>Income_Statement!E17</f>
        <v>394.36</v>
      </c>
      <c r="F7" s="13">
        <f>Income_Statement!F17</f>
        <v>410.24</v>
      </c>
      <c r="G7" s="13">
        <f>Income_Statement!G17</f>
        <v>106.95</v>
      </c>
    </row>
    <row r="8" spans="2:15" ht="18.75" x14ac:dyDescent="0.25">
      <c r="B8" s="14" t="s">
        <v>157</v>
      </c>
      <c r="C8" s="16">
        <f>ROUND(C6- C7, 2)</f>
        <v>11227.27</v>
      </c>
      <c r="D8" s="16">
        <f t="shared" ref="D8:G8" si="0">ROUND(D6- D7, 2)</f>
        <v>11725.73</v>
      </c>
      <c r="E8" s="16">
        <f t="shared" si="0"/>
        <v>11304.43</v>
      </c>
      <c r="F8" s="16">
        <f t="shared" si="0"/>
        <v>14959.81</v>
      </c>
      <c r="G8" s="16">
        <f t="shared" si="0"/>
        <v>25774.78</v>
      </c>
    </row>
  </sheetData>
  <mergeCells count="1">
    <mergeCell ref="B5:G5"/>
  </mergeCells>
  <hyperlinks>
    <hyperlink ref="F1" location="Index_Data!A1" tooltip="Hi click here To return Index page" display="Index_Data!A1" xr:uid="{29A297B3-03FF-442E-B0CE-1006352EF8BA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757F0-8073-496D-B37F-2458A40B7E9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158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11614.17</v>
      </c>
      <c r="D6" s="13">
        <f>Income_Statement!D5</f>
        <v>12152.15</v>
      </c>
      <c r="E6" s="13">
        <f>Income_Statement!E5</f>
        <v>11698.79</v>
      </c>
      <c r="F6" s="13">
        <f>Income_Statement!F5</f>
        <v>15370.05</v>
      </c>
      <c r="G6" s="13">
        <f>Income_Statement!G5</f>
        <v>25881.73</v>
      </c>
    </row>
    <row r="7" spans="2:15" ht="18.75" x14ac:dyDescent="0.25">
      <c r="B7" s="12" t="str">
        <f>Income_Statement!B25</f>
        <v>Total Expenditure</v>
      </c>
      <c r="C7" s="13">
        <f>Income_Statement!C25</f>
        <v>5850.6</v>
      </c>
      <c r="D7" s="13">
        <f>Income_Statement!D25</f>
        <v>5307.4699999999993</v>
      </c>
      <c r="E7" s="13">
        <f>Income_Statement!E25</f>
        <v>5751.13</v>
      </c>
      <c r="F7" s="13">
        <f>Income_Statement!F25</f>
        <v>6742.5999999999995</v>
      </c>
      <c r="G7" s="13">
        <f>Income_Statement!G25</f>
        <v>14499.710000000001</v>
      </c>
    </row>
    <row r="8" spans="2:15" ht="18.75" x14ac:dyDescent="0.25">
      <c r="B8" s="14" t="s">
        <v>159</v>
      </c>
      <c r="C8" s="16">
        <f>ROUND(C6- C7, 2)</f>
        <v>5763.57</v>
      </c>
      <c r="D8" s="16">
        <f t="shared" ref="D8:G8" si="0">ROUND(D6- D7, 2)</f>
        <v>6844.68</v>
      </c>
      <c r="E8" s="16">
        <f t="shared" si="0"/>
        <v>5947.66</v>
      </c>
      <c r="F8" s="16">
        <f t="shared" si="0"/>
        <v>8627.4500000000007</v>
      </c>
      <c r="G8" s="16">
        <f t="shared" si="0"/>
        <v>11382.02</v>
      </c>
    </row>
  </sheetData>
  <mergeCells count="1">
    <mergeCell ref="B5:G5"/>
  </mergeCells>
  <hyperlinks>
    <hyperlink ref="F1" location="Index_Data!A1" tooltip="Hi click here To return Index page" display="Index_Data!A1" xr:uid="{61B29C23-AFC9-4D1D-A012-3B100A8B8C0E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FA16E-712E-4890-8C74-6A9EC703AAF3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160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3765.0550492803177</v>
      </c>
      <c r="D6" s="13">
        <f>Income_Statement!D49</f>
        <v>4558.7984654978773</v>
      </c>
      <c r="E6" s="13">
        <f>Income_Statement!E49</f>
        <v>3549.0939669401728</v>
      </c>
      <c r="F6" s="13">
        <f>Income_Statement!F49</f>
        <v>6086.2728756575298</v>
      </c>
      <c r="G6" s="13">
        <f>Income_Statement!G49</f>
        <v>8192.517761668174</v>
      </c>
    </row>
    <row r="7" spans="2:15" ht="18.75" x14ac:dyDescent="0.25">
      <c r="B7" s="12" t="str">
        <f>Balance_Sheet!B74</f>
        <v>Total Assets</v>
      </c>
      <c r="C7" s="13">
        <f>Balance_Sheet!C74</f>
        <v>28691.32</v>
      </c>
      <c r="D7" s="13">
        <f>Balance_Sheet!D74</f>
        <v>30775.688465497875</v>
      </c>
      <c r="E7" s="13">
        <f>Balance_Sheet!E74</f>
        <v>32146.25243243805</v>
      </c>
      <c r="F7" s="13">
        <f>Balance_Sheet!F74</f>
        <v>39369.645308095576</v>
      </c>
      <c r="G7" s="13">
        <f>Balance_Sheet!G74</f>
        <v>50381.08306976375</v>
      </c>
    </row>
    <row r="8" spans="2:15" ht="18.75" x14ac:dyDescent="0.25">
      <c r="B8" s="14" t="s">
        <v>161</v>
      </c>
      <c r="C8" s="15">
        <f>ROUND(C6/ C7, 2)</f>
        <v>0.13</v>
      </c>
      <c r="D8" s="15">
        <f t="shared" ref="D8:G8" si="0">ROUND(D6/ D7, 2)</f>
        <v>0.15</v>
      </c>
      <c r="E8" s="15">
        <f t="shared" si="0"/>
        <v>0.11</v>
      </c>
      <c r="F8" s="15">
        <f t="shared" si="0"/>
        <v>0.15</v>
      </c>
      <c r="G8" s="15">
        <f t="shared" si="0"/>
        <v>0.16</v>
      </c>
    </row>
  </sheetData>
  <mergeCells count="1">
    <mergeCell ref="B5:G5"/>
  </mergeCells>
  <hyperlinks>
    <hyperlink ref="F1" location="Index_Data!A1" tooltip="Hi click here To return Index page" display="Index_Data!A1" xr:uid="{101234F1-2810-4F52-B190-BAA6AFBD647D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66E59-6F6F-46E8-BCA3-38CF58CF556D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6031.195049280318</v>
      </c>
      <c r="D6" s="13">
        <f>Income_Statement!D33</f>
        <v>7155.6484654978767</v>
      </c>
      <c r="E6" s="13">
        <f>Income_Statement!E33</f>
        <v>6168.1339669401723</v>
      </c>
      <c r="F6" s="13">
        <f>Income_Statement!F33</f>
        <v>8751.5328756575291</v>
      </c>
      <c r="G6" s="13">
        <f>Income_Statement!G33</f>
        <v>11813.827761668173</v>
      </c>
    </row>
    <row r="7" spans="2:15" ht="18.75" x14ac:dyDescent="0.25">
      <c r="B7" s="12" t="str">
        <f>Balance_Sheet!B21</f>
        <v>Total Debt</v>
      </c>
      <c r="C7" s="13">
        <f>Balance_Sheet!C21</f>
        <v>500.09</v>
      </c>
      <c r="D7" s="13">
        <f>Balance_Sheet!D21</f>
        <v>364.15</v>
      </c>
      <c r="E7" s="13">
        <f>Balance_Sheet!E21</f>
        <v>565.57000000000005</v>
      </c>
      <c r="F7" s="13">
        <f>Balance_Sheet!F21</f>
        <v>1994.4699999999998</v>
      </c>
      <c r="G7" s="13">
        <f>Balance_Sheet!G21</f>
        <v>3490.79</v>
      </c>
    </row>
    <row r="8" spans="2:15" ht="18.75" x14ac:dyDescent="0.25">
      <c r="B8" s="12" t="str">
        <f>Balance_Sheet!B13</f>
        <v>Net Worth</v>
      </c>
      <c r="C8" s="13">
        <f>Balance_Sheet!C13</f>
        <v>24417.41</v>
      </c>
      <c r="D8" s="13">
        <f>Balance_Sheet!D13</f>
        <v>26928.458465497875</v>
      </c>
      <c r="E8" s="13">
        <f>Balance_Sheet!E13</f>
        <v>28524.89243243805</v>
      </c>
      <c r="F8" s="13">
        <f>Balance_Sheet!F13</f>
        <v>32323.89530809558</v>
      </c>
      <c r="G8" s="13">
        <f>Balance_Sheet!G13</f>
        <v>40516.413069763752</v>
      </c>
    </row>
    <row r="9" spans="2:15" ht="18.75" x14ac:dyDescent="0.25">
      <c r="B9" s="14" t="s">
        <v>163</v>
      </c>
      <c r="C9" s="15">
        <f>ROUND(C6/ (C7+ C7), 2)</f>
        <v>6.03</v>
      </c>
      <c r="D9" s="15">
        <f t="shared" ref="D9:G9" si="0">ROUND(D6/ (D7+ D7), 2)</f>
        <v>9.83</v>
      </c>
      <c r="E9" s="15">
        <f t="shared" si="0"/>
        <v>5.45</v>
      </c>
      <c r="F9" s="15">
        <f t="shared" si="0"/>
        <v>2.19</v>
      </c>
      <c r="G9" s="15">
        <f t="shared" si="0"/>
        <v>1.69</v>
      </c>
    </row>
  </sheetData>
  <mergeCells count="1">
    <mergeCell ref="B5:G5"/>
  </mergeCells>
  <hyperlinks>
    <hyperlink ref="F1" location="Index_Data!A1" tooltip="Hi click here To return Index page" display="Index_Data!A1" xr:uid="{D2D4A10A-45F6-4653-A430-3B457D46B951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6A009-4931-412B-AD8E-E4B84EDC420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164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3765.0550492803177</v>
      </c>
      <c r="D6" s="13">
        <f>Income_Statement!D49</f>
        <v>4558.7984654978773</v>
      </c>
      <c r="E6" s="13">
        <f>Income_Statement!E49</f>
        <v>3549.0939669401728</v>
      </c>
      <c r="F6" s="13">
        <f>Income_Statement!F49</f>
        <v>6086.2728756575298</v>
      </c>
      <c r="G6" s="13">
        <f>Income_Statement!G49</f>
        <v>8192.517761668174</v>
      </c>
    </row>
    <row r="7" spans="2:15" ht="18.75" x14ac:dyDescent="0.25">
      <c r="B7" s="12" t="str">
        <f>Balance_Sheet!B13</f>
        <v>Net Worth</v>
      </c>
      <c r="C7" s="13">
        <f>Balance_Sheet!C13</f>
        <v>24417.41</v>
      </c>
      <c r="D7" s="13">
        <f>Balance_Sheet!D13</f>
        <v>26928.458465497875</v>
      </c>
      <c r="E7" s="13">
        <f>Balance_Sheet!E13</f>
        <v>28524.89243243805</v>
      </c>
      <c r="F7" s="13">
        <f>Balance_Sheet!F13</f>
        <v>32323.89530809558</v>
      </c>
      <c r="G7" s="13">
        <f>Balance_Sheet!G13</f>
        <v>40516.413069763752</v>
      </c>
    </row>
    <row r="8" spans="2:15" ht="18.75" x14ac:dyDescent="0.25">
      <c r="B8" s="14" t="s">
        <v>165</v>
      </c>
      <c r="C8" s="15">
        <f>ROUND(C6/ (C7+ C7), 2)</f>
        <v>0.08</v>
      </c>
      <c r="D8" s="15">
        <f t="shared" ref="D8:G8" si="0">ROUND(D6/ (D7+ D7), 2)</f>
        <v>0.08</v>
      </c>
      <c r="E8" s="15">
        <f t="shared" si="0"/>
        <v>0.06</v>
      </c>
      <c r="F8" s="15">
        <f t="shared" si="0"/>
        <v>0.09</v>
      </c>
      <c r="G8" s="15">
        <f t="shared" si="0"/>
        <v>0.1</v>
      </c>
    </row>
  </sheetData>
  <mergeCells count="1">
    <mergeCell ref="B5:G5"/>
  </mergeCells>
  <hyperlinks>
    <hyperlink ref="F1" location="Index_Data!A1" tooltip="Hi click here To return Index page" display="Index_Data!A1" xr:uid="{C32B92E3-48B7-49A9-973C-D955E77F567E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8AF82-6AE7-4678-BD43-175E1955DB5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166</v>
      </c>
      <c r="C5" s="44"/>
      <c r="D5" s="44"/>
      <c r="E5" s="44"/>
      <c r="F5" s="44"/>
      <c r="G5" s="44"/>
    </row>
    <row r="6" spans="2:15" ht="18.75" x14ac:dyDescent="0.25">
      <c r="B6" s="12" t="str">
        <f>Balance_Sheet!B21</f>
        <v>Total Debt</v>
      </c>
      <c r="C6" s="13">
        <f>Balance_Sheet!C21</f>
        <v>500.09</v>
      </c>
      <c r="D6" s="13">
        <f>Balance_Sheet!D21</f>
        <v>364.15</v>
      </c>
      <c r="E6" s="13">
        <f>Balance_Sheet!E21</f>
        <v>565.57000000000005</v>
      </c>
      <c r="F6" s="13">
        <f>Balance_Sheet!F21</f>
        <v>1994.4699999999998</v>
      </c>
      <c r="G6" s="13">
        <f>Balance_Sheet!G21</f>
        <v>3490.79</v>
      </c>
    </row>
    <row r="7" spans="2:15" ht="18.75" x14ac:dyDescent="0.25">
      <c r="B7" s="12" t="str">
        <f>Balance_Sheet!B13</f>
        <v>Net Worth</v>
      </c>
      <c r="C7" s="13">
        <f>Balance_Sheet!C13</f>
        <v>24417.41</v>
      </c>
      <c r="D7" s="13">
        <f>Balance_Sheet!D13</f>
        <v>26928.458465497875</v>
      </c>
      <c r="E7" s="13">
        <f>Balance_Sheet!E13</f>
        <v>28524.89243243805</v>
      </c>
      <c r="F7" s="13">
        <f>Balance_Sheet!F13</f>
        <v>32323.89530809558</v>
      </c>
      <c r="G7" s="13">
        <f>Balance_Sheet!G13</f>
        <v>40516.413069763752</v>
      </c>
    </row>
    <row r="8" spans="2:15" ht="18.75" x14ac:dyDescent="0.25">
      <c r="B8" s="14" t="s">
        <v>167</v>
      </c>
      <c r="C8" s="14">
        <f>ROUND(C6/ C7, 2)</f>
        <v>0.02</v>
      </c>
      <c r="D8" s="14">
        <f t="shared" ref="D8:G8" si="0">ROUND(D6/ D7, 2)</f>
        <v>0.01</v>
      </c>
      <c r="E8" s="14">
        <f t="shared" si="0"/>
        <v>0.02</v>
      </c>
      <c r="F8" s="14">
        <f t="shared" si="0"/>
        <v>0.06</v>
      </c>
      <c r="G8" s="14">
        <f t="shared" si="0"/>
        <v>0.09</v>
      </c>
    </row>
  </sheetData>
  <mergeCells count="1">
    <mergeCell ref="B5:G5"/>
  </mergeCells>
  <hyperlinks>
    <hyperlink ref="F1" location="Index_Data!A1" tooltip="Hi click here To return Index page" display="Index_Data!A1" xr:uid="{C91059F7-D7BF-4EE3-8F68-89D5FEEAB761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70CFF-49EC-4077-9595-4AA5DFE3D59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168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12016.32</v>
      </c>
      <c r="D6" s="13">
        <f>Balance_Sheet!D72</f>
        <v>12958.438465497875</v>
      </c>
      <c r="E6" s="13">
        <f>Balance_Sheet!E72</f>
        <v>12594.292432438049</v>
      </c>
      <c r="F6" s="13">
        <f>Balance_Sheet!F72</f>
        <v>18351.225308095578</v>
      </c>
      <c r="G6" s="13">
        <f>Balance_Sheet!G72</f>
        <v>27546.003069763748</v>
      </c>
    </row>
    <row r="7" spans="2:15" ht="18.75" x14ac:dyDescent="0.25">
      <c r="B7" s="12" t="str">
        <f>Balance_Sheet!B33</f>
        <v>Total Current Liabilities</v>
      </c>
      <c r="C7" s="13">
        <f>Balance_Sheet!C33</f>
        <v>3758.93</v>
      </c>
      <c r="D7" s="13">
        <f>Balance_Sheet!D33</f>
        <v>3469.1899999999996</v>
      </c>
      <c r="E7" s="13">
        <f>Balance_Sheet!E33</f>
        <v>3047.74</v>
      </c>
      <c r="F7" s="13">
        <f>Balance_Sheet!F33</f>
        <v>5037.74</v>
      </c>
      <c r="G7" s="13">
        <f>Balance_Sheet!G33</f>
        <v>6360.43</v>
      </c>
    </row>
    <row r="8" spans="2:15" ht="18.75" x14ac:dyDescent="0.25">
      <c r="B8" s="14" t="s">
        <v>169</v>
      </c>
      <c r="C8" s="14">
        <f>ROUND(C6/ C7, 2)</f>
        <v>3.2</v>
      </c>
      <c r="D8" s="14">
        <f t="shared" ref="D8:G8" si="0">ROUND(D6/ D7, 2)</f>
        <v>3.74</v>
      </c>
      <c r="E8" s="14">
        <f t="shared" si="0"/>
        <v>4.13</v>
      </c>
      <c r="F8" s="14">
        <f t="shared" si="0"/>
        <v>3.64</v>
      </c>
      <c r="G8" s="14">
        <f t="shared" si="0"/>
        <v>4.33</v>
      </c>
    </row>
  </sheetData>
  <mergeCells count="1">
    <mergeCell ref="B5:G5"/>
  </mergeCells>
  <hyperlinks>
    <hyperlink ref="F1" location="Index_Data!A1" tooltip="Hi click here To return Index page" display="Index_Data!A1" xr:uid="{F22BE1E0-E171-4DB5-8982-8095A5AB14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B5CC7-09EB-4B56-9CE1-A1A97C6155D9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11614.17</v>
      </c>
      <c r="D5" s="2">
        <v>12152.15</v>
      </c>
      <c r="E5" s="2">
        <v>11698.79</v>
      </c>
      <c r="F5" s="2">
        <v>15370.05</v>
      </c>
      <c r="G5" s="2">
        <v>25881.73</v>
      </c>
      <c r="H5" t="s">
        <v>1</v>
      </c>
    </row>
    <row r="6" spans="1:15" x14ac:dyDescent="0.25">
      <c r="A6" t="s">
        <v>98</v>
      </c>
      <c r="B6" t="s">
        <v>98</v>
      </c>
      <c r="C6">
        <v>0.01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15" x14ac:dyDescent="0.25">
      <c r="B7" t="s">
        <v>57</v>
      </c>
      <c r="C7" s="2">
        <v>11614.16</v>
      </c>
      <c r="D7" s="2">
        <v>12152.15</v>
      </c>
      <c r="E7" s="2">
        <v>11698.79</v>
      </c>
      <c r="F7" s="2">
        <v>15370.05</v>
      </c>
      <c r="G7" s="2">
        <v>25881.73</v>
      </c>
      <c r="H7" t="s">
        <v>1</v>
      </c>
    </row>
    <row r="8" spans="1:15" x14ac:dyDescent="0.25">
      <c r="B8" t="s">
        <v>58</v>
      </c>
      <c r="C8" s="2">
        <v>11614.9</v>
      </c>
      <c r="D8" s="2">
        <v>12152.67</v>
      </c>
      <c r="E8" s="2">
        <v>11699.22</v>
      </c>
      <c r="F8" s="2">
        <v>15370.06</v>
      </c>
      <c r="G8" s="2">
        <v>25881.73</v>
      </c>
      <c r="H8" t="s">
        <v>1</v>
      </c>
    </row>
    <row r="9" spans="1:15" x14ac:dyDescent="0.25">
      <c r="A9" t="s">
        <v>59</v>
      </c>
      <c r="B9" t="s">
        <v>59</v>
      </c>
      <c r="C9">
        <v>523.22</v>
      </c>
      <c r="D9">
        <v>588.96</v>
      </c>
      <c r="E9">
        <v>514.36</v>
      </c>
      <c r="F9">
        <v>351.6</v>
      </c>
      <c r="G9">
        <v>718.52</v>
      </c>
      <c r="H9" t="s">
        <v>1</v>
      </c>
    </row>
    <row r="10" spans="1:15" x14ac:dyDescent="0.25">
      <c r="B10" t="s">
        <v>60</v>
      </c>
      <c r="C10" s="2">
        <v>12138.12</v>
      </c>
      <c r="D10" s="2">
        <v>12741.63</v>
      </c>
      <c r="E10" s="2">
        <v>12213.58</v>
      </c>
      <c r="F10" s="2">
        <v>15721.66</v>
      </c>
      <c r="G10" s="2">
        <v>26600.25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>
        <v>386.9</v>
      </c>
      <c r="D12">
        <v>426.42</v>
      </c>
      <c r="E12">
        <v>394.36</v>
      </c>
      <c r="F12">
        <v>410.24</v>
      </c>
      <c r="G12">
        <v>106.95</v>
      </c>
      <c r="H12" t="s">
        <v>1</v>
      </c>
    </row>
    <row r="13" spans="1:15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15" x14ac:dyDescent="0.25">
      <c r="A14" t="s">
        <v>99</v>
      </c>
      <c r="B14" t="s">
        <v>64</v>
      </c>
      <c r="C14">
        <v>2119.73</v>
      </c>
      <c r="D14" s="2">
        <v>2003.78</v>
      </c>
      <c r="E14" s="2">
        <v>2096.29</v>
      </c>
      <c r="F14" s="2">
        <v>2969.38</v>
      </c>
      <c r="G14" s="2">
        <v>0</v>
      </c>
      <c r="H14" t="s">
        <v>1</v>
      </c>
    </row>
    <row r="15" spans="1:15" x14ac:dyDescent="0.25">
      <c r="B15" t="s">
        <v>65</v>
      </c>
      <c r="C15" s="2">
        <v>-38.479999999999997</v>
      </c>
      <c r="D15">
        <v>-79.22</v>
      </c>
      <c r="E15">
        <v>-53.83</v>
      </c>
      <c r="F15">
        <v>-161.81</v>
      </c>
      <c r="G15">
        <v>-1200.5</v>
      </c>
      <c r="H15" t="s">
        <v>1</v>
      </c>
    </row>
    <row r="16" spans="1:15" x14ac:dyDescent="0.25">
      <c r="A16" t="s">
        <v>99</v>
      </c>
      <c r="B16" t="s">
        <v>66</v>
      </c>
      <c r="C16" s="2">
        <v>1049.23</v>
      </c>
      <c r="D16" s="2">
        <v>1039.4000000000001</v>
      </c>
      <c r="E16" s="2">
        <v>1049.3599999999999</v>
      </c>
      <c r="F16" s="2">
        <v>1085.24</v>
      </c>
      <c r="G16" s="2">
        <v>1337.07</v>
      </c>
      <c r="H16" t="s">
        <v>1</v>
      </c>
    </row>
    <row r="17" spans="1:8" x14ac:dyDescent="0.25">
      <c r="A17" t="s">
        <v>100</v>
      </c>
      <c r="B17" t="s">
        <v>67</v>
      </c>
      <c r="C17">
        <v>37.1</v>
      </c>
      <c r="D17">
        <v>40.32</v>
      </c>
      <c r="E17">
        <v>9.8800000000000008</v>
      </c>
      <c r="F17">
        <v>16.809999999999999</v>
      </c>
      <c r="G17">
        <v>39.06</v>
      </c>
      <c r="H17" t="s">
        <v>1</v>
      </c>
    </row>
    <row r="18" spans="1:8" x14ac:dyDescent="0.25">
      <c r="A18" t="s">
        <v>101</v>
      </c>
      <c r="B18" t="s">
        <v>68</v>
      </c>
      <c r="C18">
        <v>256.63</v>
      </c>
      <c r="D18">
        <v>279.04000000000002</v>
      </c>
      <c r="E18">
        <v>294.93</v>
      </c>
      <c r="F18">
        <v>228.54</v>
      </c>
      <c r="G18">
        <v>287.74</v>
      </c>
      <c r="H18" t="s">
        <v>1</v>
      </c>
    </row>
    <row r="19" spans="1:8" x14ac:dyDescent="0.25">
      <c r="A19" t="s">
        <v>99</v>
      </c>
      <c r="B19" t="s">
        <v>69</v>
      </c>
      <c r="C19" s="2">
        <v>2294.7399999999998</v>
      </c>
      <c r="D19" s="2">
        <v>1837.87</v>
      </c>
      <c r="E19" s="2">
        <v>2211.12</v>
      </c>
      <c r="F19" s="2">
        <v>2277.7399999999998</v>
      </c>
      <c r="G19" s="2">
        <v>13055.69</v>
      </c>
      <c r="H19" t="s">
        <v>1</v>
      </c>
    </row>
    <row r="20" spans="1:8" x14ac:dyDescent="0.25">
      <c r="B20" t="s">
        <v>70</v>
      </c>
      <c r="C20" s="2">
        <v>6105.85</v>
      </c>
      <c r="D20" s="2">
        <v>5547.61</v>
      </c>
      <c r="E20" s="2">
        <v>6002.11</v>
      </c>
      <c r="F20" s="2">
        <v>6826.14</v>
      </c>
      <c r="G20" s="2">
        <v>13626.01</v>
      </c>
      <c r="H20" t="s">
        <v>1</v>
      </c>
    </row>
    <row r="21" spans="1:8" x14ac:dyDescent="0.25">
      <c r="B21" t="s">
        <v>71</v>
      </c>
      <c r="C21" s="2">
        <v>6032.27</v>
      </c>
      <c r="D21" s="2">
        <v>7194.02</v>
      </c>
      <c r="E21" s="2">
        <v>6211.47</v>
      </c>
      <c r="F21" s="2">
        <v>8895.52</v>
      </c>
      <c r="G21" s="2">
        <v>12974.24</v>
      </c>
      <c r="H21" t="s">
        <v>1</v>
      </c>
    </row>
    <row r="22" spans="1:8" x14ac:dyDescent="0.25">
      <c r="A22" t="s">
        <v>102</v>
      </c>
      <c r="B22" t="s">
        <v>72</v>
      </c>
      <c r="C22">
        <v>144.30000000000001</v>
      </c>
      <c r="D22">
        <v>0</v>
      </c>
      <c r="E22">
        <v>-96.44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6176.57</v>
      </c>
      <c r="D23" s="2">
        <v>7194.02</v>
      </c>
      <c r="E23" s="2">
        <v>6115.03</v>
      </c>
      <c r="F23" s="2">
        <v>8895.52</v>
      </c>
      <c r="G23" s="2">
        <v>12974.24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2141.62</v>
      </c>
      <c r="D25" s="2">
        <v>2752.7</v>
      </c>
      <c r="E25" s="2">
        <v>1555.59</v>
      </c>
      <c r="F25" s="2">
        <v>2316.46</v>
      </c>
      <c r="G25" s="2">
        <v>3582.25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67.66</v>
      </c>
      <c r="D27">
        <v>-197.02</v>
      </c>
      <c r="E27">
        <v>185.66</v>
      </c>
      <c r="F27">
        <v>-11.21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2373.34</v>
      </c>
      <c r="D29" s="2">
        <v>2556.5300000000002</v>
      </c>
      <c r="E29" s="2">
        <v>2512.7199999999998</v>
      </c>
      <c r="F29" s="2">
        <v>2648.45</v>
      </c>
      <c r="G29" s="2">
        <v>3582.25</v>
      </c>
      <c r="H29" t="s">
        <v>1</v>
      </c>
    </row>
    <row r="30" spans="1:8" x14ac:dyDescent="0.25">
      <c r="B30" t="s">
        <v>80</v>
      </c>
      <c r="C30" s="2">
        <v>3803.23</v>
      </c>
      <c r="D30" s="2">
        <v>4637.49</v>
      </c>
      <c r="E30" s="2">
        <v>3602.31</v>
      </c>
      <c r="F30" s="2">
        <v>6247.07</v>
      </c>
      <c r="G30" s="2">
        <v>9391.99</v>
      </c>
      <c r="H30" t="s">
        <v>1</v>
      </c>
    </row>
    <row r="31" spans="1:8" x14ac:dyDescent="0.25">
      <c r="B31" t="s">
        <v>81</v>
      </c>
      <c r="C31" s="2">
        <v>3803.23</v>
      </c>
      <c r="D31" s="2">
        <v>4637.49</v>
      </c>
      <c r="E31" s="2">
        <v>3602.31</v>
      </c>
      <c r="F31" s="2">
        <v>6247.07</v>
      </c>
      <c r="G31" s="2">
        <v>9391.31</v>
      </c>
      <c r="H31" t="s">
        <v>1</v>
      </c>
    </row>
    <row r="32" spans="1:8" x14ac:dyDescent="0.25">
      <c r="B32" t="s">
        <v>82</v>
      </c>
      <c r="C32" s="2">
        <v>3802.79</v>
      </c>
      <c r="D32" s="2">
        <v>4637.07</v>
      </c>
      <c r="E32" s="2">
        <v>3601.52</v>
      </c>
      <c r="F32" s="2">
        <v>6247.47</v>
      </c>
      <c r="G32" s="2">
        <v>9391.31</v>
      </c>
      <c r="H32" t="s">
        <v>1</v>
      </c>
    </row>
    <row r="33" spans="1:8" x14ac:dyDescent="0.25">
      <c r="B33" t="s">
        <v>10</v>
      </c>
      <c r="C33">
        <v>0.94</v>
      </c>
      <c r="D33">
        <v>0.89</v>
      </c>
      <c r="E33">
        <v>0.33</v>
      </c>
      <c r="F33">
        <v>0.37</v>
      </c>
      <c r="G33">
        <v>0.55000000000000004</v>
      </c>
      <c r="H33" t="s">
        <v>1</v>
      </c>
    </row>
    <row r="34" spans="1:8" x14ac:dyDescent="0.25">
      <c r="B34" t="s">
        <v>83</v>
      </c>
      <c r="C34" s="2">
        <v>3808.46</v>
      </c>
      <c r="D34" s="2">
        <v>4618.84</v>
      </c>
      <c r="E34" s="2">
        <v>3573.29</v>
      </c>
      <c r="F34" s="2">
        <v>6277.01</v>
      </c>
      <c r="G34" s="2">
        <v>9379.6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12</v>
      </c>
      <c r="D37">
        <v>15</v>
      </c>
      <c r="E37">
        <v>12</v>
      </c>
      <c r="F37">
        <v>21</v>
      </c>
      <c r="G37">
        <v>32</v>
      </c>
      <c r="H37" t="s">
        <v>1</v>
      </c>
    </row>
    <row r="38" spans="1:8" x14ac:dyDescent="0.25">
      <c r="B38" t="s">
        <v>86</v>
      </c>
      <c r="C38">
        <v>12</v>
      </c>
      <c r="D38">
        <v>15</v>
      </c>
      <c r="E38">
        <v>12</v>
      </c>
      <c r="F38">
        <v>21</v>
      </c>
      <c r="G38">
        <v>32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1676.86</v>
      </c>
      <c r="D40" s="2">
        <v>1690.14</v>
      </c>
      <c r="E40" s="2">
        <v>1619.72</v>
      </c>
      <c r="F40" s="2">
        <v>2274.15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341.37</v>
      </c>
      <c r="D41">
        <v>347.41</v>
      </c>
      <c r="E41">
        <v>332.94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5475FF87-3D13-4137-95FA-76668FA3C04D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7B137-117A-48EC-ADFB-12B8881C27C9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170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12016.32</v>
      </c>
      <c r="D6" s="13">
        <f>Balance_Sheet!D72</f>
        <v>12958.438465497875</v>
      </c>
      <c r="E6" s="13">
        <f>Balance_Sheet!E72</f>
        <v>12594.292432438049</v>
      </c>
      <c r="F6" s="13">
        <f>Balance_Sheet!F72</f>
        <v>18351.225308095578</v>
      </c>
      <c r="G6" s="13">
        <f>Balance_Sheet!G72</f>
        <v>27546.003069763748</v>
      </c>
    </row>
    <row r="7" spans="2:15" ht="18.75" x14ac:dyDescent="0.25">
      <c r="B7" s="12" t="str">
        <f>Balance_Sheet!B66</f>
        <v>Inventories</v>
      </c>
      <c r="C7" s="13">
        <f>Balance_Sheet!C66</f>
        <v>571.69000000000005</v>
      </c>
      <c r="D7" s="13">
        <f>Balance_Sheet!D66</f>
        <v>666.17</v>
      </c>
      <c r="E7" s="13">
        <f>Balance_Sheet!E66</f>
        <v>723.51</v>
      </c>
      <c r="F7" s="13">
        <f>Balance_Sheet!F66</f>
        <v>921.72</v>
      </c>
      <c r="G7" s="13">
        <f>Balance_Sheet!G66</f>
        <v>2164.9</v>
      </c>
    </row>
    <row r="8" spans="2:15" ht="18.75" x14ac:dyDescent="0.25">
      <c r="B8" s="12" t="str">
        <f>Balance_Sheet!B33</f>
        <v>Total Current Liabilities</v>
      </c>
      <c r="C8" s="13">
        <f>Balance_Sheet!C33</f>
        <v>3758.93</v>
      </c>
      <c r="D8" s="13">
        <f>Balance_Sheet!D33</f>
        <v>3469.1899999999996</v>
      </c>
      <c r="E8" s="13">
        <f>Balance_Sheet!E33</f>
        <v>3047.74</v>
      </c>
      <c r="F8" s="13">
        <f>Balance_Sheet!F33</f>
        <v>5037.74</v>
      </c>
      <c r="G8" s="13">
        <f>Balance_Sheet!G33</f>
        <v>6360.43</v>
      </c>
    </row>
    <row r="9" spans="2:15" ht="18.75" x14ac:dyDescent="0.25">
      <c r="B9" s="14" t="s">
        <v>171</v>
      </c>
      <c r="C9" s="14">
        <f>ROUND((C6-C7)/ C8, 2)</f>
        <v>3.04</v>
      </c>
      <c r="D9" s="14">
        <f t="shared" ref="D9:G9" si="0">ROUND((D6-D7)/ D8, 2)</f>
        <v>3.54</v>
      </c>
      <c r="E9" s="14">
        <f t="shared" si="0"/>
        <v>3.89</v>
      </c>
      <c r="F9" s="14">
        <f t="shared" si="0"/>
        <v>3.46</v>
      </c>
      <c r="G9" s="14">
        <f t="shared" si="0"/>
        <v>3.99</v>
      </c>
    </row>
  </sheetData>
  <mergeCells count="1">
    <mergeCell ref="B5:G5"/>
  </mergeCells>
  <hyperlinks>
    <hyperlink ref="F1" location="Index_Data!A1" tooltip="Hi click here To return Index page" display="Index_Data!A1" xr:uid="{9C22E580-457E-41A2-B616-A104C0BA7DF8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4E3C1-CB47-41FC-9022-17051C03DC9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6" width="11.5703125" bestFit="1" customWidth="1"/>
    <col min="7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6031.195049280318</v>
      </c>
      <c r="D6" s="13">
        <f>Income_Statement!D33</f>
        <v>7155.6484654978767</v>
      </c>
      <c r="E6" s="13">
        <f>Income_Statement!E33</f>
        <v>6168.1339669401723</v>
      </c>
      <c r="F6" s="13">
        <f>Income_Statement!F33</f>
        <v>8751.5328756575291</v>
      </c>
      <c r="G6" s="13">
        <f>Income_Statement!G33</f>
        <v>11813.827761668173</v>
      </c>
    </row>
    <row r="7" spans="2:15" ht="18.75" x14ac:dyDescent="0.25">
      <c r="B7" s="12" t="str">
        <f>Income_Statement!B35</f>
        <v>Finance Costs</v>
      </c>
      <c r="C7" s="13">
        <f>Income_Statement!C35</f>
        <v>37.1</v>
      </c>
      <c r="D7" s="13">
        <f>Income_Statement!D35</f>
        <v>40.32</v>
      </c>
      <c r="E7" s="13">
        <f>Income_Statement!E35</f>
        <v>9.8800000000000008</v>
      </c>
      <c r="F7" s="13">
        <f>Income_Statement!F35</f>
        <v>16.809999999999999</v>
      </c>
      <c r="G7" s="13">
        <f>Income_Statement!G35</f>
        <v>39.06</v>
      </c>
    </row>
    <row r="8" spans="2:15" ht="18.75" x14ac:dyDescent="0.25">
      <c r="B8" s="14" t="s">
        <v>173</v>
      </c>
      <c r="C8" s="14">
        <f>ROUND(C6/C7, 2)</f>
        <v>162.57</v>
      </c>
      <c r="D8" s="14">
        <f t="shared" ref="D8:G8" si="0">ROUND(D6/D7, 2)</f>
        <v>177.47</v>
      </c>
      <c r="E8" s="14">
        <f t="shared" si="0"/>
        <v>624.30999999999995</v>
      </c>
      <c r="F8" s="14">
        <f t="shared" si="0"/>
        <v>520.61</v>
      </c>
      <c r="G8" s="14">
        <f t="shared" si="0"/>
        <v>302.45</v>
      </c>
    </row>
  </sheetData>
  <mergeCells count="1">
    <mergeCell ref="B5:G5"/>
  </mergeCells>
  <hyperlinks>
    <hyperlink ref="F1" location="Index_Data!A1" tooltip="Hi click here To return Index page" display="Index_Data!A1" xr:uid="{DBFE1673-C5EA-4298-93A6-1A52777E9066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3D255-5DA0-4CAC-AB77-560772B255D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174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386.9</v>
      </c>
      <c r="D6" s="13">
        <f>Income_Statement!D17</f>
        <v>426.42</v>
      </c>
      <c r="E6" s="13">
        <f>Income_Statement!E17</f>
        <v>394.36</v>
      </c>
      <c r="F6" s="13">
        <f>Income_Statement!F17</f>
        <v>410.24</v>
      </c>
      <c r="G6" s="13">
        <f>Income_Statement!G17</f>
        <v>106.95</v>
      </c>
    </row>
    <row r="7" spans="2:15" ht="18.75" x14ac:dyDescent="0.25">
      <c r="B7" s="12" t="str">
        <f>Income_Statement!B9</f>
        <v>Net Sales</v>
      </c>
      <c r="C7" s="13">
        <f>Income_Statement!C9</f>
        <v>11614.16</v>
      </c>
      <c r="D7" s="13">
        <f>Income_Statement!D9</f>
        <v>12152.15</v>
      </c>
      <c r="E7" s="13">
        <f>Income_Statement!E9</f>
        <v>11698.79</v>
      </c>
      <c r="F7" s="13">
        <f>Income_Statement!F9</f>
        <v>15370.05</v>
      </c>
      <c r="G7" s="13">
        <f>Income_Statement!G9</f>
        <v>25881.73</v>
      </c>
    </row>
    <row r="8" spans="2:15" ht="18.75" x14ac:dyDescent="0.25">
      <c r="B8" s="14" t="s">
        <v>175</v>
      </c>
      <c r="C8" s="14">
        <f>ROUND(C6/C7, 2)</f>
        <v>0.03</v>
      </c>
      <c r="D8" s="14">
        <f t="shared" ref="D8:G8" si="0">ROUND(D6/D7, 2)</f>
        <v>0.04</v>
      </c>
      <c r="E8" s="14">
        <f t="shared" si="0"/>
        <v>0.03</v>
      </c>
      <c r="F8" s="14">
        <f t="shared" si="0"/>
        <v>0.03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89A71E14-EDE3-45E9-BEC3-0F6E14525B3D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FC2E5-7494-470E-83C9-25F6BA3DB74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2.28515625" bestFit="1" customWidth="1"/>
    <col min="7" max="7" width="14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176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5460.98</v>
      </c>
      <c r="D6" s="13">
        <f>Balance_Sheet!D70</f>
        <v>5876.778465497875</v>
      </c>
      <c r="E6" s="13">
        <f>Balance_Sheet!E70</f>
        <v>3986.7824324380485</v>
      </c>
      <c r="F6" s="13">
        <f>Balance_Sheet!F70</f>
        <v>9249.4853080955781</v>
      </c>
      <c r="G6" s="13">
        <f>Balance_Sheet!G70</f>
        <v>14691.943069763749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386.9</v>
      </c>
      <c r="D7" s="13">
        <f>Income_Statement!D17</f>
        <v>426.42</v>
      </c>
      <c r="E7" s="13">
        <f>Income_Statement!E17</f>
        <v>394.36</v>
      </c>
      <c r="F7" s="13">
        <f>Income_Statement!F17</f>
        <v>410.24</v>
      </c>
      <c r="G7" s="13">
        <f>Income_Statement!G17</f>
        <v>106.95</v>
      </c>
    </row>
    <row r="8" spans="2:15" ht="18.75" x14ac:dyDescent="0.25">
      <c r="B8" s="14" t="s">
        <v>177</v>
      </c>
      <c r="C8" s="14">
        <f>ROUND(C6/C7*365, 2)</f>
        <v>5151.87</v>
      </c>
      <c r="D8" s="14">
        <f t="shared" ref="D8:G8" si="0">ROUND(D6/D7*365, 2)</f>
        <v>5030.3100000000004</v>
      </c>
      <c r="E8" s="14">
        <f t="shared" si="0"/>
        <v>3689.97</v>
      </c>
      <c r="F8" s="14">
        <f t="shared" si="0"/>
        <v>8229.48</v>
      </c>
      <c r="G8" s="14">
        <f t="shared" si="0"/>
        <v>50140.81</v>
      </c>
    </row>
  </sheetData>
  <mergeCells count="1">
    <mergeCell ref="B5:G5"/>
  </mergeCells>
  <hyperlinks>
    <hyperlink ref="F1" location="Index_Data!A1" tooltip="Hi click here To return Index page" display="Index_Data!A1" xr:uid="{E14509F3-CC0B-45C5-B65F-1FEA12CF4EB9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8C115-A88A-45F7-808F-8ABF6654180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6" width="12.28515625" bestFit="1" customWidth="1"/>
    <col min="7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178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5460.98</v>
      </c>
      <c r="D6" s="13">
        <f>Balance_Sheet!D70</f>
        <v>5876.778465497875</v>
      </c>
      <c r="E6" s="13">
        <f>Balance_Sheet!E70</f>
        <v>3986.7824324380485</v>
      </c>
      <c r="F6" s="13">
        <f>Balance_Sheet!F70</f>
        <v>9249.4853080955781</v>
      </c>
      <c r="G6" s="13">
        <f>Balance_Sheet!G70</f>
        <v>14691.943069763749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5460.98</v>
      </c>
      <c r="D8" s="14">
        <f t="shared" ref="D8:G8" si="0">ROUND(D6/D7*365, 2)</f>
        <v>5876.78</v>
      </c>
      <c r="E8" s="14">
        <f t="shared" si="0"/>
        <v>3986.78</v>
      </c>
      <c r="F8" s="14">
        <f t="shared" si="0"/>
        <v>9249.49</v>
      </c>
      <c r="G8" s="14">
        <f t="shared" si="0"/>
        <v>14691.94</v>
      </c>
    </row>
  </sheetData>
  <mergeCells count="1">
    <mergeCell ref="B5:G5"/>
  </mergeCells>
  <hyperlinks>
    <hyperlink ref="F1" location="Index_Data!A1" tooltip="Hi click here To return Index page" display="Index_Data!A1" xr:uid="{D5CAD22E-BD95-4390-BCA2-3068844680B9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FAF45-36AE-434B-ABD4-6EFC860630D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11614.17</v>
      </c>
      <c r="D6" s="13">
        <f>Income_Statement!D5</f>
        <v>12152.15</v>
      </c>
      <c r="E6" s="13">
        <f>Income_Statement!E5</f>
        <v>11698.79</v>
      </c>
      <c r="F6" s="13">
        <f>Income_Statement!F5</f>
        <v>15370.05</v>
      </c>
      <c r="G6" s="13">
        <f>Income_Statement!G5</f>
        <v>25881.73</v>
      </c>
    </row>
    <row r="7" spans="2:15" ht="18.75" x14ac:dyDescent="0.25">
      <c r="B7" s="12" t="str">
        <f>Balance_Sheet!B74</f>
        <v>Total Assets</v>
      </c>
      <c r="C7" s="13">
        <f>Balance_Sheet!C74</f>
        <v>28691.32</v>
      </c>
      <c r="D7" s="13">
        <f>Balance_Sheet!D74</f>
        <v>30775.688465497875</v>
      </c>
      <c r="E7" s="13">
        <f>Balance_Sheet!E74</f>
        <v>32146.25243243805</v>
      </c>
      <c r="F7" s="13">
        <f>Balance_Sheet!F74</f>
        <v>39369.645308095576</v>
      </c>
      <c r="G7" s="13">
        <f>Balance_Sheet!G74</f>
        <v>50381.08306976375</v>
      </c>
    </row>
    <row r="8" spans="2:15" ht="18.75" x14ac:dyDescent="0.25">
      <c r="B8" s="14" t="s">
        <v>182</v>
      </c>
      <c r="C8" s="14">
        <f>ROUND(C6/C7, 2)</f>
        <v>0.4</v>
      </c>
      <c r="D8" s="14">
        <f t="shared" ref="D8:G8" si="0">ROUND(D6/D7, 2)</f>
        <v>0.39</v>
      </c>
      <c r="E8" s="14">
        <f t="shared" si="0"/>
        <v>0.36</v>
      </c>
      <c r="F8" s="14">
        <f t="shared" si="0"/>
        <v>0.39</v>
      </c>
      <c r="G8" s="14">
        <f t="shared" si="0"/>
        <v>0.51</v>
      </c>
    </row>
  </sheetData>
  <mergeCells count="1">
    <mergeCell ref="B5:G5"/>
  </mergeCells>
  <hyperlinks>
    <hyperlink ref="F1" location="Index_Data!A1" tooltip="Hi click here To return Index page" display="Index_Data!A1" xr:uid="{1448560B-6136-496B-A4DA-1958BB339EB7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5DFDF-1DE6-4A30-9640-3DD8B2614A5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183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11614.17</v>
      </c>
      <c r="D6" s="13">
        <f>Income_Statement!D5</f>
        <v>12152.15</v>
      </c>
      <c r="E6" s="13">
        <f>Income_Statement!E5</f>
        <v>11698.79</v>
      </c>
      <c r="F6" s="13">
        <f>Income_Statement!F5</f>
        <v>15370.05</v>
      </c>
      <c r="G6" s="13">
        <f>Income_Statement!G5</f>
        <v>25881.73</v>
      </c>
    </row>
    <row r="7" spans="2:15" ht="18.75" x14ac:dyDescent="0.25">
      <c r="B7" s="12" t="str">
        <f>Balance_Sheet!B66</f>
        <v>Inventories</v>
      </c>
      <c r="C7" s="13">
        <f>Balance_Sheet!C66</f>
        <v>571.69000000000005</v>
      </c>
      <c r="D7" s="13">
        <f>Balance_Sheet!D66</f>
        <v>666.17</v>
      </c>
      <c r="E7" s="13">
        <f>Balance_Sheet!E66</f>
        <v>723.51</v>
      </c>
      <c r="F7" s="13">
        <f>Balance_Sheet!F66</f>
        <v>921.72</v>
      </c>
      <c r="G7" s="13">
        <f>Balance_Sheet!G66</f>
        <v>2164.9</v>
      </c>
    </row>
    <row r="8" spans="2:15" ht="18.75" x14ac:dyDescent="0.25">
      <c r="B8" s="14" t="s">
        <v>184</v>
      </c>
      <c r="C8" s="14">
        <f>ROUND(C6/C7, 2)</f>
        <v>20.32</v>
      </c>
      <c r="D8" s="14">
        <f t="shared" ref="D8:G8" si="0">ROUND(D6/D7, 2)</f>
        <v>18.239999999999998</v>
      </c>
      <c r="E8" s="14">
        <f t="shared" si="0"/>
        <v>16.170000000000002</v>
      </c>
      <c r="F8" s="14">
        <f t="shared" si="0"/>
        <v>16.68</v>
      </c>
      <c r="G8" s="14">
        <f t="shared" si="0"/>
        <v>11.96</v>
      </c>
    </row>
  </sheetData>
  <mergeCells count="1">
    <mergeCell ref="B5:G5"/>
  </mergeCells>
  <hyperlinks>
    <hyperlink ref="F1" location="Index_Data!A1" tooltip="Hi click here To return Index page" display="Index_Data!A1" xr:uid="{BBB0C4E6-1113-4D6B-8044-D96AB20AD529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5628A-DB1D-4AFD-B80F-2FFB19329F3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11614.17</v>
      </c>
      <c r="D6" s="13">
        <f>Income_Statement!D5</f>
        <v>12152.15</v>
      </c>
      <c r="E6" s="13">
        <f>Income_Statement!E5</f>
        <v>11698.79</v>
      </c>
      <c r="F6" s="13">
        <f>Income_Statement!F5</f>
        <v>15370.05</v>
      </c>
      <c r="G6" s="13">
        <f>Income_Statement!G5</f>
        <v>25881.73</v>
      </c>
    </row>
    <row r="7" spans="2:15" ht="18.75" x14ac:dyDescent="0.25">
      <c r="B7" s="12" t="str">
        <f>Balance_Sheet!B68</f>
        <v>Trade Receivables</v>
      </c>
      <c r="C7" s="13">
        <f>Balance_Sheet!C68</f>
        <v>1472.74</v>
      </c>
      <c r="D7" s="13">
        <f>Balance_Sheet!D68</f>
        <v>1424.51</v>
      </c>
      <c r="E7" s="13">
        <f>Balance_Sheet!E68</f>
        <v>2223.71</v>
      </c>
      <c r="F7" s="13">
        <f>Balance_Sheet!F68</f>
        <v>2139.89</v>
      </c>
      <c r="G7" s="13">
        <f>Balance_Sheet!G68</f>
        <v>2954.3</v>
      </c>
    </row>
    <row r="8" spans="2:15" ht="18.75" x14ac:dyDescent="0.25">
      <c r="B8" s="14" t="s">
        <v>186</v>
      </c>
      <c r="C8" s="14">
        <f>ROUND(C6/C7, 2)</f>
        <v>7.89</v>
      </c>
      <c r="D8" s="14">
        <f t="shared" ref="D8:G8" si="0">ROUND(D6/D7, 2)</f>
        <v>8.5299999999999994</v>
      </c>
      <c r="E8" s="14">
        <f t="shared" si="0"/>
        <v>5.26</v>
      </c>
      <c r="F8" s="14">
        <f t="shared" si="0"/>
        <v>7.18</v>
      </c>
      <c r="G8" s="14">
        <f t="shared" si="0"/>
        <v>8.76</v>
      </c>
    </row>
  </sheetData>
  <mergeCells count="1">
    <mergeCell ref="B5:G5"/>
  </mergeCells>
  <hyperlinks>
    <hyperlink ref="F1" location="Index_Data!A1" tooltip="Hi click here To return Index page" display="Index_Data!A1" xr:uid="{A7F80C22-0EDF-4640-B07C-91DF547498A8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B0394-5B78-4443-8C08-CC1F66C12196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11614.17</v>
      </c>
      <c r="D6" s="13">
        <f>Income_Statement!D5</f>
        <v>12152.15</v>
      </c>
      <c r="E6" s="13">
        <f>Income_Statement!E5</f>
        <v>11698.79</v>
      </c>
      <c r="F6" s="13">
        <f>Income_Statement!F5</f>
        <v>15370.05</v>
      </c>
      <c r="G6" s="13">
        <f>Income_Statement!G5</f>
        <v>25881.73</v>
      </c>
    </row>
    <row r="7" spans="2:15" ht="18.75" x14ac:dyDescent="0.25">
      <c r="B7" s="12" t="str">
        <f>Balance_Sheet!B40</f>
        <v>Tangible Assets</v>
      </c>
      <c r="C7" s="13">
        <f>Balance_Sheet!C40</f>
        <v>3149.61</v>
      </c>
      <c r="D7" s="13">
        <f>Balance_Sheet!D40</f>
        <v>3198.51</v>
      </c>
      <c r="E7" s="13">
        <f>Balance_Sheet!E40</f>
        <v>3260.95</v>
      </c>
      <c r="F7" s="13">
        <f>Balance_Sheet!F40</f>
        <v>3320.95</v>
      </c>
      <c r="G7" s="13">
        <f>Balance_Sheet!G40</f>
        <v>23030.38</v>
      </c>
    </row>
    <row r="8" spans="2:15" ht="18.75" x14ac:dyDescent="0.25">
      <c r="B8" s="14" t="s">
        <v>188</v>
      </c>
      <c r="C8" s="14">
        <f>ROUND(C6/C7, 2)</f>
        <v>3.69</v>
      </c>
      <c r="D8" s="14">
        <f t="shared" ref="D8:G8" si="0">ROUND(D6/D7, 2)</f>
        <v>3.8</v>
      </c>
      <c r="E8" s="14">
        <f t="shared" si="0"/>
        <v>3.59</v>
      </c>
      <c r="F8" s="14">
        <f t="shared" si="0"/>
        <v>4.63</v>
      </c>
      <c r="G8" s="14">
        <f t="shared" si="0"/>
        <v>1.1200000000000001</v>
      </c>
    </row>
  </sheetData>
  <mergeCells count="1">
    <mergeCell ref="B5:G5"/>
  </mergeCells>
  <hyperlinks>
    <hyperlink ref="F1" location="Index_Data!A1" tooltip="Hi click here To return Index page" display="Index_Data!A1" xr:uid="{5880626D-913E-4F65-B685-E1F335F06325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45AF4-3DE2-4D04-9588-D2648758D890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189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386.9</v>
      </c>
      <c r="D6" s="13">
        <f>Income_Statement!D17</f>
        <v>426.42</v>
      </c>
      <c r="E6" s="13">
        <f>Income_Statement!E17</f>
        <v>394.36</v>
      </c>
      <c r="F6" s="13">
        <f>Income_Statement!F17</f>
        <v>410.24</v>
      </c>
      <c r="G6" s="13">
        <f>Income_Statement!G17</f>
        <v>106.95</v>
      </c>
    </row>
    <row r="7" spans="2:15" ht="18.75" x14ac:dyDescent="0.25">
      <c r="B7" s="12" t="str">
        <f>Balance_Sheet!B33</f>
        <v>Total Current Liabilities</v>
      </c>
      <c r="C7" s="13">
        <f>Balance_Sheet!C33</f>
        <v>3758.93</v>
      </c>
      <c r="D7" s="13">
        <f>Balance_Sheet!D33</f>
        <v>3469.1899999999996</v>
      </c>
      <c r="E7" s="13">
        <f>Balance_Sheet!E33</f>
        <v>3047.74</v>
      </c>
      <c r="F7" s="13">
        <f>Balance_Sheet!F33</f>
        <v>5037.74</v>
      </c>
      <c r="G7" s="13">
        <f>Balance_Sheet!G33</f>
        <v>6360.43</v>
      </c>
    </row>
    <row r="8" spans="2:15" ht="18.75" x14ac:dyDescent="0.25">
      <c r="B8" s="14" t="s">
        <v>190</v>
      </c>
      <c r="C8" s="14">
        <f>ROUND(C6/C7, 2)</f>
        <v>0.1</v>
      </c>
      <c r="D8" s="14">
        <f t="shared" ref="D8:G8" si="0">ROUND(D6/D7, 2)</f>
        <v>0.12</v>
      </c>
      <c r="E8" s="14">
        <f t="shared" si="0"/>
        <v>0.13</v>
      </c>
      <c r="F8" s="14">
        <f t="shared" si="0"/>
        <v>0.08</v>
      </c>
      <c r="G8" s="14">
        <f t="shared" si="0"/>
        <v>0.02</v>
      </c>
    </row>
  </sheetData>
  <mergeCells count="1">
    <mergeCell ref="B5:G5"/>
  </mergeCells>
  <hyperlinks>
    <hyperlink ref="F1" location="Index_Data!A1" tooltip="Hi click here To return Index page" display="Index_Data!A1" xr:uid="{74F2058A-F727-4733-A60E-E42E543F7F1E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48AF0-C114-4F40-A78D-BA2211C9F5B8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7" t="s">
        <v>270</v>
      </c>
    </row>
    <row r="2" spans="1:1" x14ac:dyDescent="0.25">
      <c r="A2" s="47" t="s">
        <v>272</v>
      </c>
    </row>
    <row r="3" spans="1:1" x14ac:dyDescent="0.25">
      <c r="A3" s="48"/>
    </row>
    <row r="4" spans="1:1" x14ac:dyDescent="0.25">
      <c r="A4" s="47" t="s">
        <v>120</v>
      </c>
    </row>
    <row r="5" spans="1:1" x14ac:dyDescent="0.25">
      <c r="A5" s="47" t="s">
        <v>128</v>
      </c>
    </row>
    <row r="6" spans="1:1" x14ac:dyDescent="0.25">
      <c r="A6" s="47" t="s">
        <v>143</v>
      </c>
    </row>
    <row r="7" spans="1:1" x14ac:dyDescent="0.25">
      <c r="A7" s="47" t="s">
        <v>273</v>
      </c>
    </row>
    <row r="8" spans="1:1" x14ac:dyDescent="0.25">
      <c r="A8" s="47" t="s">
        <v>146</v>
      </c>
    </row>
    <row r="9" spans="1:1" x14ac:dyDescent="0.25">
      <c r="A9" s="47" t="s">
        <v>148</v>
      </c>
    </row>
    <row r="10" spans="1:1" x14ac:dyDescent="0.25">
      <c r="A10" s="47" t="s">
        <v>150</v>
      </c>
    </row>
    <row r="11" spans="1:1" x14ac:dyDescent="0.25">
      <c r="A11" s="47" t="s">
        <v>152</v>
      </c>
    </row>
    <row r="12" spans="1:1" x14ac:dyDescent="0.25">
      <c r="A12" s="47" t="s">
        <v>155</v>
      </c>
    </row>
    <row r="13" spans="1:1" x14ac:dyDescent="0.25">
      <c r="A13" s="47" t="s">
        <v>157</v>
      </c>
    </row>
    <row r="14" spans="1:1" x14ac:dyDescent="0.25">
      <c r="A14" s="47" t="s">
        <v>159</v>
      </c>
    </row>
    <row r="15" spans="1:1" x14ac:dyDescent="0.25">
      <c r="A15" s="47" t="s">
        <v>161</v>
      </c>
    </row>
    <row r="16" spans="1:1" x14ac:dyDescent="0.25">
      <c r="A16" s="47" t="s">
        <v>163</v>
      </c>
    </row>
    <row r="17" spans="1:1" x14ac:dyDescent="0.25">
      <c r="A17" s="47" t="s">
        <v>165</v>
      </c>
    </row>
    <row r="18" spans="1:1" x14ac:dyDescent="0.25">
      <c r="A18" s="47" t="s">
        <v>167</v>
      </c>
    </row>
    <row r="19" spans="1:1" x14ac:dyDescent="0.25">
      <c r="A19" s="47" t="s">
        <v>169</v>
      </c>
    </row>
    <row r="20" spans="1:1" x14ac:dyDescent="0.25">
      <c r="A20" s="47" t="s">
        <v>171</v>
      </c>
    </row>
    <row r="21" spans="1:1" x14ac:dyDescent="0.25">
      <c r="A21" s="47" t="s">
        <v>173</v>
      </c>
    </row>
    <row r="22" spans="1:1" x14ac:dyDescent="0.25">
      <c r="A22" s="47" t="s">
        <v>175</v>
      </c>
    </row>
    <row r="23" spans="1:1" x14ac:dyDescent="0.25">
      <c r="A23" s="47" t="s">
        <v>177</v>
      </c>
    </row>
    <row r="24" spans="1:1" x14ac:dyDescent="0.25">
      <c r="A24" s="47" t="s">
        <v>180</v>
      </c>
    </row>
    <row r="25" spans="1:1" x14ac:dyDescent="0.25">
      <c r="A25" s="47" t="s">
        <v>182</v>
      </c>
    </row>
    <row r="26" spans="1:1" x14ac:dyDescent="0.25">
      <c r="A26" s="47" t="s">
        <v>184</v>
      </c>
    </row>
    <row r="27" spans="1:1" x14ac:dyDescent="0.25">
      <c r="A27" s="47" t="s">
        <v>186</v>
      </c>
    </row>
    <row r="28" spans="1:1" x14ac:dyDescent="0.25">
      <c r="A28" s="47" t="s">
        <v>188</v>
      </c>
    </row>
    <row r="29" spans="1:1" x14ac:dyDescent="0.25">
      <c r="A29" s="47" t="s">
        <v>190</v>
      </c>
    </row>
    <row r="30" spans="1:1" x14ac:dyDescent="0.25">
      <c r="A30" s="47" t="s">
        <v>192</v>
      </c>
    </row>
    <row r="31" spans="1:1" x14ac:dyDescent="0.25">
      <c r="A31" s="47" t="s">
        <v>194</v>
      </c>
    </row>
    <row r="32" spans="1:1" x14ac:dyDescent="0.25">
      <c r="A32" s="47" t="s">
        <v>196</v>
      </c>
    </row>
    <row r="33" spans="1:1" x14ac:dyDescent="0.25">
      <c r="A33" s="47" t="s">
        <v>198</v>
      </c>
    </row>
    <row r="34" spans="1:1" x14ac:dyDescent="0.25">
      <c r="A34" s="47" t="s">
        <v>201</v>
      </c>
    </row>
    <row r="35" spans="1:1" x14ac:dyDescent="0.25">
      <c r="A35" s="47" t="s">
        <v>274</v>
      </c>
    </row>
    <row r="36" spans="1:1" x14ac:dyDescent="0.25">
      <c r="A36" s="47" t="s">
        <v>275</v>
      </c>
    </row>
    <row r="37" spans="1:1" x14ac:dyDescent="0.25">
      <c r="A37" s="47" t="s">
        <v>276</v>
      </c>
    </row>
    <row r="38" spans="1:1" x14ac:dyDescent="0.25">
      <c r="A38" s="47" t="s">
        <v>278</v>
      </c>
    </row>
    <row r="39" spans="1:1" x14ac:dyDescent="0.25">
      <c r="A39" s="47" t="s">
        <v>279</v>
      </c>
    </row>
    <row r="40" spans="1:1" x14ac:dyDescent="0.25">
      <c r="A40" s="47" t="s">
        <v>280</v>
      </c>
    </row>
    <row r="41" spans="1:1" x14ac:dyDescent="0.25">
      <c r="A41" s="47" t="s">
        <v>281</v>
      </c>
    </row>
    <row r="42" spans="1:1" x14ac:dyDescent="0.25">
      <c r="A42" s="47" t="s">
        <v>282</v>
      </c>
    </row>
    <row r="43" spans="1:1" x14ac:dyDescent="0.25">
      <c r="A43" s="47" t="s">
        <v>283</v>
      </c>
    </row>
    <row r="44" spans="1:1" x14ac:dyDescent="0.25">
      <c r="A44" s="47" t="s">
        <v>284</v>
      </c>
    </row>
    <row r="45" spans="1:1" x14ac:dyDescent="0.25">
      <c r="A45" s="47" t="s">
        <v>277</v>
      </c>
    </row>
    <row r="46" spans="1:1" x14ac:dyDescent="0.25">
      <c r="A46" s="47" t="s">
        <v>285</v>
      </c>
    </row>
    <row r="47" spans="1:1" x14ac:dyDescent="0.25">
      <c r="A47" s="47" t="s">
        <v>286</v>
      </c>
    </row>
    <row r="48" spans="1:1" x14ac:dyDescent="0.25">
      <c r="A48" s="47" t="s">
        <v>287</v>
      </c>
    </row>
  </sheetData>
  <hyperlinks>
    <hyperlink ref="A1" location="BSInput!A1" tooltip="Hi click here to view the sheet" display="BSInput!A1" xr:uid="{D98A7A61-F4A6-4C72-9A0C-1D963F2C8927}"/>
    <hyperlink ref="A2" location="ISMInput!A1" tooltip="Hi click here to view the sheet" display="ISMInput!A1" xr:uid="{F1700FA1-D3AF-4AED-8BF2-FC82907E6B83}"/>
    <hyperlink ref="A4" location="Income_Statement!A1" tooltip="Hi click here to view the sheet" display="Income_Statement!A1" xr:uid="{E657BC6F-475E-4402-9BEF-D897C31F6536}"/>
    <hyperlink ref="A5" location="Balance_Sheet!A1" tooltip="Hi click here to view the sheet" display="Balance_Sheet!A1" xr:uid="{0B774C40-FCD8-42C9-8D02-999962A58DBD}"/>
    <hyperlink ref="A6" location="CashFlow_Statement!A1" tooltip="Hi click here to view the sheet" display="CashFlow_Statement!A1" xr:uid="{F2510A1C-001D-431E-9C03-8175F6D0E68E}"/>
    <hyperlink ref="A7" location="Ratios!A1" tooltip="Hi click here to view the sheet" display="Ratios!A1" xr:uid="{01EE7960-2322-4750-8846-A8A61FA3A1BB}"/>
    <hyperlink ref="A8" location="Earning__Per_Share!A1" tooltip="Hi click here to view the sheet" display="Earning__Per_Share!A1" xr:uid="{45FFEFE0-D353-47AC-8344-CF603D27FD27}"/>
    <hyperlink ref="A9" location="Equity_Dividend_Per_Share!A1" tooltip="Hi click here to view the sheet" display="Equity_Dividend_Per_Share!A1" xr:uid="{5E0E2F86-4DEC-43F2-923D-236B5F53BBC9}"/>
    <hyperlink ref="A10" location="Book_Value__Per_Share!A1" tooltip="Hi click here to view the sheet" display="Book_Value__Per_Share!A1" xr:uid="{C028B686-A7EE-4FEF-999C-AC7555CE7BE3}"/>
    <hyperlink ref="A11" location="Dividend_Pay_Out_Ratio!A1" tooltip="Hi click here to view the sheet" display="Dividend_Pay_Out_Ratio!A1" xr:uid="{45B5C932-ADA7-4A5F-A1EA-72749C73E0F3}"/>
    <hyperlink ref="A12" location="Dividend_Retention_Ratio!A1" tooltip="Hi click here to view the sheet" display="Dividend_Retention_Ratio!A1" xr:uid="{1F4CF158-6ECE-4378-AEFB-BCF561E9B197}"/>
    <hyperlink ref="A13" location="Gross_Profit!A1" tooltip="Hi click here to view the sheet" display="Gross_Profit!A1" xr:uid="{536069E9-6C68-49ED-89F8-D25298B9D310}"/>
    <hyperlink ref="A14" location="Net_Profit!A1" tooltip="Hi click here to view the sheet" display="Net_Profit!A1" xr:uid="{0BCAD8E1-C9EE-4882-85AA-44AD54DEE460}"/>
    <hyperlink ref="A15" location="Return_On_Assets!A1" tooltip="Hi click here to view the sheet" display="Return_On_Assets!A1" xr:uid="{5FFB43B2-822B-4FEF-9DDD-B61BAD38EF99}"/>
    <hyperlink ref="A16" location="Return_On_Capital_Employeed!A1" tooltip="Hi click here to view the sheet" display="Return_On_Capital_Employeed!A1" xr:uid="{36246FDF-B363-41BE-A4C8-23963401AD0A}"/>
    <hyperlink ref="A17" location="Return_On_Equity!A1" tooltip="Hi click here to view the sheet" display="Return_On_Equity!A1" xr:uid="{F8075597-BD1B-440B-984E-D4654AE33109}"/>
    <hyperlink ref="A18" location="Debt_Equity_Ratio!A1" tooltip="Hi click here to view the sheet" display="Debt_Equity_Ratio!A1" xr:uid="{6A502386-C2B2-44C5-9020-FABAB37EBDE4}"/>
    <hyperlink ref="A19" location="Current_Ratio!A1" tooltip="Hi click here to view the sheet" display="Current_Ratio!A1" xr:uid="{6E881E88-5F87-4F4A-A12A-35D47DC16B41}"/>
    <hyperlink ref="A20" location="Quick_Ratio!A1" tooltip="Hi click here to view the sheet" display="Quick_Ratio!A1" xr:uid="{25979450-DADB-475D-ACFD-56B99C17A701}"/>
    <hyperlink ref="A21" location="Interest_Coverage_Ratio!A1" tooltip="Hi click here to view the sheet" display="Interest_Coverage_Ratio!A1" xr:uid="{9C017E3C-B00E-4031-B181-3BBC779A2AB9}"/>
    <hyperlink ref="A22" location="Material_Consumed!A1" tooltip="Hi click here to view the sheet" display="Material_Consumed!A1" xr:uid="{B689F1C4-F17F-45E4-A900-AEB8099E6C40}"/>
    <hyperlink ref="A23" location="Defensive_Interval_Ratio!A1" tooltip="Hi click here to view the sheet" display="Defensive_Interval_Ratio!A1" xr:uid="{9B5EDD71-F60D-4BA5-AC59-5210BB2A8950}"/>
    <hyperlink ref="A24" location="Purchases_Per_Day!A1" tooltip="Hi click here to view the sheet" display="Purchases_Per_Day!A1" xr:uid="{1490DE2F-98C2-495A-B35B-8346AE12719E}"/>
    <hyperlink ref="A25" location="Asset_TurnOver_Ratio!A1" tooltip="Hi click here to view the sheet" display="Asset_TurnOver_Ratio!A1" xr:uid="{B52E05FC-9601-4A2B-9898-F811E0F03469}"/>
    <hyperlink ref="A26" location="Inventory_TurnOver_Ratio!A1" tooltip="Hi click here to view the sheet" display="Inventory_TurnOver_Ratio!A1" xr:uid="{5890056D-2FDD-4F18-A936-5B59F25110E6}"/>
    <hyperlink ref="A27" location="Debtors_TurnOver_Ratio!A1" tooltip="Hi click here to view the sheet" display="Debtors_TurnOver_Ratio!A1" xr:uid="{4F7A3B16-81B6-4623-BBF2-B28EEA256032}"/>
    <hyperlink ref="A28" location="Fixed_Assets_TurnOver_Ratio!A1" tooltip="Hi click here to view the sheet" display="Fixed_Assets_TurnOver_Ratio!A1" xr:uid="{43348539-16BF-47D5-9C58-D190D777F629}"/>
    <hyperlink ref="A29" location="Payable_TurnOver_Ratio!A1" tooltip="Hi click here to view the sheet" display="Payable_TurnOver_Ratio!A1" xr:uid="{098E2903-E92C-4827-9A27-CD819865411C}"/>
    <hyperlink ref="A30" location="Inventory_Days!A1" tooltip="Hi click here to view the sheet" display="Inventory_Days!A1" xr:uid="{20821714-5C75-49FF-BDEF-3FBF99723E8C}"/>
    <hyperlink ref="A31" location="Payable_Days!A1" tooltip="Hi click here to view the sheet" display="Payable_Days!A1" xr:uid="{B1408ADE-56BA-4949-ABF3-216787787BBF}"/>
    <hyperlink ref="A32" location="Receivable_Days!A1" tooltip="Hi click here to view the sheet" display="Receivable_Days!A1" xr:uid="{5A574C6F-AF45-4B5E-BF60-CE720FC659E6}"/>
    <hyperlink ref="A33" location="Operating_Cycle!A1" tooltip="Hi click here to view the sheet" display="Operating_Cycle!A1" xr:uid="{AB4C9538-67F5-4464-998A-7F21A8EA1FCD}"/>
    <hyperlink ref="A34" location="Cash_Conversion_Cycle_Days!A1" tooltip="Hi click here to view the sheet" display="Cash_Conversion_Cycle_Days!A1" xr:uid="{02F29F56-AF12-415A-96C2-E1630ED07AB5}"/>
    <hyperlink ref="A35" location="NetWorthVsTotalLiabilties!A1" tooltip="Hi click here to view the sheet" display="NetWorthVsTotalLiabilties!A1" xr:uid="{50B64AB8-384B-4DF9-AC15-F59CA79E6D03}"/>
    <hyperlink ref="A36" location="PBDITvsPBIT!A1" tooltip="Hi click here to view the sheet" display="PBDITvsPBIT!A1" xr:uid="{BD47C2E4-6915-48A4-85B7-37888AF97FF6}"/>
    <hyperlink ref="A37" location="CAvsCL!A1" tooltip="Hi click here to view the sheet" display="CAvsCL!A1" xr:uid="{2B3714A2-09FF-4DF6-BDAF-7DE7621AAA20}"/>
    <hyperlink ref="A38" location="Long_And_Short_Term_Provisions!A1" tooltip="Hi click here to view the sheet" display="Long_And_Short_Term_Provisions!A1" xr:uid="{5E5168F6-D33E-496B-A900-01EA6FA9FA2A}"/>
    <hyperlink ref="A39" location="MaterialConsumed_DirectExpenses!A1" tooltip="Hi click here to view the sheet" display="MaterialConsumed_DirectExpenses!A1" xr:uid="{1F2B8866-334A-42A7-A3E0-DB213A51777B}"/>
    <hyperlink ref="A40" location="Gross_Sales_In_Total_Income!A1" tooltip="Hi click here to view the sheet" display="Gross_Sales_In_Total_Income!A1" xr:uid="{D4B718BF-85AC-40B4-9FF5-AED013CB81CA}"/>
    <hyperlink ref="A41" location="Total_Debt_In_Liabilities!A1" tooltip="Hi click here to view the sheet" display="Total_Debt_In_Liabilities!A1" xr:uid="{C423CC25-F2BF-4F40-9F33-9DE2D0E3399A}"/>
    <hyperlink ref="A42" location="Total_CL_In_Liabilities!A1" tooltip="Hi click here to view the sheet" display="Total_CL_In_Liabilities!A1" xr:uid="{8851C16A-818A-4DB5-8FEA-BD4D3D1F93EA}"/>
    <hyperlink ref="A43" location="Total_NCA_In_Assets!A1" tooltip="Hi click here to view the sheet" display="Total_NCA_In_Assets!A1" xr:uid="{A6C81062-CC05-4FB2-B6FC-DD63769EF3CC}"/>
    <hyperlink ref="A44" location="Total_CA_In_Assets!A1" tooltip="Hi click here to view the sheet" display="Total_CA_In_Assets!A1" xr:uid="{E74EFF23-3C70-4245-97BF-375F46453070}"/>
    <hyperlink ref="A45" location="TotalExpenditureVsTotalIncome!A1" tooltip="Hi click here to view the sheet" display="TotalExpenditureVsTotalIncome!A1" xr:uid="{D06990ED-31A2-46F0-9D07-3B97D82604C0}"/>
    <hyperlink ref="A46" location="Net_Profit_CF_To_Balance_Sheet!A1" tooltip="Hi click here to view the sheet" display="Net_Profit_CF_To_Balance_Sheet!A1" xr:uid="{49F90210-B799-42D9-9CF7-9C17DDC2FEAA}"/>
    <hyperlink ref="A47" location="BS_Backup!A1" tooltip="Hi click here to view the sheet" display="BS_Backup!A1" xr:uid="{8B49AEFE-4D3A-4E4A-9966-32236482DA20}"/>
    <hyperlink ref="A48" location="ISM_Backup!A1" tooltip="Hi click here to view the sheet" display="ISM_Backup!A1" xr:uid="{C94E4D64-93E6-462C-BC60-AB7BDE31131A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92297-BCD1-4788-86E0-0F1C7C6904C8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11614.17</v>
      </c>
      <c r="D6" s="13">
        <f>Income_Statement!D5</f>
        <v>12152.15</v>
      </c>
      <c r="E6" s="13">
        <f>Income_Statement!E5</f>
        <v>11698.79</v>
      </c>
      <c r="F6" s="13">
        <f>Income_Statement!F5</f>
        <v>15370.05</v>
      </c>
      <c r="G6" s="13">
        <f>Income_Statement!G5</f>
        <v>25881.73</v>
      </c>
    </row>
    <row r="7" spans="2:15" ht="18.75" x14ac:dyDescent="0.25">
      <c r="B7" s="12" t="str">
        <f>Balance_Sheet!B66</f>
        <v>Inventories</v>
      </c>
      <c r="C7" s="13">
        <f>Balance_Sheet!C66</f>
        <v>571.69000000000005</v>
      </c>
      <c r="D7" s="13">
        <f>Balance_Sheet!D66</f>
        <v>666.17</v>
      </c>
      <c r="E7" s="13">
        <f>Balance_Sheet!E66</f>
        <v>723.51</v>
      </c>
      <c r="F7" s="13">
        <f>Balance_Sheet!F66</f>
        <v>921.72</v>
      </c>
      <c r="G7" s="13">
        <f>Balance_Sheet!G66</f>
        <v>2164.9</v>
      </c>
    </row>
    <row r="8" spans="2:15" ht="18.75" x14ac:dyDescent="0.25">
      <c r="B8" s="14" t="s">
        <v>192</v>
      </c>
      <c r="C8" s="14">
        <f>ROUND(365/C6*C7, 2)</f>
        <v>17.97</v>
      </c>
      <c r="D8" s="14">
        <f t="shared" ref="D8:G8" si="0">ROUND(365/D6*D7, 2)</f>
        <v>20.010000000000002</v>
      </c>
      <c r="E8" s="14">
        <f t="shared" si="0"/>
        <v>22.57</v>
      </c>
      <c r="F8" s="14">
        <f t="shared" si="0"/>
        <v>21.89</v>
      </c>
      <c r="G8" s="14">
        <f t="shared" si="0"/>
        <v>30.53</v>
      </c>
    </row>
  </sheetData>
  <mergeCells count="1">
    <mergeCell ref="B5:G5"/>
  </mergeCells>
  <hyperlinks>
    <hyperlink ref="F1" location="Index_Data!A1" tooltip="Hi click here To return Index page" display="Index_Data!A1" xr:uid="{AE52091D-FB21-4D9F-B554-C537BBA8B52C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4E004-AF56-457F-9A59-6171D3AFF9BF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2.28515625" bestFit="1" customWidth="1"/>
    <col min="4" max="4" width="11.5703125" bestFit="1" customWidth="1"/>
    <col min="5" max="6" width="12.28515625" bestFit="1" customWidth="1"/>
    <col min="7" max="7" width="14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193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386.9</v>
      </c>
      <c r="D6" s="13">
        <f>Income_Statement!D17</f>
        <v>426.42</v>
      </c>
      <c r="E6" s="13">
        <f>Income_Statement!E17</f>
        <v>394.36</v>
      </c>
      <c r="F6" s="13">
        <f>Income_Statement!F17</f>
        <v>410.24</v>
      </c>
      <c r="G6" s="13">
        <f>Income_Statement!G17</f>
        <v>106.95</v>
      </c>
    </row>
    <row r="7" spans="2:15" ht="18.75" x14ac:dyDescent="0.25">
      <c r="B7" s="12" t="str">
        <f>Balance_Sheet!B33</f>
        <v>Total Current Liabilities</v>
      </c>
      <c r="C7" s="13">
        <f>Balance_Sheet!C33</f>
        <v>3758.93</v>
      </c>
      <c r="D7" s="13">
        <f>Balance_Sheet!D33</f>
        <v>3469.1899999999996</v>
      </c>
      <c r="E7" s="13">
        <f>Balance_Sheet!E33</f>
        <v>3047.74</v>
      </c>
      <c r="F7" s="13">
        <f>Balance_Sheet!F33</f>
        <v>5037.74</v>
      </c>
      <c r="G7" s="13">
        <f>Balance_Sheet!G33</f>
        <v>6360.43</v>
      </c>
    </row>
    <row r="8" spans="2:15" ht="18.75" x14ac:dyDescent="0.25">
      <c r="B8" s="14" t="s">
        <v>194</v>
      </c>
      <c r="C8" s="14">
        <f>ROUND(365/C6*C7, 2)</f>
        <v>3546.16</v>
      </c>
      <c r="D8" s="14">
        <f t="shared" ref="D8:G8" si="0">ROUND(365/D6*D7, 2)</f>
        <v>2969.5</v>
      </c>
      <c r="E8" s="14">
        <f t="shared" si="0"/>
        <v>2820.84</v>
      </c>
      <c r="F8" s="14">
        <f t="shared" si="0"/>
        <v>4482.1899999999996</v>
      </c>
      <c r="G8" s="14">
        <f t="shared" si="0"/>
        <v>21706.94</v>
      </c>
    </row>
  </sheetData>
  <mergeCells count="1">
    <mergeCell ref="B5:G5"/>
  </mergeCells>
  <hyperlinks>
    <hyperlink ref="F1" location="Index_Data!A1" tooltip="Hi click here To return Index page" display="Index_Data!A1" xr:uid="{7AFA4FA9-964C-4DD0-98D9-1786E0F34A08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55373-93A0-4CC5-AFC2-F4F3156573F2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11614.17</v>
      </c>
      <c r="D6" s="13">
        <f>Income_Statement!D5</f>
        <v>12152.15</v>
      </c>
      <c r="E6" s="13">
        <f>Income_Statement!E5</f>
        <v>11698.79</v>
      </c>
      <c r="F6" s="13">
        <f>Income_Statement!F5</f>
        <v>15370.05</v>
      </c>
      <c r="G6" s="13">
        <f>Income_Statement!G5</f>
        <v>25881.73</v>
      </c>
    </row>
    <row r="7" spans="2:15" ht="18.75" x14ac:dyDescent="0.25">
      <c r="B7" s="12" t="str">
        <f>Balance_Sheet!B68</f>
        <v>Trade Receivables</v>
      </c>
      <c r="C7" s="13">
        <f>Balance_Sheet!C68</f>
        <v>1472.74</v>
      </c>
      <c r="D7" s="13">
        <f>Balance_Sheet!D68</f>
        <v>1424.51</v>
      </c>
      <c r="E7" s="13">
        <f>Balance_Sheet!E68</f>
        <v>2223.71</v>
      </c>
      <c r="F7" s="13">
        <f>Balance_Sheet!F68</f>
        <v>2139.89</v>
      </c>
      <c r="G7" s="13">
        <f>Balance_Sheet!G68</f>
        <v>2954.3</v>
      </c>
    </row>
    <row r="8" spans="2:15" ht="18.75" x14ac:dyDescent="0.25">
      <c r="B8" s="14" t="s">
        <v>196</v>
      </c>
      <c r="C8" s="14">
        <f>ROUND(365/C6*C7, 2)</f>
        <v>46.28</v>
      </c>
      <c r="D8" s="14">
        <f t="shared" ref="D8:G8" si="0">ROUND(365/D6*D7, 2)</f>
        <v>42.79</v>
      </c>
      <c r="E8" s="14">
        <f t="shared" si="0"/>
        <v>69.38</v>
      </c>
      <c r="F8" s="14">
        <f t="shared" si="0"/>
        <v>50.82</v>
      </c>
      <c r="G8" s="14">
        <f t="shared" si="0"/>
        <v>41.66</v>
      </c>
    </row>
  </sheetData>
  <mergeCells count="1">
    <mergeCell ref="B5:G5"/>
  </mergeCells>
  <hyperlinks>
    <hyperlink ref="F1" location="Index_Data!A1" tooltip="Hi click here To return Index page" display="Index_Data!A1" xr:uid="{562BE1A5-117B-4388-A98F-DC0BF644FD99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425C1-B7D9-4BA7-B412-0B7A96D2C876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11614.17</v>
      </c>
      <c r="D6" s="13">
        <f>Income_Statement!D5</f>
        <v>12152.15</v>
      </c>
      <c r="E6" s="13">
        <f>Income_Statement!E5</f>
        <v>11698.79</v>
      </c>
      <c r="F6" s="13">
        <f>Income_Statement!F5</f>
        <v>15370.05</v>
      </c>
      <c r="G6" s="13">
        <f>Income_Statement!G5</f>
        <v>25881.73</v>
      </c>
    </row>
    <row r="7" spans="2:15" ht="18.75" x14ac:dyDescent="0.25">
      <c r="B7" s="12" t="str">
        <f>Balance_Sheet!B66</f>
        <v>Inventories</v>
      </c>
      <c r="C7" s="13">
        <f>Balance_Sheet!C66</f>
        <v>571.69000000000005</v>
      </c>
      <c r="D7" s="13">
        <f>Balance_Sheet!D66</f>
        <v>666.17</v>
      </c>
      <c r="E7" s="13">
        <f>Balance_Sheet!E66</f>
        <v>723.51</v>
      </c>
      <c r="F7" s="13">
        <f>Balance_Sheet!F66</f>
        <v>921.72</v>
      </c>
      <c r="G7" s="13">
        <f>Balance_Sheet!G66</f>
        <v>2164.9</v>
      </c>
    </row>
    <row r="8" spans="2:15" ht="18.75" x14ac:dyDescent="0.25">
      <c r="B8" s="12" t="s">
        <v>192</v>
      </c>
      <c r="C8" s="13">
        <f>ROUND(365/C6*C7, 2)</f>
        <v>17.97</v>
      </c>
      <c r="D8" s="13">
        <f t="shared" ref="D8:G8" si="0">ROUND(365/D6*D7, 2)</f>
        <v>20.010000000000002</v>
      </c>
      <c r="E8" s="13">
        <f t="shared" si="0"/>
        <v>22.57</v>
      </c>
      <c r="F8" s="13">
        <f t="shared" si="0"/>
        <v>21.89</v>
      </c>
      <c r="G8" s="13">
        <f t="shared" si="0"/>
        <v>30.53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386.9</v>
      </c>
      <c r="D9" s="13">
        <f>Income_Statement!D17</f>
        <v>426.42</v>
      </c>
      <c r="E9" s="13">
        <f>Income_Statement!E17</f>
        <v>394.36</v>
      </c>
      <c r="F9" s="13">
        <f>Income_Statement!F17</f>
        <v>410.24</v>
      </c>
      <c r="G9" s="13">
        <f>Income_Statement!G17</f>
        <v>106.95</v>
      </c>
    </row>
    <row r="10" spans="2:15" ht="18.75" x14ac:dyDescent="0.25">
      <c r="B10" s="12" t="str">
        <f>Balance_Sheet!B33</f>
        <v>Total Current Liabilities</v>
      </c>
      <c r="C10" s="13">
        <f>Balance_Sheet!C33</f>
        <v>3758.93</v>
      </c>
      <c r="D10" s="13">
        <f>Balance_Sheet!D33</f>
        <v>3469.1899999999996</v>
      </c>
      <c r="E10" s="13">
        <f>Balance_Sheet!E33</f>
        <v>3047.74</v>
      </c>
      <c r="F10" s="13">
        <f>Balance_Sheet!F33</f>
        <v>5037.74</v>
      </c>
      <c r="G10" s="13">
        <f>Balance_Sheet!G33</f>
        <v>6360.43</v>
      </c>
    </row>
    <row r="11" spans="2:15" ht="18.75" x14ac:dyDescent="0.25">
      <c r="B11" s="12" t="s">
        <v>194</v>
      </c>
      <c r="C11" s="13">
        <f>ROUND(365/C9*C10, 2)</f>
        <v>3546.16</v>
      </c>
      <c r="D11" s="13">
        <f t="shared" ref="D11:G11" si="1">ROUND(365/D9*D10, 2)</f>
        <v>2969.5</v>
      </c>
      <c r="E11" s="13">
        <f t="shared" si="1"/>
        <v>2820.84</v>
      </c>
      <c r="F11" s="13">
        <f t="shared" si="1"/>
        <v>4482.1899999999996</v>
      </c>
      <c r="G11" s="13">
        <f t="shared" si="1"/>
        <v>21706.94</v>
      </c>
    </row>
    <row r="12" spans="2:15" ht="18.75" x14ac:dyDescent="0.25">
      <c r="B12" s="14" t="s">
        <v>198</v>
      </c>
      <c r="C12" s="16">
        <f>ROUND(C11+C8, 2)</f>
        <v>3564.13</v>
      </c>
      <c r="D12" s="16">
        <f t="shared" ref="D12:G12" si="2">ROUND(D11+D8, 2)</f>
        <v>2989.51</v>
      </c>
      <c r="E12" s="16">
        <f t="shared" si="2"/>
        <v>2843.41</v>
      </c>
      <c r="F12" s="16">
        <f t="shared" si="2"/>
        <v>4504.08</v>
      </c>
      <c r="G12" s="16">
        <f t="shared" si="2"/>
        <v>21737.47</v>
      </c>
    </row>
  </sheetData>
  <mergeCells count="1">
    <mergeCell ref="B5:G5"/>
  </mergeCells>
  <hyperlinks>
    <hyperlink ref="F1" location="Index_Data!A1" tooltip="Hi click here To return Index page" display="Index_Data!A1" xr:uid="{235F75EB-134E-4DFE-A93C-3945B2FEB308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44EEB-45FF-40E7-85C6-5687BF44D7E8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199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11614.17</v>
      </c>
      <c r="D6" s="13">
        <f>Income_Statement!D5</f>
        <v>12152.15</v>
      </c>
      <c r="E6" s="13">
        <f>Income_Statement!E5</f>
        <v>11698.79</v>
      </c>
      <c r="F6" s="13">
        <f>Income_Statement!F5</f>
        <v>15370.05</v>
      </c>
      <c r="G6" s="13">
        <f>Income_Statement!G5</f>
        <v>25881.73</v>
      </c>
    </row>
    <row r="7" spans="2:15" ht="18.75" x14ac:dyDescent="0.25">
      <c r="B7" s="12" t="str">
        <f>Balance_Sheet!B66</f>
        <v>Inventories</v>
      </c>
      <c r="C7" s="13">
        <f>Balance_Sheet!C66</f>
        <v>571.69000000000005</v>
      </c>
      <c r="D7" s="13">
        <f>Balance_Sheet!D66</f>
        <v>666.17</v>
      </c>
      <c r="E7" s="13">
        <f>Balance_Sheet!E66</f>
        <v>723.51</v>
      </c>
      <c r="F7" s="13">
        <f>Balance_Sheet!F66</f>
        <v>921.72</v>
      </c>
      <c r="G7" s="13">
        <f>Balance_Sheet!G66</f>
        <v>2164.9</v>
      </c>
    </row>
    <row r="8" spans="2:15" ht="18.75" x14ac:dyDescent="0.25">
      <c r="B8" s="12" t="s">
        <v>192</v>
      </c>
      <c r="C8" s="13">
        <f>ROUND(365/C6*C7, 2)</f>
        <v>17.97</v>
      </c>
      <c r="D8" s="13">
        <f t="shared" ref="D8:G8" si="0">ROUND(365/D6*D7, 2)</f>
        <v>20.010000000000002</v>
      </c>
      <c r="E8" s="13">
        <f t="shared" si="0"/>
        <v>22.57</v>
      </c>
      <c r="F8" s="13">
        <f t="shared" si="0"/>
        <v>21.89</v>
      </c>
      <c r="G8" s="13">
        <f t="shared" si="0"/>
        <v>30.53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386.9</v>
      </c>
      <c r="D9" s="13">
        <f>Income_Statement!D17</f>
        <v>426.42</v>
      </c>
      <c r="E9" s="13">
        <f>Income_Statement!E17</f>
        <v>394.36</v>
      </c>
      <c r="F9" s="13">
        <f>Income_Statement!F17</f>
        <v>410.24</v>
      </c>
      <c r="G9" s="13">
        <f>Income_Statement!G17</f>
        <v>106.95</v>
      </c>
    </row>
    <row r="10" spans="2:15" ht="18.75" x14ac:dyDescent="0.25">
      <c r="B10" s="12" t="str">
        <f>Balance_Sheet!B33</f>
        <v>Total Current Liabilities</v>
      </c>
      <c r="C10" s="13">
        <f>Balance_Sheet!C33</f>
        <v>3758.93</v>
      </c>
      <c r="D10" s="13">
        <f>Balance_Sheet!D33</f>
        <v>3469.1899999999996</v>
      </c>
      <c r="E10" s="13">
        <f>Balance_Sheet!E33</f>
        <v>3047.74</v>
      </c>
      <c r="F10" s="13">
        <f>Balance_Sheet!F33</f>
        <v>5037.74</v>
      </c>
      <c r="G10" s="13">
        <f>Balance_Sheet!G33</f>
        <v>6360.43</v>
      </c>
    </row>
    <row r="11" spans="2:15" ht="18.75" x14ac:dyDescent="0.25">
      <c r="B11" s="12" t="s">
        <v>194</v>
      </c>
      <c r="C11" s="13">
        <f>ROUND(365/C9*C10, 2)</f>
        <v>3546.16</v>
      </c>
      <c r="D11" s="13">
        <f t="shared" ref="D11:G11" si="1">ROUND(365/D9*D10, 2)</f>
        <v>2969.5</v>
      </c>
      <c r="E11" s="13">
        <f t="shared" si="1"/>
        <v>2820.84</v>
      </c>
      <c r="F11" s="13">
        <f t="shared" si="1"/>
        <v>4482.1899999999996</v>
      </c>
      <c r="G11" s="13">
        <f t="shared" si="1"/>
        <v>21706.94</v>
      </c>
    </row>
    <row r="12" spans="2:15" ht="18.75" x14ac:dyDescent="0.25">
      <c r="B12" s="12" t="s">
        <v>200</v>
      </c>
      <c r="C12" s="13">
        <f>ROUND(C11+C8, 2)</f>
        <v>3564.13</v>
      </c>
      <c r="D12" s="13">
        <f t="shared" ref="D12:G12" si="2">ROUND(D11+D8, 2)</f>
        <v>2989.51</v>
      </c>
      <c r="E12" s="13">
        <f t="shared" si="2"/>
        <v>2843.41</v>
      </c>
      <c r="F12" s="13">
        <f t="shared" si="2"/>
        <v>4504.08</v>
      </c>
      <c r="G12" s="13">
        <f t="shared" si="2"/>
        <v>21737.47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386.9</v>
      </c>
      <c r="D13" s="13">
        <f>Income_Statement!D17</f>
        <v>426.42</v>
      </c>
      <c r="E13" s="13">
        <f>Income_Statement!E17</f>
        <v>394.36</v>
      </c>
      <c r="F13" s="13">
        <f>Income_Statement!F17</f>
        <v>410.24</v>
      </c>
      <c r="G13" s="13">
        <f>Income_Statement!G17</f>
        <v>106.95</v>
      </c>
    </row>
    <row r="14" spans="2:15" ht="18.75" x14ac:dyDescent="0.25">
      <c r="B14" s="12" t="str">
        <f>Balance_Sheet!B33</f>
        <v>Total Current Liabilities</v>
      </c>
      <c r="C14" s="13">
        <f>Balance_Sheet!C33</f>
        <v>3758.93</v>
      </c>
      <c r="D14" s="13">
        <f>Balance_Sheet!D33</f>
        <v>3469.1899999999996</v>
      </c>
      <c r="E14" s="13">
        <f>Balance_Sheet!E33</f>
        <v>3047.74</v>
      </c>
      <c r="F14" s="13">
        <f>Balance_Sheet!F33</f>
        <v>5037.74</v>
      </c>
      <c r="G14" s="13">
        <f>Balance_Sheet!G33</f>
        <v>6360.43</v>
      </c>
    </row>
    <row r="15" spans="2:15" ht="18.75" x14ac:dyDescent="0.25">
      <c r="B15" s="12" t="s">
        <v>194</v>
      </c>
      <c r="C15" s="13">
        <f>ROUND(365/C13*C14, 2)</f>
        <v>3546.16</v>
      </c>
      <c r="D15" s="13">
        <f t="shared" ref="D15:G15" si="3">ROUND(365/D13*D14, 2)</f>
        <v>2969.5</v>
      </c>
      <c r="E15" s="13">
        <f t="shared" si="3"/>
        <v>2820.84</v>
      </c>
      <c r="F15" s="13">
        <f t="shared" si="3"/>
        <v>4482.1899999999996</v>
      </c>
      <c r="G15" s="13">
        <f t="shared" si="3"/>
        <v>21706.94</v>
      </c>
    </row>
    <row r="16" spans="2:15" ht="18.75" x14ac:dyDescent="0.25">
      <c r="B16" s="14" t="s">
        <v>201</v>
      </c>
      <c r="C16" s="16">
        <f>ROUND(C15-C12, 2)</f>
        <v>-17.97</v>
      </c>
      <c r="D16" s="16">
        <f t="shared" ref="D16:G16" si="4">ROUND(D15-D12, 2)</f>
        <v>-20.010000000000002</v>
      </c>
      <c r="E16" s="16">
        <f t="shared" si="4"/>
        <v>-22.57</v>
      </c>
      <c r="F16" s="16">
        <f t="shared" si="4"/>
        <v>-21.89</v>
      </c>
      <c r="G16" s="16">
        <f t="shared" si="4"/>
        <v>-30.53</v>
      </c>
    </row>
  </sheetData>
  <mergeCells count="1">
    <mergeCell ref="B5:G5"/>
  </mergeCells>
  <hyperlinks>
    <hyperlink ref="F1" location="Index_Data!A1" tooltip="Hi click here To return Index page" display="Index_Data!A1" xr:uid="{2E5AE751-A90D-49A4-802D-D0E387BF51C6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B5ECA-C171-4D72-8BE0-90DB2E8BCD1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24417.41</v>
      </c>
      <c r="D5" s="13">
        <f>Balance_Sheet!D13</f>
        <v>26928.458465497875</v>
      </c>
      <c r="E5" s="13">
        <f>Balance_Sheet!E13</f>
        <v>28524.89243243805</v>
      </c>
      <c r="F5" s="13">
        <f>Balance_Sheet!F13</f>
        <v>32323.89530809558</v>
      </c>
      <c r="G5" s="13">
        <f>Balance_Sheet!G13</f>
        <v>40516.413069763752</v>
      </c>
    </row>
    <row r="6" spans="2:15" ht="18.75" x14ac:dyDescent="0.25">
      <c r="B6" s="12" t="str">
        <f>Balance_Sheet!B37</f>
        <v>Total Liabilities</v>
      </c>
      <c r="C6" s="13">
        <f>Balance_Sheet!C37</f>
        <v>28691.32</v>
      </c>
      <c r="D6" s="13">
        <f>Balance_Sheet!D37</f>
        <v>30775.688465497875</v>
      </c>
      <c r="E6" s="13">
        <f>Balance_Sheet!E37</f>
        <v>32146.252432438047</v>
      </c>
      <c r="F6" s="13">
        <f>Balance_Sheet!F37</f>
        <v>39369.645308095576</v>
      </c>
      <c r="G6" s="13">
        <f>Balance_Sheet!G37</f>
        <v>50381.08306976375</v>
      </c>
    </row>
  </sheetData>
  <hyperlinks>
    <hyperlink ref="F1" location="Index_Data!A1" tooltip="Hi click here To return Index page" display="Index_Data!A1" xr:uid="{B82C3977-DD80-4E0B-850D-81CDBB9D6BAE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61A2A-9FBE-467D-9CA8-48FB03CDDB8B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6" width="11.5703125" bestFit="1" customWidth="1"/>
    <col min="7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6287.8250492803181</v>
      </c>
      <c r="D5" s="13">
        <f>Income_Statement!D29</f>
        <v>7434.6884654978767</v>
      </c>
      <c r="E5" s="13">
        <f>Income_Statement!E29</f>
        <v>6463.0639669401726</v>
      </c>
      <c r="F5" s="13">
        <f>Income_Statement!F29</f>
        <v>8980.0728756575299</v>
      </c>
      <c r="G5" s="13">
        <f>Income_Statement!G29</f>
        <v>12101.567761668173</v>
      </c>
    </row>
    <row r="6" spans="2:15" ht="18.75" x14ac:dyDescent="0.25">
      <c r="B6" s="12" t="str">
        <f>Income_Statement!B33</f>
        <v>PBIT</v>
      </c>
      <c r="C6" s="13">
        <f>Income_Statement!C33</f>
        <v>6031.195049280318</v>
      </c>
      <c r="D6" s="13">
        <f>Income_Statement!D33</f>
        <v>7155.6484654978767</v>
      </c>
      <c r="E6" s="13">
        <f>Income_Statement!E33</f>
        <v>6168.1339669401723</v>
      </c>
      <c r="F6" s="13">
        <f>Income_Statement!F33</f>
        <v>8751.5328756575291</v>
      </c>
      <c r="G6" s="13">
        <f>Income_Statement!G33</f>
        <v>11813.827761668173</v>
      </c>
    </row>
  </sheetData>
  <hyperlinks>
    <hyperlink ref="F1" location="Index_Data!A1" tooltip="Hi click here To return Index page" display="Index_Data!A1" xr:uid="{1D9C8EDE-D673-4672-8706-BC2B345FB604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E2EDD-52E8-4F97-84D1-F1DE9DD697A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12016.32</v>
      </c>
      <c r="D5" s="13">
        <f>Balance_Sheet!D72</f>
        <v>12958.438465497875</v>
      </c>
      <c r="E5" s="13">
        <f>Balance_Sheet!E72</f>
        <v>12594.292432438049</v>
      </c>
      <c r="F5" s="13">
        <f>Balance_Sheet!F72</f>
        <v>18351.225308095578</v>
      </c>
      <c r="G5" s="13">
        <f>Balance_Sheet!G72</f>
        <v>27546.003069763748</v>
      </c>
    </row>
    <row r="6" spans="2:15" ht="18.75" x14ac:dyDescent="0.25">
      <c r="B6" s="12" t="str">
        <f>Balance_Sheet!B33</f>
        <v>Total Current Liabilities</v>
      </c>
      <c r="C6" s="13">
        <f>Balance_Sheet!C33</f>
        <v>3758.93</v>
      </c>
      <c r="D6" s="13">
        <f>Balance_Sheet!D33</f>
        <v>3469.1899999999996</v>
      </c>
      <c r="E6" s="13">
        <f>Balance_Sheet!E33</f>
        <v>3047.74</v>
      </c>
      <c r="F6" s="13">
        <f>Balance_Sheet!F33</f>
        <v>5037.74</v>
      </c>
      <c r="G6" s="13">
        <f>Balance_Sheet!G33</f>
        <v>6360.43</v>
      </c>
    </row>
  </sheetData>
  <hyperlinks>
    <hyperlink ref="F1" location="Index_Data!A1" tooltip="Hi click here To return Index page" display="Index_Data!A1" xr:uid="{E79D591B-8F28-4521-B4AB-5DA51E5D0BEA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EAC28-EDBE-443E-878D-1D82DFF0A7B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6" width="10" bestFit="1" customWidth="1"/>
    <col min="7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714.12</v>
      </c>
      <c r="D5" s="13">
        <f>Balance_Sheet!D23</f>
        <v>768.52</v>
      </c>
      <c r="E5" s="13">
        <f>Balance_Sheet!E23</f>
        <v>827.96</v>
      </c>
      <c r="F5" s="13">
        <f>Balance_Sheet!F23</f>
        <v>945.41</v>
      </c>
      <c r="G5" s="13">
        <f>Balance_Sheet!G23</f>
        <v>1092.46</v>
      </c>
    </row>
    <row r="6" spans="2:15" ht="18.75" x14ac:dyDescent="0.25">
      <c r="B6" s="12" t="str">
        <f>Balance_Sheet!B25</f>
        <v>Short Term Provisions</v>
      </c>
      <c r="C6" s="13">
        <f>Balance_Sheet!C25</f>
        <v>27.61</v>
      </c>
      <c r="D6" s="13">
        <f>Balance_Sheet!D25</f>
        <v>41.45</v>
      </c>
      <c r="E6" s="13">
        <f>Balance_Sheet!E25</f>
        <v>222.78</v>
      </c>
      <c r="F6" s="13">
        <f>Balance_Sheet!F25</f>
        <v>98.56</v>
      </c>
      <c r="G6" s="13">
        <f>Balance_Sheet!G25</f>
        <v>15.13</v>
      </c>
    </row>
  </sheetData>
  <hyperlinks>
    <hyperlink ref="F1" location="Index_Data!A1" tooltip="Hi click here To return Index page" display="Index_Data!A1" xr:uid="{273B3E6A-985C-4B74-BEFA-DE48DDCC99B2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CC39C-FC44-4C57-96BA-17068A11B55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6" width="11.5703125" bestFit="1" customWidth="1"/>
    <col min="7" max="7" width="10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386.9</v>
      </c>
      <c r="D5" s="13">
        <f>Income_Statement!D17</f>
        <v>426.42</v>
      </c>
      <c r="E5" s="13">
        <f>Income_Statement!E17</f>
        <v>394.36</v>
      </c>
      <c r="F5" s="13">
        <f>Income_Statement!F17</f>
        <v>410.24</v>
      </c>
      <c r="G5" s="13">
        <f>Income_Statement!G17</f>
        <v>106.95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2119.73</v>
      </c>
      <c r="D6" s="13">
        <f>Income_Statement!D19</f>
        <v>2003.78</v>
      </c>
      <c r="E6" s="13">
        <f>Income_Statement!E19</f>
        <v>2096.29</v>
      </c>
      <c r="F6" s="13">
        <f>Income_Statement!F19</f>
        <v>2969.38</v>
      </c>
      <c r="G6" s="13">
        <f>Income_Statement!G19</f>
        <v>0</v>
      </c>
    </row>
  </sheetData>
  <hyperlinks>
    <hyperlink ref="F1" location="Index_Data!A1" tooltip="Hi click here To return Index page" display="Index_Data!A1" xr:uid="{A26CDEB1-EBB9-426B-9483-230D89AC5712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6407C-99C5-43E3-84E4-9AFD05A27442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11614.17</v>
      </c>
      <c r="D5" s="5">
        <v>12152.15</v>
      </c>
      <c r="E5" s="5">
        <v>11698.79</v>
      </c>
      <c r="F5" s="5">
        <v>15370.05</v>
      </c>
      <c r="G5" s="5">
        <v>25881.73</v>
      </c>
      <c r="H5" s="28">
        <f>GROWTH(C5:G5,C4:G4,H4)</f>
        <v>25287.150155824627</v>
      </c>
      <c r="I5" s="28">
        <f t="shared" ref="I5:L5" si="0">GROWTH(D5:H5,D4:H4,I4)</f>
        <v>33533.298431682779</v>
      </c>
      <c r="J5" s="28">
        <f t="shared" si="0"/>
        <v>45551.818276834252</v>
      </c>
      <c r="K5" s="28">
        <f t="shared" si="0"/>
        <v>56774.490554238233</v>
      </c>
      <c r="L5" s="28">
        <f t="shared" si="0"/>
        <v>67949.051764993987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0.01</v>
      </c>
      <c r="D7" s="4">
        <v>0</v>
      </c>
      <c r="E7" s="4">
        <v>0</v>
      </c>
      <c r="F7" s="4">
        <v>0</v>
      </c>
      <c r="G7" s="4">
        <v>0</v>
      </c>
      <c r="H7" s="24">
        <f>H5*H8</f>
        <v>0</v>
      </c>
      <c r="I7" s="24">
        <f t="shared" ref="I7:L7" si="1">I5*I8</f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</row>
    <row r="8" spans="2:15" x14ac:dyDescent="0.25">
      <c r="B8" s="17" t="s">
        <v>239</v>
      </c>
      <c r="C8" s="18">
        <f>C7/Income_Statement!C5</f>
        <v>8.6101718848613379E-7</v>
      </c>
      <c r="D8" s="18">
        <f>D7/Income_Statement!D5</f>
        <v>0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11614.16</v>
      </c>
      <c r="D9" s="7">
        <f t="shared" ref="D9:L9" si="3">D5 - D7</f>
        <v>12152.15</v>
      </c>
      <c r="E9" s="7">
        <f t="shared" si="3"/>
        <v>11698.79</v>
      </c>
      <c r="F9" s="7">
        <f t="shared" si="3"/>
        <v>15370.05</v>
      </c>
      <c r="G9" s="7">
        <f t="shared" si="3"/>
        <v>25881.73</v>
      </c>
      <c r="H9" s="29">
        <f t="shared" si="3"/>
        <v>25287.150155824627</v>
      </c>
      <c r="I9" s="29">
        <f t="shared" si="3"/>
        <v>33533.298431682779</v>
      </c>
      <c r="J9" s="29">
        <f t="shared" si="3"/>
        <v>45551.818276834252</v>
      </c>
      <c r="K9" s="29">
        <f t="shared" si="3"/>
        <v>56774.490554238233</v>
      </c>
      <c r="L9" s="29">
        <f t="shared" si="3"/>
        <v>67949.051764993987</v>
      </c>
    </row>
    <row r="10" spans="2:15" x14ac:dyDescent="0.25">
      <c r="B10" s="19" t="s">
        <v>240</v>
      </c>
      <c r="C10" s="21">
        <f>C9/Income_Statement!C5</f>
        <v>0.99999913898281145</v>
      </c>
      <c r="D10" s="21">
        <f>D9/Income_Statement!D5</f>
        <v>1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30">
        <f>H9/Income_Statement!H5</f>
        <v>1</v>
      </c>
      <c r="I10" s="30">
        <f>I9/Income_Statement!I5</f>
        <v>1</v>
      </c>
      <c r="J10" s="30">
        <f>J9/Income_Statement!J5</f>
        <v>1</v>
      </c>
      <c r="K10" s="30">
        <f>K9/Income_Statement!K5</f>
        <v>1</v>
      </c>
      <c r="L10" s="30">
        <f>L9/Income_Statement!L5</f>
        <v>1</v>
      </c>
    </row>
    <row r="11" spans="2:15" ht="18.75" x14ac:dyDescent="0.25">
      <c r="B11" s="8" t="s">
        <v>59</v>
      </c>
      <c r="C11" s="4">
        <v>523.22</v>
      </c>
      <c r="D11" s="4">
        <v>588.96</v>
      </c>
      <c r="E11" s="4">
        <v>514.36</v>
      </c>
      <c r="F11" s="4">
        <v>351.6</v>
      </c>
      <c r="G11" s="4">
        <v>718.52</v>
      </c>
      <c r="H11" s="24">
        <f>H5*H12</f>
        <v>1111.7986179895488</v>
      </c>
      <c r="I11" s="24">
        <f t="shared" ref="I11:L11" si="4">I5*I12</f>
        <v>1474.3565258732187</v>
      </c>
      <c r="J11" s="24">
        <f t="shared" si="4"/>
        <v>2002.774068845792</v>
      </c>
      <c r="K11" s="24">
        <f t="shared" si="4"/>
        <v>2496.200629422186</v>
      </c>
      <c r="L11" s="24">
        <f t="shared" si="4"/>
        <v>2987.5118936097069</v>
      </c>
    </row>
    <row r="12" spans="2:15" x14ac:dyDescent="0.25">
      <c r="B12" s="17" t="s">
        <v>241</v>
      </c>
      <c r="C12" s="18">
        <f>C11/Income_Statement!C5</f>
        <v>4.5050141335971489E-2</v>
      </c>
      <c r="D12" s="18">
        <f>D11/Income_Statement!D5</f>
        <v>4.8465497874861652E-2</v>
      </c>
      <c r="E12" s="18">
        <f>E11/Income_Statement!E5</f>
        <v>4.3966940170735602E-2</v>
      </c>
      <c r="F12" s="18">
        <f>F11/Income_Statement!F5</f>
        <v>2.2875657528765362E-2</v>
      </c>
      <c r="G12" s="18">
        <f>G11/Income_Statement!G5</f>
        <v>2.776166817287716E-2</v>
      </c>
      <c r="H12" s="25">
        <f>MEDIAN(C12:G12)</f>
        <v>4.3966940170735602E-2</v>
      </c>
      <c r="I12" s="25">
        <f t="shared" ref="I12:L12" si="5">H12</f>
        <v>4.3966940170735602E-2</v>
      </c>
      <c r="J12" s="25">
        <f t="shared" si="5"/>
        <v>4.3966940170735602E-2</v>
      </c>
      <c r="K12" s="25">
        <f t="shared" si="5"/>
        <v>4.3966940170735602E-2</v>
      </c>
      <c r="L12" s="25">
        <f t="shared" si="5"/>
        <v>4.3966940170735602E-2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4">
        <f>H5*H14</f>
        <v>0</v>
      </c>
      <c r="I13" s="24">
        <f t="shared" ref="I13:L13" si="6">I5*I14</f>
        <v>0</v>
      </c>
      <c r="J13" s="24">
        <f t="shared" si="6"/>
        <v>0</v>
      </c>
      <c r="K13" s="24">
        <f t="shared" si="6"/>
        <v>0</v>
      </c>
      <c r="L13" s="24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12138.425049280318</v>
      </c>
      <c r="D15" s="7">
        <f t="shared" ref="D15:L15" si="8">SUM(D9:D13)</f>
        <v>12742.158465497876</v>
      </c>
      <c r="E15" s="7">
        <f t="shared" si="8"/>
        <v>12214.193966940173</v>
      </c>
      <c r="F15" s="7">
        <f t="shared" si="8"/>
        <v>15722.672875657528</v>
      </c>
      <c r="G15" s="7">
        <f t="shared" si="8"/>
        <v>26601.277761668174</v>
      </c>
      <c r="H15" s="29">
        <f t="shared" si="8"/>
        <v>26399.992740754347</v>
      </c>
      <c r="I15" s="29">
        <f t="shared" si="8"/>
        <v>35008.698924496166</v>
      </c>
      <c r="J15" s="29">
        <f t="shared" si="8"/>
        <v>47555.636312620212</v>
      </c>
      <c r="K15" s="29">
        <f t="shared" si="8"/>
        <v>59271.735150600587</v>
      </c>
      <c r="L15" s="29">
        <f t="shared" si="8"/>
        <v>70937.607625543867</v>
      </c>
    </row>
    <row r="16" spans="2:15" x14ac:dyDescent="0.25">
      <c r="B16" s="19" t="s">
        <v>243</v>
      </c>
      <c r="C16" s="21">
        <f>C15/Income_Statement!C5</f>
        <v>1.0451392608580998</v>
      </c>
      <c r="D16" s="21">
        <f>D15/Income_Statement!D5</f>
        <v>1.0485517760641432</v>
      </c>
      <c r="E16" s="21">
        <f>E15/Income_Statement!E5</f>
        <v>1.0440561773431416</v>
      </c>
      <c r="F16" s="21">
        <f>F15/Income_Statement!F5</f>
        <v>1.0229422074526453</v>
      </c>
      <c r="G16" s="21">
        <f>G15/Income_Statement!G5</f>
        <v>1.027801378102166</v>
      </c>
      <c r="H16" s="30">
        <f>H15/Income_Statement!H5</f>
        <v>1.0440082246545046</v>
      </c>
      <c r="I16" s="30">
        <f>I15/Income_Statement!I5</f>
        <v>1.0439980724180538</v>
      </c>
      <c r="J16" s="30">
        <f>J15/Income_Statement!J5</f>
        <v>1.0439898583983642</v>
      </c>
      <c r="K16" s="30">
        <f>K15/Income_Statement!K5</f>
        <v>1.0439853281286016</v>
      </c>
      <c r="L16" s="30">
        <f>L15/Income_Statement!L5</f>
        <v>1.0439823041370171</v>
      </c>
    </row>
    <row r="17" spans="2:12" ht="18.75" x14ac:dyDescent="0.25">
      <c r="B17" s="8" t="s">
        <v>62</v>
      </c>
      <c r="C17" s="4">
        <v>386.9</v>
      </c>
      <c r="D17" s="4">
        <v>426.42</v>
      </c>
      <c r="E17" s="4">
        <v>394.36</v>
      </c>
      <c r="F17" s="4">
        <v>410.24</v>
      </c>
      <c r="G17" s="4">
        <v>106.95</v>
      </c>
      <c r="H17" s="24">
        <f>H5*H18</f>
        <v>104.49304235711617</v>
      </c>
      <c r="I17" s="24">
        <f t="shared" ref="I17:L17" si="9">I5*I18</f>
        <v>138.56825904869859</v>
      </c>
      <c r="J17" s="24">
        <f t="shared" si="9"/>
        <v>188.23189039942167</v>
      </c>
      <c r="K17" s="24">
        <f t="shared" si="9"/>
        <v>234.60687383632313</v>
      </c>
      <c r="L17" s="24">
        <f t="shared" si="9"/>
        <v>280.78304990686894</v>
      </c>
    </row>
    <row r="18" spans="2:12" x14ac:dyDescent="0.25">
      <c r="B18" s="17" t="s">
        <v>244</v>
      </c>
      <c r="C18" s="18">
        <f>C17/Income_Statement!C5</f>
        <v>3.3312755022528513E-2</v>
      </c>
      <c r="D18" s="18">
        <f>D17/Income_Statement!D5</f>
        <v>3.5090086939348182E-2</v>
      </c>
      <c r="E18" s="18">
        <f>E17/Income_Statement!E5</f>
        <v>3.3709469098941E-2</v>
      </c>
      <c r="F18" s="18">
        <f>F17/Income_Statement!F5</f>
        <v>2.66908695807756E-2</v>
      </c>
      <c r="G18" s="18">
        <f>G17/Income_Statement!G5</f>
        <v>4.1322585468591168E-3</v>
      </c>
      <c r="H18" s="25">
        <f>G18</f>
        <v>4.1322585468591168E-3</v>
      </c>
      <c r="I18" s="25">
        <f t="shared" ref="I18:L18" si="10">H18</f>
        <v>4.1322585468591168E-3</v>
      </c>
      <c r="J18" s="25">
        <f t="shared" si="10"/>
        <v>4.1322585468591168E-3</v>
      </c>
      <c r="K18" s="25">
        <f t="shared" si="10"/>
        <v>4.1322585468591168E-3</v>
      </c>
      <c r="L18" s="25">
        <f t="shared" si="10"/>
        <v>4.1322585468591168E-3</v>
      </c>
    </row>
    <row r="19" spans="2:12" ht="18.75" x14ac:dyDescent="0.25">
      <c r="B19" s="8" t="s">
        <v>64</v>
      </c>
      <c r="C19" s="4">
        <v>2119.73</v>
      </c>
      <c r="D19" s="5">
        <v>2003.78</v>
      </c>
      <c r="E19" s="5">
        <v>2096.29</v>
      </c>
      <c r="F19" s="5">
        <v>2969.38</v>
      </c>
      <c r="G19" s="5">
        <v>0</v>
      </c>
      <c r="H19" s="28">
        <f>H5*H20</f>
        <v>0</v>
      </c>
      <c r="I19" s="28">
        <f t="shared" ref="I19:L19" si="11">I5*I20</f>
        <v>0</v>
      </c>
      <c r="J19" s="28">
        <f t="shared" si="11"/>
        <v>0</v>
      </c>
      <c r="K19" s="28">
        <f t="shared" si="11"/>
        <v>0</v>
      </c>
      <c r="L19" s="28">
        <f t="shared" si="11"/>
        <v>0</v>
      </c>
    </row>
    <row r="20" spans="2:12" x14ac:dyDescent="0.25">
      <c r="B20" s="17" t="s">
        <v>245</v>
      </c>
      <c r="C20" s="18">
        <f>C19/Income_Statement!C5</f>
        <v>0.18251239649497122</v>
      </c>
      <c r="D20" s="18">
        <f>D19/Income_Statement!D5</f>
        <v>0.16489098636866728</v>
      </c>
      <c r="E20" s="18">
        <f>E19/Income_Statement!E5</f>
        <v>0.1791886169424359</v>
      </c>
      <c r="F20" s="18">
        <f>F19/Income_Statement!F5</f>
        <v>0.19319260509887737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1049.23</v>
      </c>
      <c r="D21" s="5">
        <v>1039.4000000000001</v>
      </c>
      <c r="E21" s="5">
        <v>1049.3599999999999</v>
      </c>
      <c r="F21" s="5">
        <v>1085.24</v>
      </c>
      <c r="G21" s="5">
        <v>1337.07</v>
      </c>
      <c r="H21" s="28">
        <f>H5*H22</f>
        <v>1306.3535497375342</v>
      </c>
      <c r="I21" s="28">
        <f t="shared" ref="I21:L21" si="13">I5*I22</f>
        <v>1732.3558871084001</v>
      </c>
      <c r="J21" s="28">
        <f t="shared" si="13"/>
        <v>2353.2418297929376</v>
      </c>
      <c r="K21" s="28">
        <f t="shared" si="13"/>
        <v>2933.0136774224638</v>
      </c>
      <c r="L21" s="28">
        <f t="shared" si="13"/>
        <v>3510.3000704906708</v>
      </c>
    </row>
    <row r="22" spans="2:12" x14ac:dyDescent="0.25">
      <c r="B22" s="17" t="s">
        <v>246</v>
      </c>
      <c r="C22" s="18">
        <f>C21/Income_Statement!C5</f>
        <v>9.0340506467530612E-2</v>
      </c>
      <c r="D22" s="18">
        <f>D21/Income_Statement!D5</f>
        <v>8.5532189777117643E-2</v>
      </c>
      <c r="E22" s="18">
        <f>E21/Income_Statement!E5</f>
        <v>8.9698165365819871E-2</v>
      </c>
      <c r="F22" s="18">
        <f>F21/Income_Statement!F5</f>
        <v>7.0607447601016268E-2</v>
      </c>
      <c r="G22" s="18">
        <f>G21/Income_Statement!G5</f>
        <v>5.1660766107984278E-2</v>
      </c>
      <c r="H22" s="25">
        <f>G22</f>
        <v>5.1660766107984278E-2</v>
      </c>
      <c r="I22" s="25">
        <f t="shared" ref="I22:L22" si="14">H22</f>
        <v>5.1660766107984278E-2</v>
      </c>
      <c r="J22" s="25">
        <f t="shared" si="14"/>
        <v>5.1660766107984278E-2</v>
      </c>
      <c r="K22" s="25">
        <f t="shared" si="14"/>
        <v>5.1660766107984278E-2</v>
      </c>
      <c r="L22" s="25">
        <f t="shared" si="14"/>
        <v>5.1660766107984278E-2</v>
      </c>
    </row>
    <row r="23" spans="2:12" ht="18.75" x14ac:dyDescent="0.25">
      <c r="B23" s="8" t="s">
        <v>69</v>
      </c>
      <c r="C23" s="5">
        <v>2294.7399999999998</v>
      </c>
      <c r="D23" s="5">
        <v>1837.87</v>
      </c>
      <c r="E23" s="5">
        <v>2211.12</v>
      </c>
      <c r="F23" s="5">
        <v>2277.7399999999998</v>
      </c>
      <c r="G23" s="5">
        <v>13055.69</v>
      </c>
      <c r="H23" s="28">
        <f>H5*H24</f>
        <v>6020.6348156506256</v>
      </c>
      <c r="I23" s="28">
        <f t="shared" ref="I23:L23" si="15">I5*I24</f>
        <v>7983.9658790054764</v>
      </c>
      <c r="J23" s="28">
        <f t="shared" si="15"/>
        <v>10845.463460441704</v>
      </c>
      <c r="K23" s="28">
        <f t="shared" si="15"/>
        <v>13517.477152044356</v>
      </c>
      <c r="L23" s="28">
        <f t="shared" si="15"/>
        <v>16178.036046997504</v>
      </c>
    </row>
    <row r="24" spans="2:12" x14ac:dyDescent="0.25">
      <c r="B24" s="17" t="s">
        <v>247</v>
      </c>
      <c r="C24" s="18">
        <f>C23/Income_Statement!C5</f>
        <v>0.19758105831066702</v>
      </c>
      <c r="D24" s="18">
        <f>D23/Income_Statement!D5</f>
        <v>0.15123825825059764</v>
      </c>
      <c r="E24" s="18">
        <f>E23/Income_Statement!E5</f>
        <v>0.18900416196888736</v>
      </c>
      <c r="F24" s="18">
        <f>F23/Income_Statement!F5</f>
        <v>0.14819340210344142</v>
      </c>
      <c r="G24" s="18">
        <f>G23/Income_Statement!G5</f>
        <v>0.50443652723368959</v>
      </c>
      <c r="H24" s="25">
        <f>AVERAGE(C24:G24)</f>
        <v>0.23809068157345661</v>
      </c>
      <c r="I24" s="25">
        <f t="shared" ref="I24:L24" si="16">H24</f>
        <v>0.23809068157345661</v>
      </c>
      <c r="J24" s="25">
        <f t="shared" si="16"/>
        <v>0.23809068157345661</v>
      </c>
      <c r="K24" s="25">
        <f t="shared" si="16"/>
        <v>0.23809068157345661</v>
      </c>
      <c r="L24" s="25">
        <f t="shared" si="16"/>
        <v>0.23809068157345661</v>
      </c>
    </row>
    <row r="25" spans="2:12" ht="18.75" x14ac:dyDescent="0.25">
      <c r="B25" s="9" t="s">
        <v>108</v>
      </c>
      <c r="C25" s="7">
        <f>C17+C19+C21+C23</f>
        <v>5850.6</v>
      </c>
      <c r="D25" s="7">
        <f t="shared" ref="D25:L25" si="17">D17+D19+D21+D23</f>
        <v>5307.4699999999993</v>
      </c>
      <c r="E25" s="7">
        <f t="shared" si="17"/>
        <v>5751.13</v>
      </c>
      <c r="F25" s="7">
        <f t="shared" si="17"/>
        <v>6742.5999999999995</v>
      </c>
      <c r="G25" s="7">
        <f t="shared" si="17"/>
        <v>14499.710000000001</v>
      </c>
      <c r="H25" s="29">
        <f t="shared" si="17"/>
        <v>7431.4814077452756</v>
      </c>
      <c r="I25" s="29">
        <f t="shared" si="17"/>
        <v>9854.8900251625746</v>
      </c>
      <c r="J25" s="29">
        <f t="shared" si="17"/>
        <v>13386.937180634064</v>
      </c>
      <c r="K25" s="29">
        <f t="shared" si="17"/>
        <v>16685.097703303141</v>
      </c>
      <c r="L25" s="29">
        <f t="shared" si="17"/>
        <v>19969.119167395045</v>
      </c>
    </row>
    <row r="26" spans="2:12" x14ac:dyDescent="0.25">
      <c r="B26" s="19" t="s">
        <v>248</v>
      </c>
      <c r="C26" s="21">
        <f>C25/Income_Statement!C5</f>
        <v>0.50374671629569745</v>
      </c>
      <c r="D26" s="21">
        <f>D25/Income_Statement!D5</f>
        <v>0.4367515213357307</v>
      </c>
      <c r="E26" s="21">
        <f>E25/Income_Statement!E5</f>
        <v>0.49160041337608418</v>
      </c>
      <c r="F26" s="21">
        <f>F25/Income_Statement!F5</f>
        <v>0.43868432438411065</v>
      </c>
      <c r="G26" s="21">
        <f>G25/Income_Statement!G5</f>
        <v>0.56022955188853296</v>
      </c>
      <c r="H26" s="30">
        <f>H25/Income_Statement!H5</f>
        <v>0.29388370622830001</v>
      </c>
      <c r="I26" s="30">
        <f>I25/Income_Statement!I5</f>
        <v>0.29388370622830001</v>
      </c>
      <c r="J26" s="30">
        <f>J25/Income_Statement!J5</f>
        <v>0.29388370622830001</v>
      </c>
      <c r="K26" s="30">
        <f>K25/Income_Statement!K5</f>
        <v>0.29388370622830001</v>
      </c>
      <c r="L26" s="30">
        <f>L25/Income_Statement!L5</f>
        <v>0.29388370622830007</v>
      </c>
    </row>
    <row r="27" spans="2:12" ht="18.75" x14ac:dyDescent="0.25">
      <c r="B27" s="9" t="s">
        <v>109</v>
      </c>
      <c r="C27" s="7">
        <f xml:space="preserve"> C15-C25-C11</f>
        <v>5764.6050492803179</v>
      </c>
      <c r="D27" s="7">
        <f t="shared" ref="D27:L27" si="18" xml:space="preserve"> D15-D25-D11</f>
        <v>6845.7284654978766</v>
      </c>
      <c r="E27" s="7">
        <f t="shared" si="18"/>
        <v>5948.7039669401729</v>
      </c>
      <c r="F27" s="7">
        <f t="shared" si="18"/>
        <v>8628.4728756575296</v>
      </c>
      <c r="G27" s="7">
        <f t="shared" si="18"/>
        <v>11383.047761668173</v>
      </c>
      <c r="H27" s="29">
        <f t="shared" si="18"/>
        <v>17856.712715019523</v>
      </c>
      <c r="I27" s="29">
        <f t="shared" si="18"/>
        <v>23679.452373460372</v>
      </c>
      <c r="J27" s="29">
        <f t="shared" si="18"/>
        <v>32165.925063140356</v>
      </c>
      <c r="K27" s="29">
        <f t="shared" si="18"/>
        <v>40090.436817875256</v>
      </c>
      <c r="L27" s="29">
        <f t="shared" si="18"/>
        <v>47980.976564539116</v>
      </c>
    </row>
    <row r="28" spans="2:12" x14ac:dyDescent="0.25">
      <c r="B28" s="19" t="s">
        <v>249</v>
      </c>
      <c r="C28" s="21">
        <f>C27/Income_Statement!C5</f>
        <v>0.49634240322643097</v>
      </c>
      <c r="D28" s="21">
        <f>D27/Income_Statement!D5</f>
        <v>0.56333475685355072</v>
      </c>
      <c r="E28" s="21">
        <f>E27/Income_Statement!E5</f>
        <v>0.50848882379632188</v>
      </c>
      <c r="F28" s="21">
        <f>F27/Income_Statement!F5</f>
        <v>0.56138222553976924</v>
      </c>
      <c r="G28" s="21">
        <f>G27/Income_Statement!G5</f>
        <v>0.43981015804075591</v>
      </c>
      <c r="H28" s="30">
        <f>H27/Income_Statement!H5</f>
        <v>0.70615757825546899</v>
      </c>
      <c r="I28" s="30">
        <f>I27/Income_Statement!I5</f>
        <v>0.70614742601901814</v>
      </c>
      <c r="J28" s="30">
        <f>J27/Income_Statement!J5</f>
        <v>0.70613921199932861</v>
      </c>
      <c r="K28" s="30">
        <f>K27/Income_Statement!K5</f>
        <v>0.70613468172956584</v>
      </c>
      <c r="L28" s="30">
        <f>L27/Income_Statement!L5</f>
        <v>0.70613165773798148</v>
      </c>
    </row>
    <row r="29" spans="2:12" ht="18.75" x14ac:dyDescent="0.25">
      <c r="B29" s="9" t="s">
        <v>110</v>
      </c>
      <c r="C29" s="7">
        <f xml:space="preserve"> C27+C11</f>
        <v>6287.8250492803181</v>
      </c>
      <c r="D29" s="7">
        <f t="shared" ref="D29:L29" si="19" xml:space="preserve"> D27+D11</f>
        <v>7434.6884654978767</v>
      </c>
      <c r="E29" s="7">
        <f t="shared" si="19"/>
        <v>6463.0639669401726</v>
      </c>
      <c r="F29" s="7">
        <f t="shared" si="19"/>
        <v>8980.0728756575299</v>
      </c>
      <c r="G29" s="7">
        <f t="shared" si="19"/>
        <v>12101.567761668173</v>
      </c>
      <c r="H29" s="29">
        <f t="shared" si="19"/>
        <v>18968.511333009072</v>
      </c>
      <c r="I29" s="29">
        <f t="shared" si="19"/>
        <v>25153.808899333591</v>
      </c>
      <c r="J29" s="29">
        <f t="shared" si="19"/>
        <v>34168.699131986148</v>
      </c>
      <c r="K29" s="29">
        <f t="shared" si="19"/>
        <v>42586.637447297442</v>
      </c>
      <c r="L29" s="29">
        <f t="shared" si="19"/>
        <v>50968.488458148822</v>
      </c>
    </row>
    <row r="30" spans="2:12" x14ac:dyDescent="0.25">
      <c r="B30" s="19" t="s">
        <v>250</v>
      </c>
      <c r="C30" s="21">
        <f>C29/Income_Statement!C5</f>
        <v>0.54139254456240249</v>
      </c>
      <c r="D30" s="21">
        <f>D29/Income_Statement!D5</f>
        <v>0.61180025472841237</v>
      </c>
      <c r="E30" s="21">
        <f>E29/Income_Statement!E5</f>
        <v>0.55245576396705742</v>
      </c>
      <c r="F30" s="21">
        <f>F29/Income_Statement!F5</f>
        <v>0.58425788306853466</v>
      </c>
      <c r="G30" s="21">
        <f>G29/Income_Statement!G5</f>
        <v>0.46757182621363308</v>
      </c>
      <c r="H30" s="30">
        <f>H29/Income_Statement!H5</f>
        <v>0.75012451842620453</v>
      </c>
      <c r="I30" s="30">
        <f>I29/Income_Statement!I5</f>
        <v>0.7501143661897538</v>
      </c>
      <c r="J30" s="30">
        <f>J29/Income_Statement!J5</f>
        <v>0.75010615217006427</v>
      </c>
      <c r="K30" s="30">
        <f>K29/Income_Statement!K5</f>
        <v>0.75010162190030139</v>
      </c>
      <c r="L30" s="30">
        <f>L29/Income_Statement!L5</f>
        <v>0.75009859790871702</v>
      </c>
    </row>
    <row r="31" spans="2:12" ht="18.75" x14ac:dyDescent="0.25">
      <c r="B31" s="8" t="s">
        <v>68</v>
      </c>
      <c r="C31" s="4">
        <v>256.63</v>
      </c>
      <c r="D31" s="4">
        <v>279.04000000000002</v>
      </c>
      <c r="E31" s="4">
        <v>294.93</v>
      </c>
      <c r="F31" s="4">
        <v>228.54</v>
      </c>
      <c r="G31" s="4">
        <v>287.74</v>
      </c>
      <c r="H31" s="24">
        <f>Balance_Sheet!H40*H62</f>
        <v>1995.1892502246312</v>
      </c>
      <c r="I31" s="24">
        <f>Balance_Sheet!I40*I62</f>
        <v>2389.8682499738061</v>
      </c>
      <c r="J31" s="24">
        <f>Balance_Sheet!J40*J62</f>
        <v>2880.3896461149161</v>
      </c>
      <c r="K31" s="24">
        <f>Balance_Sheet!K40*K62</f>
        <v>3333.5834570629381</v>
      </c>
      <c r="L31" s="24">
        <f>Balance_Sheet!L40*L62</f>
        <v>3840.5230589501557</v>
      </c>
    </row>
    <row r="32" spans="2:12" x14ac:dyDescent="0.25">
      <c r="B32" s="17" t="s">
        <v>251</v>
      </c>
      <c r="C32" s="18">
        <f>C31/Income_Statement!C5</f>
        <v>2.2096284108119649E-2</v>
      </c>
      <c r="D32" s="18">
        <f>D31/Income_Statement!D5</f>
        <v>2.2962191875511743E-2</v>
      </c>
      <c r="E32" s="18">
        <f>E31/Income_Statement!E5</f>
        <v>2.5210299526703187E-2</v>
      </c>
      <c r="F32" s="18">
        <f>F31/Income_Statement!F5</f>
        <v>1.4869177393697483E-2</v>
      </c>
      <c r="G32" s="18">
        <f>G31/Income_Statement!G5</f>
        <v>1.1117494850614701E-2</v>
      </c>
      <c r="H32" s="25">
        <f>H31/Income_Statement!H5</f>
        <v>7.890130908108918E-2</v>
      </c>
      <c r="I32" s="25">
        <f>I31/Income_Statement!I5</f>
        <v>7.1268511054546957E-2</v>
      </c>
      <c r="J32" s="25">
        <f>J31/Income_Statement!J5</f>
        <v>6.3233252921097147E-2</v>
      </c>
      <c r="K32" s="25">
        <f>K31/Income_Statement!K5</f>
        <v>5.8716219635265139E-2</v>
      </c>
      <c r="L32" s="25">
        <f>L31/Income_Statement!L5</f>
        <v>5.6520627723148267E-2</v>
      </c>
    </row>
    <row r="33" spans="2:12" ht="18.75" x14ac:dyDescent="0.25">
      <c r="B33" s="9" t="s">
        <v>111</v>
      </c>
      <c r="C33" s="7">
        <f xml:space="preserve"> C29-C31</f>
        <v>6031.195049280318</v>
      </c>
      <c r="D33" s="7">
        <f t="shared" ref="D33:L33" si="20" xml:space="preserve"> D29-D31</f>
        <v>7155.6484654978767</v>
      </c>
      <c r="E33" s="7">
        <f t="shared" si="20"/>
        <v>6168.1339669401723</v>
      </c>
      <c r="F33" s="7">
        <f t="shared" si="20"/>
        <v>8751.5328756575291</v>
      </c>
      <c r="G33" s="7">
        <f t="shared" si="20"/>
        <v>11813.827761668173</v>
      </c>
      <c r="H33" s="29">
        <f t="shared" si="20"/>
        <v>16973.322082784442</v>
      </c>
      <c r="I33" s="29">
        <f t="shared" si="20"/>
        <v>22763.940649359785</v>
      </c>
      <c r="J33" s="29">
        <f t="shared" si="20"/>
        <v>31288.309485871232</v>
      </c>
      <c r="K33" s="29">
        <f t="shared" si="20"/>
        <v>39253.053990234504</v>
      </c>
      <c r="L33" s="29">
        <f t="shared" si="20"/>
        <v>47127.965399198663</v>
      </c>
    </row>
    <row r="34" spans="2:12" x14ac:dyDescent="0.25">
      <c r="B34" s="19" t="s">
        <v>252</v>
      </c>
      <c r="C34" s="21">
        <f>C33/Income_Statement!C5</f>
        <v>0.51929626045428279</v>
      </c>
      <c r="D34" s="21">
        <f>D33/Income_Statement!D5</f>
        <v>0.58883806285290063</v>
      </c>
      <c r="E34" s="21">
        <f>E33/Income_Statement!E5</f>
        <v>0.52724546444035425</v>
      </c>
      <c r="F34" s="21">
        <f>F33/Income_Statement!F5</f>
        <v>0.56938870567483701</v>
      </c>
      <c r="G34" s="21">
        <f>G33/Income_Statement!G5</f>
        <v>0.45645433136301838</v>
      </c>
      <c r="H34" s="30">
        <f>H33/Income_Statement!H5</f>
        <v>0.67122320934511537</v>
      </c>
      <c r="I34" s="30">
        <f>I33/Income_Statement!I5</f>
        <v>0.67884585513520679</v>
      </c>
      <c r="J34" s="30">
        <f>J33/Income_Statement!J5</f>
        <v>0.68687289924896711</v>
      </c>
      <c r="K34" s="30">
        <f>K33/Income_Statement!K5</f>
        <v>0.69138540226503631</v>
      </c>
      <c r="L34" s="30">
        <f>L33/Income_Statement!L5</f>
        <v>0.69357797018556866</v>
      </c>
    </row>
    <row r="35" spans="2:12" ht="18.75" x14ac:dyDescent="0.25">
      <c r="B35" s="8" t="s">
        <v>67</v>
      </c>
      <c r="C35" s="4">
        <v>37.1</v>
      </c>
      <c r="D35" s="4">
        <v>40.32</v>
      </c>
      <c r="E35" s="4">
        <v>9.8800000000000008</v>
      </c>
      <c r="F35" s="4">
        <v>16.809999999999999</v>
      </c>
      <c r="G35" s="4">
        <v>39.06</v>
      </c>
      <c r="H35" s="24">
        <f>Balance_Sheet!H21*H63</f>
        <v>41.530293601161922</v>
      </c>
      <c r="I35" s="24">
        <f>Balance_Sheet!I21*I63</f>
        <v>49.745583549855489</v>
      </c>
      <c r="J35" s="24">
        <f>Balance_Sheet!J21*J63</f>
        <v>59.955839509108259</v>
      </c>
      <c r="K35" s="24">
        <f>Balance_Sheet!K21*K63</f>
        <v>69.389212355942362</v>
      </c>
      <c r="L35" s="24">
        <f>Balance_Sheet!L21*L63</f>
        <v>79.941193941772511</v>
      </c>
    </row>
    <row r="36" spans="2:12" x14ac:dyDescent="0.25">
      <c r="B36" s="17" t="s">
        <v>253</v>
      </c>
      <c r="C36" s="18">
        <f>C35/Income_Statement!C5</f>
        <v>3.1943737692835565E-3</v>
      </c>
      <c r="D36" s="18">
        <f>D35/Income_Statement!D5</f>
        <v>3.3179313948560542E-3</v>
      </c>
      <c r="E36" s="18">
        <f>E35/Income_Statement!E5</f>
        <v>8.4453178491108907E-4</v>
      </c>
      <c r="F36" s="18">
        <f>F35/Income_Statement!F5</f>
        <v>1.09368544669666E-3</v>
      </c>
      <c r="G36" s="18">
        <f>G35/Income_Statement!G5</f>
        <v>1.5091726866789817E-3</v>
      </c>
      <c r="H36" s="25">
        <f>H35/Income_Statement!H5</f>
        <v>1.6423477278081436E-3</v>
      </c>
      <c r="I36" s="25">
        <f>I35/Income_Statement!I5</f>
        <v>1.4834682502588262E-3</v>
      </c>
      <c r="J36" s="25">
        <f>J35/Income_Statement!J5</f>
        <v>1.3162117732542695E-3</v>
      </c>
      <c r="K36" s="25">
        <f>K35/Income_Statement!K5</f>
        <v>1.2221899602895237E-3</v>
      </c>
      <c r="L36" s="25">
        <f>L35/Income_Statement!L5</f>
        <v>1.1764872631078664E-3</v>
      </c>
    </row>
    <row r="37" spans="2:12" ht="18.75" x14ac:dyDescent="0.25">
      <c r="B37" s="9" t="s">
        <v>112</v>
      </c>
      <c r="C37" s="7">
        <f xml:space="preserve"> C33-C35</f>
        <v>5994.0950492803177</v>
      </c>
      <c r="D37" s="7">
        <f t="shared" ref="D37:L37" si="21" xml:space="preserve"> D33-D35</f>
        <v>7115.328465497877</v>
      </c>
      <c r="E37" s="7">
        <f t="shared" si="21"/>
        <v>6158.2539669401722</v>
      </c>
      <c r="F37" s="7">
        <f t="shared" si="21"/>
        <v>8734.7228756575296</v>
      </c>
      <c r="G37" s="7">
        <f t="shared" si="21"/>
        <v>11774.767761668174</v>
      </c>
      <c r="H37" s="29">
        <f t="shared" si="21"/>
        <v>16931.79178918328</v>
      </c>
      <c r="I37" s="29">
        <f t="shared" si="21"/>
        <v>22714.19506580993</v>
      </c>
      <c r="J37" s="29">
        <f t="shared" si="21"/>
        <v>31228.353646362124</v>
      </c>
      <c r="K37" s="29">
        <f t="shared" si="21"/>
        <v>39183.664777878563</v>
      </c>
      <c r="L37" s="29">
        <f t="shared" si="21"/>
        <v>47048.024205256894</v>
      </c>
    </row>
    <row r="38" spans="2:12" x14ac:dyDescent="0.25">
      <c r="B38" s="19" t="s">
        <v>254</v>
      </c>
      <c r="C38" s="21">
        <f>C37/Income_Statement!C5</f>
        <v>0.51610188668499923</v>
      </c>
      <c r="D38" s="21">
        <f>D37/Income_Statement!D5</f>
        <v>0.5855201314580446</v>
      </c>
      <c r="E38" s="21">
        <f>E37/Income_Statement!E5</f>
        <v>0.52640093265544319</v>
      </c>
      <c r="F38" s="21">
        <f>F37/Income_Statement!F5</f>
        <v>0.56829502022814049</v>
      </c>
      <c r="G38" s="21">
        <f>G37/Income_Statement!G5</f>
        <v>0.45494515867633945</v>
      </c>
      <c r="H38" s="30">
        <f>H37/Income_Statement!H5</f>
        <v>0.66958086161730734</v>
      </c>
      <c r="I38" s="30">
        <f>I37/Income_Statement!I5</f>
        <v>0.67736238688494799</v>
      </c>
      <c r="J38" s="30">
        <f>J37/Income_Statement!J5</f>
        <v>0.68555668747571286</v>
      </c>
      <c r="K38" s="30">
        <f>K37/Income_Statement!K5</f>
        <v>0.69016321230474675</v>
      </c>
      <c r="L38" s="30">
        <f>L37/Income_Statement!L5</f>
        <v>0.69240148292246084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4">
        <f>H5*H40</f>
        <v>0</v>
      </c>
      <c r="I39" s="24">
        <f t="shared" ref="I39:L39" si="22">I5*I40</f>
        <v>0</v>
      </c>
      <c r="J39" s="24">
        <f t="shared" si="22"/>
        <v>0</v>
      </c>
      <c r="K39" s="24">
        <f t="shared" si="22"/>
        <v>0</v>
      </c>
      <c r="L39" s="24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5994.0950492803177</v>
      </c>
      <c r="D41" s="7">
        <f t="shared" ref="D41:L41" si="24" xml:space="preserve"> D37+D39</f>
        <v>7115.328465497877</v>
      </c>
      <c r="E41" s="7">
        <f t="shared" si="24"/>
        <v>6158.2539669401722</v>
      </c>
      <c r="F41" s="7">
        <f t="shared" si="24"/>
        <v>8734.7228756575296</v>
      </c>
      <c r="G41" s="7">
        <f t="shared" si="24"/>
        <v>11774.767761668174</v>
      </c>
      <c r="H41" s="29">
        <f t="shared" si="24"/>
        <v>16931.79178918328</v>
      </c>
      <c r="I41" s="29">
        <f t="shared" si="24"/>
        <v>22714.19506580993</v>
      </c>
      <c r="J41" s="29">
        <f t="shared" si="24"/>
        <v>31228.353646362124</v>
      </c>
      <c r="K41" s="29">
        <f t="shared" si="24"/>
        <v>39183.664777878563</v>
      </c>
      <c r="L41" s="29">
        <f t="shared" si="24"/>
        <v>47048.024205256894</v>
      </c>
    </row>
    <row r="42" spans="2:12" x14ac:dyDescent="0.25">
      <c r="B42" s="19" t="s">
        <v>256</v>
      </c>
      <c r="C42" s="21">
        <f>C41/Income_Statement!C5</f>
        <v>0.51610188668499923</v>
      </c>
      <c r="D42" s="21">
        <f>D41/Income_Statement!D5</f>
        <v>0.5855201314580446</v>
      </c>
      <c r="E42" s="21">
        <f>E41/Income_Statement!E5</f>
        <v>0.52640093265544319</v>
      </c>
      <c r="F42" s="21">
        <f>F41/Income_Statement!F5</f>
        <v>0.56829502022814049</v>
      </c>
      <c r="G42" s="21">
        <f>G41/Income_Statement!G5</f>
        <v>0.45494515867633945</v>
      </c>
      <c r="H42" s="30">
        <f>H41/Income_Statement!H5</f>
        <v>0.66958086161730734</v>
      </c>
      <c r="I42" s="30">
        <f>I41/Income_Statement!I5</f>
        <v>0.67736238688494799</v>
      </c>
      <c r="J42" s="30">
        <f>J41/Income_Statement!J5</f>
        <v>0.68555668747571286</v>
      </c>
      <c r="K42" s="30">
        <f>K41/Income_Statement!K5</f>
        <v>0.69016321230474675</v>
      </c>
      <c r="L42" s="30">
        <f>L41/Income_Statement!L5</f>
        <v>0.69240148292246084</v>
      </c>
    </row>
    <row r="43" spans="2:12" ht="18.75" x14ac:dyDescent="0.25">
      <c r="B43" s="8" t="s">
        <v>72</v>
      </c>
      <c r="C43" s="4">
        <v>144.30000000000001</v>
      </c>
      <c r="D43" s="4">
        <v>0</v>
      </c>
      <c r="E43" s="4">
        <v>-96.44</v>
      </c>
      <c r="F43" s="4">
        <v>0</v>
      </c>
      <c r="G43" s="4">
        <v>0</v>
      </c>
      <c r="H43" s="24">
        <f>H5*H44</f>
        <v>0</v>
      </c>
      <c r="I43" s="24">
        <f t="shared" ref="I43:L43" si="25">I5*I44</f>
        <v>0</v>
      </c>
      <c r="J43" s="24">
        <f t="shared" si="25"/>
        <v>0</v>
      </c>
      <c r="K43" s="24">
        <f t="shared" si="25"/>
        <v>0</v>
      </c>
      <c r="L43" s="24">
        <f t="shared" si="25"/>
        <v>0</v>
      </c>
    </row>
    <row r="44" spans="2:12" x14ac:dyDescent="0.25">
      <c r="B44" s="17" t="s">
        <v>257</v>
      </c>
      <c r="C44" s="18">
        <f>C43/Income_Statement!C5</f>
        <v>1.2424478029854911E-2</v>
      </c>
      <c r="D44" s="18">
        <f>D43/Income_Statement!D5</f>
        <v>0</v>
      </c>
      <c r="E44" s="18">
        <f>E43/Income_Statement!E5</f>
        <v>-8.24358758469893E-3</v>
      </c>
      <c r="F44" s="18">
        <f>F43/Income_Statement!F5</f>
        <v>0</v>
      </c>
      <c r="G44" s="18">
        <f>G43/Income_Statement!G5</f>
        <v>0</v>
      </c>
      <c r="H44" s="25">
        <f>G44</f>
        <v>0</v>
      </c>
      <c r="I44" s="25">
        <f t="shared" ref="I44:L44" si="26">H44</f>
        <v>0</v>
      </c>
      <c r="J44" s="25">
        <f t="shared" si="26"/>
        <v>0</v>
      </c>
      <c r="K44" s="25">
        <f t="shared" si="26"/>
        <v>0</v>
      </c>
      <c r="L44" s="25">
        <f t="shared" si="26"/>
        <v>0</v>
      </c>
    </row>
    <row r="45" spans="2:12" ht="18.75" x14ac:dyDescent="0.25">
      <c r="B45" s="9" t="s">
        <v>115</v>
      </c>
      <c r="C45" s="7">
        <f xml:space="preserve"> C41+C43</f>
        <v>6138.3950492803178</v>
      </c>
      <c r="D45" s="7">
        <f t="shared" ref="D45:L45" si="27" xml:space="preserve"> D41+D43</f>
        <v>7115.328465497877</v>
      </c>
      <c r="E45" s="7">
        <f t="shared" si="27"/>
        <v>6061.8139669401726</v>
      </c>
      <c r="F45" s="7">
        <f t="shared" si="27"/>
        <v>8734.7228756575296</v>
      </c>
      <c r="G45" s="7">
        <f t="shared" si="27"/>
        <v>11774.767761668174</v>
      </c>
      <c r="H45" s="29">
        <f t="shared" si="27"/>
        <v>16931.79178918328</v>
      </c>
      <c r="I45" s="29">
        <f t="shared" si="27"/>
        <v>22714.19506580993</v>
      </c>
      <c r="J45" s="29">
        <f t="shared" si="27"/>
        <v>31228.353646362124</v>
      </c>
      <c r="K45" s="29">
        <f t="shared" si="27"/>
        <v>39183.664777878563</v>
      </c>
      <c r="L45" s="29">
        <f t="shared" si="27"/>
        <v>47048.024205256894</v>
      </c>
    </row>
    <row r="46" spans="2:12" x14ac:dyDescent="0.25">
      <c r="B46" s="19" t="s">
        <v>258</v>
      </c>
      <c r="C46" s="21">
        <f>C45/Income_Statement!C5</f>
        <v>0.52852636471485415</v>
      </c>
      <c r="D46" s="21">
        <f>D45/Income_Statement!D5</f>
        <v>0.5855201314580446</v>
      </c>
      <c r="E46" s="21">
        <f>E45/Income_Statement!E5</f>
        <v>0.51815734507074429</v>
      </c>
      <c r="F46" s="21">
        <f>F45/Income_Statement!F5</f>
        <v>0.56829502022814049</v>
      </c>
      <c r="G46" s="21">
        <f>G45/Income_Statement!G5</f>
        <v>0.45494515867633945</v>
      </c>
      <c r="H46" s="30">
        <f>H45/Income_Statement!H5</f>
        <v>0.66958086161730734</v>
      </c>
      <c r="I46" s="30">
        <f>I45/Income_Statement!I5</f>
        <v>0.67736238688494799</v>
      </c>
      <c r="J46" s="30">
        <f>J45/Income_Statement!J5</f>
        <v>0.68555668747571286</v>
      </c>
      <c r="K46" s="30">
        <f>K45/Income_Statement!K5</f>
        <v>0.69016321230474675</v>
      </c>
      <c r="L46" s="30">
        <f>L45/Income_Statement!L5</f>
        <v>0.69240148292246084</v>
      </c>
    </row>
    <row r="47" spans="2:12" ht="18.75" x14ac:dyDescent="0.25">
      <c r="B47" s="8" t="s">
        <v>79</v>
      </c>
      <c r="C47" s="5">
        <v>2373.34</v>
      </c>
      <c r="D47" s="5">
        <v>2556.5300000000002</v>
      </c>
      <c r="E47" s="5">
        <v>2512.7199999999998</v>
      </c>
      <c r="F47" s="5">
        <v>2648.45</v>
      </c>
      <c r="G47" s="5">
        <v>3582.25</v>
      </c>
      <c r="H47" s="28">
        <f>H45*H64</f>
        <v>5151.1768524433937</v>
      </c>
      <c r="I47" s="28">
        <f t="shared" ref="I47:L47" si="28">I45*I64</f>
        <v>6910.3634926358782</v>
      </c>
      <c r="J47" s="28">
        <f t="shared" si="28"/>
        <v>9500.6349266486086</v>
      </c>
      <c r="K47" s="28">
        <f t="shared" si="28"/>
        <v>11920.887612535755</v>
      </c>
      <c r="L47" s="28">
        <f t="shared" si="28"/>
        <v>14313.469965661909</v>
      </c>
    </row>
    <row r="48" spans="2:12" x14ac:dyDescent="0.25">
      <c r="B48" s="17" t="s">
        <v>259</v>
      </c>
      <c r="C48" s="18">
        <f>C47/Income_Statement!C5</f>
        <v>0.20434865341216807</v>
      </c>
      <c r="D48" s="18">
        <f>D47/Income_Statement!D5</f>
        <v>0.21037676460544022</v>
      </c>
      <c r="E48" s="18">
        <f>E47/Income_Statement!E5</f>
        <v>0.21478460592933113</v>
      </c>
      <c r="F48" s="18">
        <f>F47/Income_Statement!F5</f>
        <v>0.1723123867521576</v>
      </c>
      <c r="G48" s="18">
        <f>G47/Income_Statement!G5</f>
        <v>0.13840844487598009</v>
      </c>
      <c r="H48" s="25">
        <f>H47/Income_Statement!H5</f>
        <v>0.20370729088492698</v>
      </c>
      <c r="I48" s="25">
        <f>I47/Income_Statement!I5</f>
        <v>0.20607467251437633</v>
      </c>
      <c r="J48" s="25">
        <f>J47/Income_Statement!J5</f>
        <v>0.20856763321520874</v>
      </c>
      <c r="K48" s="25">
        <f>K47/Income_Statement!K5</f>
        <v>0.20996908111658708</v>
      </c>
      <c r="L48" s="25">
        <f>L47/Income_Statement!L5</f>
        <v>0.21065003254447071</v>
      </c>
    </row>
    <row r="49" spans="2:12" ht="18.75" x14ac:dyDescent="0.25">
      <c r="B49" s="9" t="s">
        <v>116</v>
      </c>
      <c r="C49" s="7">
        <f xml:space="preserve"> C45-C47</f>
        <v>3765.0550492803177</v>
      </c>
      <c r="D49" s="7">
        <f t="shared" ref="D49:L49" si="29" xml:space="preserve"> D45-D47</f>
        <v>4558.7984654978773</v>
      </c>
      <c r="E49" s="7">
        <f t="shared" si="29"/>
        <v>3549.0939669401728</v>
      </c>
      <c r="F49" s="7">
        <f t="shared" si="29"/>
        <v>6086.2728756575298</v>
      </c>
      <c r="G49" s="7">
        <f t="shared" si="29"/>
        <v>8192.517761668174</v>
      </c>
      <c r="H49" s="29">
        <f t="shared" si="29"/>
        <v>11780.614936739887</v>
      </c>
      <c r="I49" s="29">
        <f t="shared" si="29"/>
        <v>15803.831573174051</v>
      </c>
      <c r="J49" s="29">
        <f t="shared" si="29"/>
        <v>21727.718719713514</v>
      </c>
      <c r="K49" s="29">
        <f t="shared" si="29"/>
        <v>27262.777165342806</v>
      </c>
      <c r="L49" s="29">
        <f t="shared" si="29"/>
        <v>32734.554239594985</v>
      </c>
    </row>
    <row r="50" spans="2:12" x14ac:dyDescent="0.25">
      <c r="B50" s="19" t="s">
        <v>260</v>
      </c>
      <c r="C50" s="21">
        <f>C49/Income_Statement!C5</f>
        <v>0.32417771130268608</v>
      </c>
      <c r="D50" s="21">
        <f>D49/Income_Statement!D5</f>
        <v>0.37514336685260447</v>
      </c>
      <c r="E50" s="21">
        <f>E49/Income_Statement!E5</f>
        <v>0.30337273914141311</v>
      </c>
      <c r="F50" s="21">
        <f>F49/Income_Statement!F5</f>
        <v>0.39598263347598284</v>
      </c>
      <c r="G50" s="21">
        <f>G49/Income_Statement!G5</f>
        <v>0.31653671380035936</v>
      </c>
      <c r="H50" s="30">
        <f>H49/Income_Statement!H5</f>
        <v>0.46587357073238034</v>
      </c>
      <c r="I50" s="30">
        <f>I49/Income_Statement!I5</f>
        <v>0.47128771437057165</v>
      </c>
      <c r="J50" s="30">
        <f>J49/Income_Statement!J5</f>
        <v>0.47698905426050403</v>
      </c>
      <c r="K50" s="30">
        <f>K49/Income_Statement!K5</f>
        <v>0.48019413118815968</v>
      </c>
      <c r="L50" s="30">
        <f>L49/Income_Statement!L5</f>
        <v>0.48175145037799016</v>
      </c>
    </row>
    <row r="51" spans="2:12" ht="18.75" x14ac:dyDescent="0.25">
      <c r="B51" s="8" t="s">
        <v>88</v>
      </c>
      <c r="C51" s="4">
        <v>1676.86</v>
      </c>
      <c r="D51" s="5">
        <v>1690.14</v>
      </c>
      <c r="E51" s="5">
        <v>1619.72</v>
      </c>
      <c r="F51" s="5">
        <v>2274.15</v>
      </c>
      <c r="G51" s="5">
        <v>0</v>
      </c>
      <c r="H51" s="28">
        <f>H5*H52</f>
        <v>0</v>
      </c>
      <c r="I51" s="28">
        <f t="shared" ref="I51:L51" si="30">I5*I52</f>
        <v>0</v>
      </c>
      <c r="J51" s="28">
        <f t="shared" si="30"/>
        <v>0</v>
      </c>
      <c r="K51" s="28">
        <f t="shared" si="30"/>
        <v>0</v>
      </c>
      <c r="L51" s="28">
        <f t="shared" si="30"/>
        <v>0</v>
      </c>
    </row>
    <row r="52" spans="2:12" x14ac:dyDescent="0.25">
      <c r="B52" s="17" t="s">
        <v>261</v>
      </c>
      <c r="C52" s="18">
        <f>C51/Income_Statement!C5</f>
        <v>0.14438052826848582</v>
      </c>
      <c r="D52" s="18">
        <f>D51/Income_Statement!D5</f>
        <v>0.13908156169895863</v>
      </c>
      <c r="E52" s="18">
        <f>E51/Income_Statement!E5</f>
        <v>0.13845192537005963</v>
      </c>
      <c r="F52" s="18">
        <f>F51/Income_Statement!F5</f>
        <v>0.14795983096997084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341.37</v>
      </c>
      <c r="D53" s="4">
        <v>347.41</v>
      </c>
      <c r="E53" s="4">
        <v>332.94</v>
      </c>
      <c r="F53" s="4">
        <v>0</v>
      </c>
      <c r="G53" s="4">
        <v>0</v>
      </c>
      <c r="H53" s="24">
        <f>H5*H54</f>
        <v>0</v>
      </c>
      <c r="I53" s="24">
        <f t="shared" ref="I53:L53" si="32">I5*I54</f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</row>
    <row r="54" spans="2:12" x14ac:dyDescent="0.25">
      <c r="B54" s="17" t="s">
        <v>262</v>
      </c>
      <c r="C54" s="18">
        <f>C53/Income_Statement!C5</f>
        <v>2.9392543763351146E-2</v>
      </c>
      <c r="D54" s="18">
        <f>D53/Income_Statement!D5</f>
        <v>2.85883567928309E-2</v>
      </c>
      <c r="E54" s="18">
        <f>E53/Income_Statement!E5</f>
        <v>2.8459353488694127E-2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1746.8250492803181</v>
      </c>
      <c r="D55" s="7">
        <f t="shared" ref="D55:L55" si="34" xml:space="preserve"> D49-D51-D53</f>
        <v>2521.2484654978771</v>
      </c>
      <c r="E55" s="7">
        <f t="shared" si="34"/>
        <v>1596.4339669401727</v>
      </c>
      <c r="F55" s="7">
        <f t="shared" si="34"/>
        <v>3812.1228756575297</v>
      </c>
      <c r="G55" s="7">
        <f t="shared" si="34"/>
        <v>8192.517761668174</v>
      </c>
      <c r="H55" s="29">
        <f t="shared" si="34"/>
        <v>11780.614936739887</v>
      </c>
      <c r="I55" s="29">
        <f t="shared" si="34"/>
        <v>15803.831573174051</v>
      </c>
      <c r="J55" s="29">
        <f t="shared" si="34"/>
        <v>21727.718719713514</v>
      </c>
      <c r="K55" s="29">
        <f t="shared" si="34"/>
        <v>27262.777165342806</v>
      </c>
      <c r="L55" s="29">
        <f t="shared" si="34"/>
        <v>32734.554239594985</v>
      </c>
    </row>
    <row r="56" spans="2:12" x14ac:dyDescent="0.25">
      <c r="B56" s="19" t="s">
        <v>263</v>
      </c>
      <c r="C56" s="21">
        <f>C55/Income_Statement!C5</f>
        <v>0.15040463927084916</v>
      </c>
      <c r="D56" s="21">
        <f>D55/Income_Statement!D5</f>
        <v>0.20747344836081494</v>
      </c>
      <c r="E56" s="21">
        <f>E55/Income_Statement!E5</f>
        <v>0.13646146028265937</v>
      </c>
      <c r="F56" s="21">
        <f>F55/Income_Statement!F5</f>
        <v>0.248022802506012</v>
      </c>
      <c r="G56" s="21">
        <f>G55/Income_Statement!G5</f>
        <v>0.31653671380035936</v>
      </c>
      <c r="H56" s="30">
        <f>H55/Income_Statement!H5</f>
        <v>0.46587357073238034</v>
      </c>
      <c r="I56" s="30">
        <f>I55/Income_Statement!I5</f>
        <v>0.47128771437057165</v>
      </c>
      <c r="J56" s="30">
        <f>J55/Income_Statement!J5</f>
        <v>0.47698905426050403</v>
      </c>
      <c r="K56" s="30">
        <f>K55/Income_Statement!K5</f>
        <v>0.48019413118815968</v>
      </c>
      <c r="L56" s="30">
        <f>L55/Income_Statement!L5</f>
        <v>0.48175145037799016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12</v>
      </c>
      <c r="D60" s="4">
        <v>15</v>
      </c>
      <c r="E60" s="4">
        <v>12</v>
      </c>
      <c r="F60" s="4">
        <v>21</v>
      </c>
      <c r="G60" s="4">
        <v>32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313.75458744002646</v>
      </c>
      <c r="D61" s="4">
        <f t="shared" ref="D61:G61" si="35">D49/D60</f>
        <v>303.9198976998585</v>
      </c>
      <c r="E61" s="4">
        <f t="shared" si="35"/>
        <v>295.75783057834775</v>
      </c>
      <c r="F61" s="4">
        <f t="shared" si="35"/>
        <v>289.82251788845377</v>
      </c>
      <c r="G61" s="4">
        <f t="shared" si="35"/>
        <v>256.01618005213044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8.147992926108312E-2</v>
      </c>
      <c r="D62" s="23">
        <f>D31/Balance_Sheet!D40</f>
        <v>8.7240621414346062E-2</v>
      </c>
      <c r="E62" s="23">
        <f>E31/Balance_Sheet!E40</f>
        <v>9.0442969073429524E-2</v>
      </c>
      <c r="F62" s="23">
        <f>F31/Balance_Sheet!F40</f>
        <v>6.8817657597976478E-2</v>
      </c>
      <c r="G62" s="23">
        <f>G31/Balance_Sheet!G40</f>
        <v>1.2493931928174872E-2</v>
      </c>
      <c r="H62" s="23">
        <f>MEDIAN(C62:G62)</f>
        <v>8.147992926108312E-2</v>
      </c>
      <c r="I62" s="23">
        <f t="shared" ref="I62:L62" si="36">H62</f>
        <v>8.147992926108312E-2</v>
      </c>
      <c r="J62" s="23">
        <f t="shared" si="36"/>
        <v>8.147992926108312E-2</v>
      </c>
      <c r="K62" s="23">
        <f t="shared" si="36"/>
        <v>8.147992926108312E-2</v>
      </c>
      <c r="L62" s="23">
        <f t="shared" si="36"/>
        <v>8.147992926108312E-2</v>
      </c>
    </row>
    <row r="63" spans="2:12" x14ac:dyDescent="0.25">
      <c r="B63" t="s">
        <v>267</v>
      </c>
      <c r="C63" s="23">
        <f>C35/Balance_Sheet!C21</f>
        <v>7.4186646403647347E-2</v>
      </c>
      <c r="D63" s="23">
        <f>D35/Balance_Sheet!D21</f>
        <v>0.11072360291088838</v>
      </c>
      <c r="E63" s="23">
        <f>E35/Balance_Sheet!E21</f>
        <v>1.7469101967926164E-2</v>
      </c>
      <c r="F63" s="23">
        <f>F35/Balance_Sheet!F21</f>
        <v>8.4283042612824464E-3</v>
      </c>
      <c r="G63" s="23">
        <f>G35/Balance_Sheet!G21</f>
        <v>1.1189444223227409E-2</v>
      </c>
      <c r="H63" s="23">
        <f>G63</f>
        <v>1.1189444223227409E-2</v>
      </c>
      <c r="I63" s="23">
        <f t="shared" ref="I63:L63" si="37">H63</f>
        <v>1.1189444223227409E-2</v>
      </c>
      <c r="J63" s="23">
        <f t="shared" si="37"/>
        <v>1.1189444223227409E-2</v>
      </c>
      <c r="K63" s="23">
        <f t="shared" si="37"/>
        <v>1.1189444223227409E-2</v>
      </c>
      <c r="L63" s="23">
        <f t="shared" si="37"/>
        <v>1.1189444223227409E-2</v>
      </c>
    </row>
    <row r="64" spans="2:12" x14ac:dyDescent="0.25">
      <c r="B64" t="s">
        <v>268</v>
      </c>
      <c r="C64" s="23">
        <f>C47/Income_Statement!C45</f>
        <v>0.38663852374217217</v>
      </c>
      <c r="D64" s="23">
        <f>D47/Income_Statement!D45</f>
        <v>0.35929894345659186</v>
      </c>
      <c r="E64" s="23">
        <f>E47/Income_Statement!E45</f>
        <v>0.41451618504029214</v>
      </c>
      <c r="F64" s="23">
        <f>F47/Income_Statement!F45</f>
        <v>0.30320939057847679</v>
      </c>
      <c r="G64" s="23">
        <f>G47/Income_Statement!G45</f>
        <v>0.30423105342779938</v>
      </c>
      <c r="H64" s="23">
        <f>G64</f>
        <v>0.30423105342779938</v>
      </c>
      <c r="I64" s="23">
        <f t="shared" ref="I64:L64" si="38">H64</f>
        <v>0.30423105342779938</v>
      </c>
      <c r="J64" s="23">
        <f t="shared" si="38"/>
        <v>0.30423105342779938</v>
      </c>
      <c r="K64" s="23">
        <f t="shared" si="38"/>
        <v>0.30423105342779938</v>
      </c>
      <c r="L64" s="23">
        <f t="shared" si="38"/>
        <v>0.30423105342779938</v>
      </c>
    </row>
    <row r="65" spans="2:12" x14ac:dyDescent="0.25">
      <c r="B65" t="s">
        <v>269</v>
      </c>
      <c r="C65" s="23">
        <f>C53/Income_Statement!C51</f>
        <v>0.20357692353565596</v>
      </c>
      <c r="D65" s="23">
        <f>D53/Income_Statement!D51</f>
        <v>0.20555101944217638</v>
      </c>
      <c r="E65" s="23">
        <f>E53/Income_Statement!E51</f>
        <v>0.2055540463783864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3A016DF5-7232-4A0B-9CCB-1F0CB6BF83D1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D2EE3-2625-4216-83B3-8D06A0CC3CA0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11614.17</v>
      </c>
      <c r="D5" s="13">
        <f>Income_Statement!D5</f>
        <v>12152.15</v>
      </c>
      <c r="E5" s="13">
        <f>Income_Statement!E5</f>
        <v>11698.79</v>
      </c>
      <c r="F5" s="13">
        <f>Income_Statement!F5</f>
        <v>15370.05</v>
      </c>
      <c r="G5" s="13">
        <f>Income_Statement!G5</f>
        <v>25881.73</v>
      </c>
    </row>
    <row r="6" spans="2:15" ht="18.75" x14ac:dyDescent="0.25">
      <c r="B6" s="12" t="str">
        <f>Income_Statement!B15</f>
        <v>Total Income</v>
      </c>
      <c r="C6" s="13">
        <f>Income_Statement!C15</f>
        <v>12138.425049280318</v>
      </c>
      <c r="D6" s="13">
        <f>Income_Statement!D15</f>
        <v>12742.158465497876</v>
      </c>
      <c r="E6" s="13">
        <f>Income_Statement!E15</f>
        <v>12214.193966940173</v>
      </c>
      <c r="F6" s="13">
        <f>Income_Statement!F15</f>
        <v>15722.672875657528</v>
      </c>
      <c r="G6" s="13">
        <f>Income_Statement!G15</f>
        <v>26601.277761668174</v>
      </c>
    </row>
  </sheetData>
  <hyperlinks>
    <hyperlink ref="F1" location="Index_Data!A1" tooltip="Hi click here To return Index page" display="Index_Data!A1" xr:uid="{E5FCEE5E-3EAA-4BED-B45B-10A33AD780DF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932CC-9678-47BE-B772-0C3CFC699DC1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28691.32</v>
      </c>
      <c r="D5" s="13">
        <f>Balance_Sheet!D37</f>
        <v>30775.688465497875</v>
      </c>
      <c r="E5" s="13">
        <f>Balance_Sheet!E37</f>
        <v>32146.252432438047</v>
      </c>
      <c r="F5" s="13">
        <f>Balance_Sheet!F37</f>
        <v>39369.645308095576</v>
      </c>
      <c r="G5" s="13">
        <f>Balance_Sheet!G37</f>
        <v>50381.08306976375</v>
      </c>
    </row>
    <row r="6" spans="2:15" ht="18.75" x14ac:dyDescent="0.25">
      <c r="B6" s="12" t="str">
        <f>Balance_Sheet!B21</f>
        <v>Total Debt</v>
      </c>
      <c r="C6" s="13">
        <f>Balance_Sheet!C21</f>
        <v>500.09</v>
      </c>
      <c r="D6" s="13">
        <f>Balance_Sheet!D21</f>
        <v>364.15</v>
      </c>
      <c r="E6" s="13">
        <f>Balance_Sheet!E21</f>
        <v>565.57000000000005</v>
      </c>
      <c r="F6" s="13">
        <f>Balance_Sheet!F21</f>
        <v>1994.4699999999998</v>
      </c>
      <c r="G6" s="13">
        <f>Balance_Sheet!G21</f>
        <v>3490.79</v>
      </c>
    </row>
  </sheetData>
  <hyperlinks>
    <hyperlink ref="F1" location="Index_Data!A1" tooltip="Hi click here To return Index page" display="Index_Data!A1" xr:uid="{BB088B7C-7DBC-40FC-A27F-94E352756789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D842D-4140-4FBE-AF3D-A62F9C08F33C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28691.32</v>
      </c>
      <c r="D5" s="13">
        <f>Balance_Sheet!D37</f>
        <v>30775.688465497875</v>
      </c>
      <c r="E5" s="13">
        <f>Balance_Sheet!E37</f>
        <v>32146.252432438047</v>
      </c>
      <c r="F5" s="13">
        <f>Balance_Sheet!F37</f>
        <v>39369.645308095576</v>
      </c>
      <c r="G5" s="13">
        <f>Balance_Sheet!G37</f>
        <v>50381.08306976375</v>
      </c>
    </row>
    <row r="6" spans="2:15" ht="18.75" x14ac:dyDescent="0.25">
      <c r="B6" s="12" t="str">
        <f>Balance_Sheet!B33</f>
        <v>Total Current Liabilities</v>
      </c>
      <c r="C6" s="13">
        <f>Balance_Sheet!C33</f>
        <v>3758.93</v>
      </c>
      <c r="D6" s="13">
        <f>Balance_Sheet!D33</f>
        <v>3469.1899999999996</v>
      </c>
      <c r="E6" s="13">
        <f>Balance_Sheet!E33</f>
        <v>3047.74</v>
      </c>
      <c r="F6" s="13">
        <f>Balance_Sheet!F33</f>
        <v>5037.74</v>
      </c>
      <c r="G6" s="13">
        <f>Balance_Sheet!G33</f>
        <v>6360.43</v>
      </c>
    </row>
  </sheetData>
  <hyperlinks>
    <hyperlink ref="F1" location="Index_Data!A1" tooltip="Hi click here To return Index page" display="Index_Data!A1" xr:uid="{B3D7CB9B-FDBC-4D26-B559-6B5395750766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11894-7DEE-4EF8-ADB2-458AF8604F3C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28691.32</v>
      </c>
      <c r="D5" s="13">
        <f>Balance_Sheet!D74</f>
        <v>30775.688465497875</v>
      </c>
      <c r="E5" s="13">
        <f>Balance_Sheet!E74</f>
        <v>32146.25243243805</v>
      </c>
      <c r="F5" s="13">
        <f>Balance_Sheet!F74</f>
        <v>39369.645308095576</v>
      </c>
      <c r="G5" s="13">
        <f>Balance_Sheet!G74</f>
        <v>50381.08306976375</v>
      </c>
    </row>
    <row r="6" spans="2:15" ht="18.75" x14ac:dyDescent="0.25">
      <c r="B6" s="12" t="str">
        <f>Balance_Sheet!B54</f>
        <v>Total Non Current Assets</v>
      </c>
      <c r="C6" s="13">
        <f>Balance_Sheet!C54</f>
        <v>16675</v>
      </c>
      <c r="D6" s="13">
        <f>Balance_Sheet!D54</f>
        <v>17817.25</v>
      </c>
      <c r="E6" s="13">
        <f>Balance_Sheet!E54</f>
        <v>19551.96</v>
      </c>
      <c r="F6" s="13">
        <f>Balance_Sheet!F54</f>
        <v>21018.42</v>
      </c>
      <c r="G6" s="13">
        <f>Balance_Sheet!G54</f>
        <v>22835.08</v>
      </c>
    </row>
  </sheetData>
  <hyperlinks>
    <hyperlink ref="F1" location="Index_Data!A1" tooltip="Hi click here To return Index page" display="Index_Data!A1" xr:uid="{EC023112-8E7B-4214-810C-B6FFD3538501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31339-4774-4E51-990C-2580D3C570F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28691.32</v>
      </c>
      <c r="D5" s="13">
        <f>Balance_Sheet!D74</f>
        <v>30775.688465497875</v>
      </c>
      <c r="E5" s="13">
        <f>Balance_Sheet!E74</f>
        <v>32146.25243243805</v>
      </c>
      <c r="F5" s="13">
        <f>Balance_Sheet!F74</f>
        <v>39369.645308095576</v>
      </c>
      <c r="G5" s="13">
        <f>Balance_Sheet!G74</f>
        <v>50381.08306976375</v>
      </c>
    </row>
    <row r="6" spans="2:15" ht="18.75" x14ac:dyDescent="0.25">
      <c r="B6" s="12" t="str">
        <f>Balance_Sheet!B72</f>
        <v>Total Current Assets</v>
      </c>
      <c r="C6" s="13">
        <f>Balance_Sheet!C72</f>
        <v>12016.32</v>
      </c>
      <c r="D6" s="13">
        <f>Balance_Sheet!D72</f>
        <v>12958.438465497875</v>
      </c>
      <c r="E6" s="13">
        <f>Balance_Sheet!E72</f>
        <v>12594.292432438049</v>
      </c>
      <c r="F6" s="13">
        <f>Balance_Sheet!F72</f>
        <v>18351.225308095578</v>
      </c>
      <c r="G6" s="13">
        <f>Balance_Sheet!G72</f>
        <v>27546.003069763748</v>
      </c>
    </row>
  </sheetData>
  <hyperlinks>
    <hyperlink ref="F1" location="Index_Data!A1" tooltip="Hi click here To return Index page" display="Index_Data!A1" xr:uid="{1090FB49-C174-4159-B9EE-FD77D6D4703C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170F0-85B8-4F5D-A719-D8754E97246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5850.6</v>
      </c>
      <c r="D5" s="13">
        <f>Income_Statement!D25</f>
        <v>5307.4699999999993</v>
      </c>
      <c r="E5" s="13">
        <f>Income_Statement!E25</f>
        <v>5751.13</v>
      </c>
      <c r="F5" s="13">
        <f>Income_Statement!F25</f>
        <v>6742.5999999999995</v>
      </c>
      <c r="G5" s="13">
        <f>Income_Statement!G25</f>
        <v>14499.710000000001</v>
      </c>
    </row>
    <row r="6" spans="2:15" ht="18.75" x14ac:dyDescent="0.25">
      <c r="B6" s="12" t="str">
        <f>Income_Statement!B15</f>
        <v>Total Income</v>
      </c>
      <c r="C6" s="13">
        <f>Income_Statement!C15</f>
        <v>12138.425049280318</v>
      </c>
      <c r="D6" s="13">
        <f>Income_Statement!D15</f>
        <v>12742.158465497876</v>
      </c>
      <c r="E6" s="13">
        <f>Income_Statement!E15</f>
        <v>12214.193966940173</v>
      </c>
      <c r="F6" s="13">
        <f>Income_Statement!F15</f>
        <v>15722.672875657528</v>
      </c>
      <c r="G6" s="13">
        <f>Income_Statement!G15</f>
        <v>26601.277761668174</v>
      </c>
    </row>
  </sheetData>
  <hyperlinks>
    <hyperlink ref="F1" location="Index_Data!A1" tooltip="Hi click here To return Index page" display="Index_Data!A1" xr:uid="{A5A47CE2-3EB4-4982-A6BE-8DDB4DB11572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492D9-A143-41BD-9F47-B6E2722734E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1746.8250492803181</v>
      </c>
      <c r="D5" s="13">
        <f>Income_Statement!D55</f>
        <v>2521.2484654978771</v>
      </c>
      <c r="E5" s="13">
        <f>Income_Statement!E55</f>
        <v>1596.4339669401727</v>
      </c>
      <c r="F5" s="13">
        <f>Income_Statement!F55</f>
        <v>3812.1228756575297</v>
      </c>
      <c r="G5" s="13">
        <f>Income_Statement!G55</f>
        <v>8192.517761668174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3765.0550492803177</v>
      </c>
      <c r="D6" s="13">
        <f>Income_Statement!D49</f>
        <v>4558.7984654978773</v>
      </c>
      <c r="E6" s="13">
        <f>Income_Statement!E49</f>
        <v>3549.0939669401728</v>
      </c>
      <c r="F6" s="13">
        <f>Income_Statement!F49</f>
        <v>6086.2728756575298</v>
      </c>
      <c r="G6" s="13">
        <f>Income_Statement!G49</f>
        <v>8192.517761668174</v>
      </c>
    </row>
  </sheetData>
  <hyperlinks>
    <hyperlink ref="F1" location="Index_Data!A1" tooltip="Hi click here To return Index page" display="Index_Data!A1" xr:uid="{39602A39-44C3-4895-BC19-8E7C8846D49E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881CD-DF2F-4A88-8F15-F0ED54F683A0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5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4">
        <v>316.39</v>
      </c>
      <c r="D5" s="4">
        <v>306.19</v>
      </c>
      <c r="E5" s="4">
        <v>306.19</v>
      </c>
      <c r="F5" s="4">
        <v>293.07</v>
      </c>
      <c r="G5" s="4">
        <v>293.07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6">
        <f>C5+C6</f>
        <v>316.39</v>
      </c>
      <c r="D7" s="6">
        <f t="shared" ref="D7:G7" si="0">D5+D6</f>
        <v>306.19</v>
      </c>
      <c r="E7" s="6">
        <f t="shared" si="0"/>
        <v>306.19</v>
      </c>
      <c r="F7" s="6">
        <f t="shared" si="0"/>
        <v>293.07</v>
      </c>
      <c r="G7" s="6">
        <f t="shared" si="0"/>
        <v>293.07</v>
      </c>
    </row>
    <row r="8" spans="2:15" ht="18.75" x14ac:dyDescent="0.25">
      <c r="B8" s="8" t="s">
        <v>7</v>
      </c>
      <c r="C8" s="5">
        <v>24101.02</v>
      </c>
      <c r="D8" s="5">
        <f>Income_Statement!D55+C8</f>
        <v>26622.268465497877</v>
      </c>
      <c r="E8" s="5">
        <f>Income_Statement!E55+D8</f>
        <v>28218.702432438051</v>
      </c>
      <c r="F8" s="5">
        <f>Income_Statement!F55+E8</f>
        <v>32030.82530809558</v>
      </c>
      <c r="G8" s="5">
        <f>Income_Statement!G55+F8</f>
        <v>40223.343069763752</v>
      </c>
    </row>
    <row r="9" spans="2:15" ht="18.75" x14ac:dyDescent="0.25">
      <c r="B9" s="9" t="s">
        <v>122</v>
      </c>
      <c r="C9" s="7">
        <f>C7+C8</f>
        <v>24417.41</v>
      </c>
      <c r="D9" s="7">
        <f t="shared" ref="D9:G9" si="1">D7+D8</f>
        <v>26928.458465497875</v>
      </c>
      <c r="E9" s="7">
        <f t="shared" si="1"/>
        <v>28524.89243243805</v>
      </c>
      <c r="F9" s="7">
        <f t="shared" si="1"/>
        <v>32323.89530809558</v>
      </c>
      <c r="G9" s="7">
        <f t="shared" si="1"/>
        <v>40516.413069763752</v>
      </c>
    </row>
    <row r="10" spans="2:15" ht="18.75" x14ac:dyDescent="0.25">
      <c r="B10" s="8" t="s">
        <v>12</v>
      </c>
      <c r="C10" s="5">
        <v>0</v>
      </c>
      <c r="D10" s="4">
        <v>0</v>
      </c>
      <c r="E10" s="4">
        <v>0</v>
      </c>
      <c r="F10" s="4">
        <v>546.42999999999995</v>
      </c>
      <c r="G10" s="4">
        <v>1674.07</v>
      </c>
    </row>
    <row r="11" spans="2:15" ht="18.75" x14ac:dyDescent="0.25">
      <c r="B11" s="8" t="s">
        <v>13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15" ht="18.75" x14ac:dyDescent="0.25">
      <c r="B12" s="8" t="s">
        <v>18</v>
      </c>
      <c r="C12" s="5">
        <v>500.09</v>
      </c>
      <c r="D12" s="5">
        <v>364.15</v>
      </c>
      <c r="E12" s="4">
        <v>565.57000000000005</v>
      </c>
      <c r="F12" s="4">
        <v>1448.04</v>
      </c>
      <c r="G12" s="4">
        <v>1816.72</v>
      </c>
    </row>
    <row r="13" spans="2:15" ht="18.75" x14ac:dyDescent="0.25">
      <c r="B13" s="9" t="s">
        <v>123</v>
      </c>
      <c r="C13" s="7">
        <f>C10+C11+C12</f>
        <v>500.09</v>
      </c>
      <c r="D13" s="7">
        <f t="shared" ref="D13:G13" si="2">D10+D11+D12</f>
        <v>364.15</v>
      </c>
      <c r="E13" s="7">
        <f t="shared" si="2"/>
        <v>565.57000000000005</v>
      </c>
      <c r="F13" s="7">
        <f t="shared" si="2"/>
        <v>1994.4699999999998</v>
      </c>
      <c r="G13" s="7">
        <f t="shared" si="2"/>
        <v>3490.79</v>
      </c>
    </row>
    <row r="14" spans="2:15" ht="18.75" x14ac:dyDescent="0.25">
      <c r="B14" s="8" t="s">
        <v>15</v>
      </c>
      <c r="C14" s="5">
        <v>714.12</v>
      </c>
      <c r="D14" s="4">
        <v>768.52</v>
      </c>
      <c r="E14" s="4">
        <v>827.96</v>
      </c>
      <c r="F14" s="4">
        <v>945.41</v>
      </c>
      <c r="G14" s="4">
        <v>1092.46</v>
      </c>
    </row>
    <row r="15" spans="2:15" ht="18.75" x14ac:dyDescent="0.25">
      <c r="B15" s="8" t="s">
        <v>21</v>
      </c>
      <c r="C15" s="4">
        <v>27.61</v>
      </c>
      <c r="D15" s="4">
        <v>41.45</v>
      </c>
      <c r="E15" s="4">
        <v>222.78</v>
      </c>
      <c r="F15" s="4">
        <v>98.56</v>
      </c>
      <c r="G15" s="4">
        <v>15.13</v>
      </c>
    </row>
    <row r="16" spans="2:15" ht="18.75" x14ac:dyDescent="0.25">
      <c r="B16" s="8" t="s">
        <v>14</v>
      </c>
      <c r="C16" s="4">
        <v>0</v>
      </c>
      <c r="D16" s="4">
        <v>0</v>
      </c>
      <c r="E16" s="4">
        <v>5.83</v>
      </c>
      <c r="F16" s="4">
        <v>4.7</v>
      </c>
      <c r="G16" s="4">
        <v>150.28</v>
      </c>
    </row>
    <row r="17" spans="2:7" ht="18.75" x14ac:dyDescent="0.25">
      <c r="B17" s="8" t="s">
        <v>19</v>
      </c>
      <c r="C17" s="4">
        <v>159.63999999999999</v>
      </c>
      <c r="D17" s="4">
        <v>202.79</v>
      </c>
      <c r="E17" s="4">
        <v>225.9</v>
      </c>
      <c r="F17" s="4">
        <v>360.78</v>
      </c>
      <c r="G17" s="4">
        <v>967.53</v>
      </c>
    </row>
    <row r="18" spans="2:7" ht="18.75" x14ac:dyDescent="0.25">
      <c r="B18" s="8" t="s">
        <v>20</v>
      </c>
      <c r="C18" s="5">
        <v>2857.56</v>
      </c>
      <c r="D18" s="5">
        <v>2456.4299999999998</v>
      </c>
      <c r="E18" s="5">
        <v>1765.27</v>
      </c>
      <c r="F18" s="5">
        <v>3628.29</v>
      </c>
      <c r="G18" s="5">
        <v>4135.03</v>
      </c>
    </row>
    <row r="19" spans="2:7" ht="18.75" x14ac:dyDescent="0.25">
      <c r="B19" s="9" t="s">
        <v>22</v>
      </c>
      <c r="C19" s="7">
        <f>C14+C15+C16+C17+C18</f>
        <v>3758.93</v>
      </c>
      <c r="D19" s="7">
        <f t="shared" ref="D19:G19" si="3">D14+D15+D16+D17+D18</f>
        <v>3469.1899999999996</v>
      </c>
      <c r="E19" s="7">
        <f t="shared" si="3"/>
        <v>3047.74</v>
      </c>
      <c r="F19" s="7">
        <f t="shared" si="3"/>
        <v>5037.74</v>
      </c>
      <c r="G19" s="7">
        <f t="shared" si="3"/>
        <v>6360.43</v>
      </c>
    </row>
    <row r="20" spans="2:7" ht="18.75" x14ac:dyDescent="0.25">
      <c r="B20" s="8" t="s">
        <v>10</v>
      </c>
      <c r="C20" s="4">
        <v>14.89</v>
      </c>
      <c r="D20" s="4">
        <v>13.89</v>
      </c>
      <c r="E20" s="4">
        <v>8.0500000000000007</v>
      </c>
      <c r="F20" s="4">
        <v>13.54</v>
      </c>
      <c r="G20" s="4">
        <v>13.45</v>
      </c>
    </row>
    <row r="21" spans="2:7" ht="18.75" x14ac:dyDescent="0.25">
      <c r="B21" s="9" t="s">
        <v>124</v>
      </c>
      <c r="C21" s="7">
        <f>C9+C13+C19+C20</f>
        <v>28691.32</v>
      </c>
      <c r="D21" s="7">
        <f t="shared" ref="D21:G21" si="4">D9+D13+D19+D20</f>
        <v>30775.688465497875</v>
      </c>
      <c r="E21" s="7">
        <f t="shared" si="4"/>
        <v>32146.252432438047</v>
      </c>
      <c r="F21" s="7">
        <f t="shared" si="4"/>
        <v>39369.645308095576</v>
      </c>
      <c r="G21" s="7">
        <f t="shared" si="4"/>
        <v>50381.08306976375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3149.61</v>
      </c>
      <c r="D23" s="5">
        <v>3198.51</v>
      </c>
      <c r="E23" s="5">
        <v>3260.95</v>
      </c>
      <c r="F23" s="5">
        <v>3320.95</v>
      </c>
      <c r="G23" s="5">
        <v>23030.38</v>
      </c>
    </row>
    <row r="24" spans="2:7" ht="18.75" x14ac:dyDescent="0.25">
      <c r="B24" s="8" t="s">
        <v>27</v>
      </c>
      <c r="C24" s="4">
        <v>213.71</v>
      </c>
      <c r="D24" s="4">
        <v>220.01</v>
      </c>
      <c r="E24" s="4">
        <v>454.66</v>
      </c>
      <c r="F24" s="4">
        <v>518.57000000000005</v>
      </c>
      <c r="G24" s="4">
        <v>0</v>
      </c>
    </row>
    <row r="25" spans="2:7" ht="18.75" x14ac:dyDescent="0.25">
      <c r="B25" s="8" t="s">
        <v>125</v>
      </c>
      <c r="C25" s="4"/>
      <c r="D25" s="4">
        <f>Income_Statement!D31</f>
        <v>279.04000000000002</v>
      </c>
      <c r="E25" s="4">
        <f>Income_Statement!E31+D25</f>
        <v>573.97</v>
      </c>
      <c r="F25" s="4">
        <f>Income_Statement!F31+E25</f>
        <v>802.51</v>
      </c>
      <c r="G25" s="4">
        <f>Income_Statement!G31+F25</f>
        <v>1090.25</v>
      </c>
    </row>
    <row r="26" spans="2:7" ht="18.75" x14ac:dyDescent="0.25">
      <c r="B26" s="9" t="s">
        <v>126</v>
      </c>
      <c r="C26" s="7">
        <f>C23+C24-C25</f>
        <v>3363.32</v>
      </c>
      <c r="D26" s="7">
        <f t="shared" ref="D26:G26" si="5">D23+D24-D25</f>
        <v>3139.4800000000005</v>
      </c>
      <c r="E26" s="7">
        <f t="shared" si="5"/>
        <v>3141.6399999999994</v>
      </c>
      <c r="F26" s="7">
        <f t="shared" si="5"/>
        <v>3037.01</v>
      </c>
      <c r="G26" s="7">
        <f t="shared" si="5"/>
        <v>21940.13</v>
      </c>
    </row>
    <row r="27" spans="2:7" ht="18.75" x14ac:dyDescent="0.25">
      <c r="B27" s="8" t="s">
        <v>30</v>
      </c>
      <c r="C27" s="4">
        <v>672.73</v>
      </c>
      <c r="D27" s="4">
        <v>858.87</v>
      </c>
      <c r="E27" s="4">
        <v>910.1</v>
      </c>
      <c r="F27" s="4">
        <v>874.9</v>
      </c>
      <c r="G27" s="4">
        <v>894.95</v>
      </c>
    </row>
    <row r="28" spans="2:7" ht="18.75" x14ac:dyDescent="0.25">
      <c r="B28" s="8" t="s">
        <v>36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2:7" ht="18.75" x14ac:dyDescent="0.25">
      <c r="B29" s="8" t="s">
        <v>28</v>
      </c>
      <c r="C29" s="4">
        <v>12638.949999999999</v>
      </c>
      <c r="D29" s="5">
        <v>13818.9</v>
      </c>
      <c r="E29" s="5">
        <v>15500.22</v>
      </c>
      <c r="F29" s="5">
        <v>17106.509999999998</v>
      </c>
      <c r="G29" s="5">
        <v>0</v>
      </c>
    </row>
    <row r="30" spans="2:7" ht="18.75" x14ac:dyDescent="0.25">
      <c r="B30" s="9" t="s">
        <v>127</v>
      </c>
      <c r="C30" s="7">
        <f>C26+C27+C28+C29</f>
        <v>16675</v>
      </c>
      <c r="D30" s="7">
        <f t="shared" ref="D30:G30" si="6">D26+D27+D28+D29</f>
        <v>17817.25</v>
      </c>
      <c r="E30" s="7">
        <f t="shared" si="6"/>
        <v>19551.96</v>
      </c>
      <c r="F30" s="7">
        <f t="shared" si="6"/>
        <v>21018.42</v>
      </c>
      <c r="G30" s="7">
        <f t="shared" si="6"/>
        <v>22835.08</v>
      </c>
    </row>
    <row r="31" spans="2:7" ht="18.75" x14ac:dyDescent="0.25">
      <c r="B31" s="8" t="s">
        <v>31</v>
      </c>
      <c r="C31" s="4">
        <v>385.71</v>
      </c>
      <c r="D31" s="4">
        <v>582.73</v>
      </c>
      <c r="E31" s="4">
        <v>397.07</v>
      </c>
      <c r="F31" s="4">
        <v>408.28</v>
      </c>
      <c r="G31" s="4">
        <v>530.95000000000005</v>
      </c>
    </row>
    <row r="32" spans="2:7" ht="18.75" x14ac:dyDescent="0.25">
      <c r="B32" s="8" t="s">
        <v>32</v>
      </c>
      <c r="C32" s="4">
        <v>140.07</v>
      </c>
      <c r="D32" s="4">
        <v>154.71</v>
      </c>
      <c r="E32" s="4">
        <v>224.38</v>
      </c>
      <c r="F32" s="4">
        <v>259.17</v>
      </c>
      <c r="G32" s="4">
        <v>40.770000000000003</v>
      </c>
    </row>
    <row r="33" spans="2:7" ht="18.75" x14ac:dyDescent="0.25">
      <c r="B33" s="8" t="s">
        <v>33</v>
      </c>
      <c r="C33" s="5">
        <v>2626.23</v>
      </c>
      <c r="D33" s="5">
        <v>2986.32</v>
      </c>
      <c r="E33" s="5">
        <v>3075.48</v>
      </c>
      <c r="F33" s="5">
        <v>3695.91</v>
      </c>
      <c r="G33" s="5">
        <v>4449.8</v>
      </c>
    </row>
    <row r="34" spans="2:7" ht="18.75" x14ac:dyDescent="0.25">
      <c r="B34" s="8" t="s">
        <v>40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2:7" ht="18.75" x14ac:dyDescent="0.25">
      <c r="B35" s="8" t="s">
        <v>41</v>
      </c>
      <c r="C35" s="5">
        <v>1358.9</v>
      </c>
      <c r="D35" s="5">
        <v>1267.22</v>
      </c>
      <c r="E35" s="5">
        <v>1963.36</v>
      </c>
      <c r="F35" s="5">
        <v>1676.77</v>
      </c>
      <c r="G35" s="5">
        <v>2713.34</v>
      </c>
    </row>
    <row r="36" spans="2:7" ht="18.75" x14ac:dyDescent="0.25">
      <c r="B36" s="8" t="s">
        <v>37</v>
      </c>
      <c r="C36" s="5">
        <v>571.69000000000005</v>
      </c>
      <c r="D36" s="4">
        <v>666.17</v>
      </c>
      <c r="E36" s="4">
        <v>723.51</v>
      </c>
      <c r="F36" s="4">
        <v>921.72</v>
      </c>
      <c r="G36" s="4">
        <v>2164.9</v>
      </c>
    </row>
    <row r="37" spans="2:7" ht="18.75" x14ac:dyDescent="0.25">
      <c r="B37" s="8" t="s">
        <v>38</v>
      </c>
      <c r="C37" s="5">
        <v>1472.74</v>
      </c>
      <c r="D37" s="5">
        <v>1424.51</v>
      </c>
      <c r="E37" s="5">
        <v>2223.71</v>
      </c>
      <c r="F37" s="5">
        <v>2139.89</v>
      </c>
      <c r="G37" s="5">
        <v>2954.3</v>
      </c>
    </row>
    <row r="38" spans="2:7" ht="18.75" x14ac:dyDescent="0.25">
      <c r="B38" s="8" t="s">
        <v>39</v>
      </c>
      <c r="C38" s="5">
        <v>5460.98</v>
      </c>
      <c r="D38" s="5">
        <f>CashFlow_Statement!D48+C38</f>
        <v>5876.778465497875</v>
      </c>
      <c r="E38" s="5">
        <f>CashFlow_Statement!E48+D38</f>
        <v>3986.7824324380485</v>
      </c>
      <c r="F38" s="5">
        <f>CashFlow_Statement!F48+E38</f>
        <v>9249.4853080955781</v>
      </c>
      <c r="G38" s="5">
        <f>CashFlow_Statement!G48+F38</f>
        <v>14691.943069763749</v>
      </c>
    </row>
    <row r="39" spans="2:7" ht="18.75" x14ac:dyDescent="0.25">
      <c r="B39" s="9" t="s">
        <v>42</v>
      </c>
      <c r="C39" s="7">
        <f>C31+C32+C33+C34+C35+C36+C37+C38</f>
        <v>12016.32</v>
      </c>
      <c r="D39" s="7">
        <f t="shared" ref="D39:G39" si="7">D31+D32+D33+D34+D35+D36+D37+D38</f>
        <v>12958.438465497875</v>
      </c>
      <c r="E39" s="7">
        <f t="shared" si="7"/>
        <v>12594.292432438049</v>
      </c>
      <c r="F39" s="7">
        <f t="shared" si="7"/>
        <v>18351.225308095578</v>
      </c>
      <c r="G39" s="7">
        <f t="shared" si="7"/>
        <v>27546.003069763748</v>
      </c>
    </row>
    <row r="40" spans="2:7" ht="18.75" x14ac:dyDescent="0.25">
      <c r="B40" s="9" t="s">
        <v>43</v>
      </c>
      <c r="C40" s="7">
        <f>C30+C39</f>
        <v>28691.32</v>
      </c>
      <c r="D40" s="7">
        <f t="shared" ref="D40:G40" si="8">D30+D39</f>
        <v>30775.688465497875</v>
      </c>
      <c r="E40" s="7">
        <f t="shared" si="8"/>
        <v>32146.25243243805</v>
      </c>
      <c r="F40" s="7">
        <f t="shared" si="8"/>
        <v>39369.645308095576</v>
      </c>
      <c r="G40" s="7">
        <f t="shared" si="8"/>
        <v>50381.08306976375</v>
      </c>
    </row>
  </sheetData>
  <mergeCells count="1">
    <mergeCell ref="B3:G3"/>
  </mergeCells>
  <hyperlinks>
    <hyperlink ref="F1" location="Index_Data!A1" tooltip="Hi click here To return Index page" display="Index_Data!A1" xr:uid="{86C6CFC1-C216-447B-9785-B882D621BCA9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3FBFE-3F9A-48A0-8E7F-CFB04D73F79D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4" width="15.42578125" bestFit="1" customWidth="1"/>
    <col min="5" max="7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11614.17</v>
      </c>
      <c r="D5" s="5">
        <v>12152.15</v>
      </c>
      <c r="E5" s="5">
        <v>11698.79</v>
      </c>
      <c r="F5" s="5">
        <v>15370.05</v>
      </c>
      <c r="G5" s="5">
        <v>25881.73</v>
      </c>
    </row>
    <row r="6" spans="2:15" ht="18.75" x14ac:dyDescent="0.25">
      <c r="B6" s="8" t="s">
        <v>98</v>
      </c>
      <c r="C6" s="4">
        <v>0.01</v>
      </c>
      <c r="D6" s="4">
        <v>0</v>
      </c>
      <c r="E6" s="4">
        <v>0</v>
      </c>
      <c r="F6" s="4">
        <v>0</v>
      </c>
      <c r="G6" s="4">
        <v>0</v>
      </c>
    </row>
    <row r="7" spans="2:15" ht="18.75" x14ac:dyDescent="0.25">
      <c r="B7" s="9" t="s">
        <v>105</v>
      </c>
      <c r="C7" s="7">
        <f>C5 - C6</f>
        <v>11614.16</v>
      </c>
      <c r="D7" s="7">
        <f t="shared" ref="D7:G7" si="0">D5 - D6</f>
        <v>12152.15</v>
      </c>
      <c r="E7" s="7">
        <f t="shared" si="0"/>
        <v>11698.79</v>
      </c>
      <c r="F7" s="7">
        <f t="shared" si="0"/>
        <v>15370.05</v>
      </c>
      <c r="G7" s="7">
        <f t="shared" si="0"/>
        <v>25881.73</v>
      </c>
    </row>
    <row r="8" spans="2:15" ht="18.75" x14ac:dyDescent="0.25">
      <c r="B8" s="8" t="s">
        <v>59</v>
      </c>
      <c r="C8" s="4">
        <v>523.22</v>
      </c>
      <c r="D8" s="4">
        <v>588.96</v>
      </c>
      <c r="E8" s="4">
        <v>514.36</v>
      </c>
      <c r="F8" s="4">
        <v>351.6</v>
      </c>
      <c r="G8" s="4">
        <v>718.52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12137.38</v>
      </c>
      <c r="D10" s="7">
        <f t="shared" ref="D10:G10" si="1">SUM(D7:D9)</f>
        <v>12741.11</v>
      </c>
      <c r="E10" s="7">
        <f t="shared" si="1"/>
        <v>12213.150000000001</v>
      </c>
      <c r="F10" s="7">
        <f t="shared" si="1"/>
        <v>15721.65</v>
      </c>
      <c r="G10" s="7">
        <f t="shared" si="1"/>
        <v>26600.25</v>
      </c>
    </row>
    <row r="11" spans="2:15" ht="18.75" x14ac:dyDescent="0.25">
      <c r="B11" s="8" t="s">
        <v>62</v>
      </c>
      <c r="C11" s="4">
        <v>386.9</v>
      </c>
      <c r="D11" s="4">
        <v>426.42</v>
      </c>
      <c r="E11" s="4">
        <v>394.36</v>
      </c>
      <c r="F11" s="4">
        <v>410.24</v>
      </c>
      <c r="G11" s="4">
        <v>106.95</v>
      </c>
    </row>
    <row r="12" spans="2:15" ht="18.75" x14ac:dyDescent="0.25">
      <c r="B12" s="8" t="s">
        <v>64</v>
      </c>
      <c r="C12" s="4">
        <v>2119.73</v>
      </c>
      <c r="D12" s="5">
        <v>2003.78</v>
      </c>
      <c r="E12" s="5">
        <v>2096.29</v>
      </c>
      <c r="F12" s="5">
        <v>2969.38</v>
      </c>
      <c r="G12" s="5">
        <v>0</v>
      </c>
    </row>
    <row r="13" spans="2:15" ht="18.75" x14ac:dyDescent="0.25">
      <c r="B13" s="8" t="s">
        <v>66</v>
      </c>
      <c r="C13" s="5">
        <v>1049.23</v>
      </c>
      <c r="D13" s="5">
        <v>1039.4000000000001</v>
      </c>
      <c r="E13" s="5">
        <v>1049.3599999999999</v>
      </c>
      <c r="F13" s="5">
        <v>1085.24</v>
      </c>
      <c r="G13" s="5">
        <v>1337.07</v>
      </c>
    </row>
    <row r="14" spans="2:15" ht="18.75" x14ac:dyDescent="0.25">
      <c r="B14" s="8" t="s">
        <v>69</v>
      </c>
      <c r="C14" s="5">
        <v>2294.7399999999998</v>
      </c>
      <c r="D14" s="5">
        <v>1837.87</v>
      </c>
      <c r="E14" s="5">
        <v>2211.12</v>
      </c>
      <c r="F14" s="5">
        <v>2277.7399999999998</v>
      </c>
      <c r="G14" s="5">
        <v>13055.69</v>
      </c>
    </row>
    <row r="15" spans="2:15" ht="18.75" x14ac:dyDescent="0.25">
      <c r="B15" s="9" t="s">
        <v>108</v>
      </c>
      <c r="C15" s="7">
        <f>C11+C12+C13+C14</f>
        <v>5850.6</v>
      </c>
      <c r="D15" s="7">
        <f t="shared" ref="D15:G15" si="2">D11+D12+D13+D14</f>
        <v>5307.4699999999993</v>
      </c>
      <c r="E15" s="7">
        <f t="shared" si="2"/>
        <v>5751.13</v>
      </c>
      <c r="F15" s="7">
        <f t="shared" si="2"/>
        <v>6742.5999999999995</v>
      </c>
      <c r="G15" s="7">
        <f t="shared" si="2"/>
        <v>14499.710000000001</v>
      </c>
    </row>
    <row r="16" spans="2:15" ht="18.75" x14ac:dyDescent="0.25">
      <c r="B16" s="9" t="s">
        <v>109</v>
      </c>
      <c r="C16" s="7">
        <f xml:space="preserve"> C10-C15-C8</f>
        <v>5763.5599999999986</v>
      </c>
      <c r="D16" s="7">
        <f t="shared" ref="D16:G16" si="3" xml:space="preserve"> D10-D15-D8</f>
        <v>6844.6800000000012</v>
      </c>
      <c r="E16" s="7">
        <f t="shared" si="3"/>
        <v>5947.6600000000017</v>
      </c>
      <c r="F16" s="7">
        <f t="shared" si="3"/>
        <v>8627.4499999999989</v>
      </c>
      <c r="G16" s="7">
        <f t="shared" si="3"/>
        <v>11382.019999999999</v>
      </c>
    </row>
    <row r="17" spans="2:7" ht="18.75" x14ac:dyDescent="0.25">
      <c r="B17" s="9" t="s">
        <v>110</v>
      </c>
      <c r="C17" s="7">
        <f xml:space="preserve"> C16+C8</f>
        <v>6286.7799999999988</v>
      </c>
      <c r="D17" s="7">
        <f t="shared" ref="D17:G17" si="4" xml:space="preserve"> D16+D8</f>
        <v>7433.6400000000012</v>
      </c>
      <c r="E17" s="7">
        <f t="shared" si="4"/>
        <v>6462.0200000000013</v>
      </c>
      <c r="F17" s="7">
        <f t="shared" si="4"/>
        <v>8979.0499999999993</v>
      </c>
      <c r="G17" s="7">
        <f t="shared" si="4"/>
        <v>12100.539999999999</v>
      </c>
    </row>
    <row r="18" spans="2:7" ht="18.75" x14ac:dyDescent="0.25">
      <c r="B18" s="8" t="s">
        <v>68</v>
      </c>
      <c r="C18" s="4">
        <v>256.63</v>
      </c>
      <c r="D18" s="4">
        <v>279.04000000000002</v>
      </c>
      <c r="E18" s="4">
        <v>294.93</v>
      </c>
      <c r="F18" s="4">
        <v>228.54</v>
      </c>
      <c r="G18" s="4">
        <v>287.74</v>
      </c>
    </row>
    <row r="19" spans="2:7" ht="18.75" x14ac:dyDescent="0.25">
      <c r="B19" s="9" t="s">
        <v>111</v>
      </c>
      <c r="C19" s="7">
        <f xml:space="preserve"> C17-C18</f>
        <v>6030.1499999999987</v>
      </c>
      <c r="D19" s="7">
        <f t="shared" ref="D19:G19" si="5" xml:space="preserve"> D17-D18</f>
        <v>7154.6000000000013</v>
      </c>
      <c r="E19" s="7">
        <f t="shared" si="5"/>
        <v>6167.0900000000011</v>
      </c>
      <c r="F19" s="7">
        <f t="shared" si="5"/>
        <v>8750.5099999999984</v>
      </c>
      <c r="G19" s="7">
        <f t="shared" si="5"/>
        <v>11812.8</v>
      </c>
    </row>
    <row r="20" spans="2:7" ht="18.75" x14ac:dyDescent="0.25">
      <c r="B20" s="8" t="s">
        <v>67</v>
      </c>
      <c r="C20" s="4">
        <v>37.1</v>
      </c>
      <c r="D20" s="4">
        <v>40.32</v>
      </c>
      <c r="E20" s="4">
        <v>9.8800000000000008</v>
      </c>
      <c r="F20" s="4">
        <v>16.809999999999999</v>
      </c>
      <c r="G20" s="4">
        <v>39.06</v>
      </c>
    </row>
    <row r="21" spans="2:7" ht="18.75" x14ac:dyDescent="0.25">
      <c r="B21" s="9" t="s">
        <v>112</v>
      </c>
      <c r="C21" s="7">
        <f xml:space="preserve"> C19-C20</f>
        <v>5993.0499999999984</v>
      </c>
      <c r="D21" s="7">
        <f t="shared" ref="D21:G21" si="6" xml:space="preserve"> D19-D20</f>
        <v>7114.2800000000016</v>
      </c>
      <c r="E21" s="7">
        <f t="shared" si="6"/>
        <v>6157.2100000000009</v>
      </c>
      <c r="F21" s="7">
        <f t="shared" si="6"/>
        <v>8733.6999999999989</v>
      </c>
      <c r="G21" s="7">
        <f t="shared" si="6"/>
        <v>11773.74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5993.0499999999984</v>
      </c>
      <c r="D23" s="7">
        <f t="shared" ref="D23:G23" si="7" xml:space="preserve"> D21+D22</f>
        <v>7114.2800000000016</v>
      </c>
      <c r="E23" s="7">
        <f t="shared" si="7"/>
        <v>6157.2100000000009</v>
      </c>
      <c r="F23" s="7">
        <f t="shared" si="7"/>
        <v>8733.6999999999989</v>
      </c>
      <c r="G23" s="7">
        <f t="shared" si="7"/>
        <v>11773.74</v>
      </c>
    </row>
    <row r="24" spans="2:7" ht="18.75" x14ac:dyDescent="0.25">
      <c r="B24" s="8" t="s">
        <v>72</v>
      </c>
      <c r="C24" s="4">
        <v>144.30000000000001</v>
      </c>
      <c r="D24" s="4">
        <v>0</v>
      </c>
      <c r="E24" s="4">
        <v>-96.44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6137.3499999999985</v>
      </c>
      <c r="D25" s="7">
        <f t="shared" ref="D25:G25" si="8" xml:space="preserve"> D23+D24</f>
        <v>7114.2800000000016</v>
      </c>
      <c r="E25" s="7">
        <f t="shared" si="8"/>
        <v>6060.7700000000013</v>
      </c>
      <c r="F25" s="7">
        <f t="shared" si="8"/>
        <v>8733.6999999999989</v>
      </c>
      <c r="G25" s="7">
        <f t="shared" si="8"/>
        <v>11773.74</v>
      </c>
    </row>
    <row r="26" spans="2:7" ht="18.75" x14ac:dyDescent="0.25">
      <c r="B26" s="8" t="s">
        <v>79</v>
      </c>
      <c r="C26" s="5">
        <v>2373.34</v>
      </c>
      <c r="D26" s="5">
        <v>2556.5300000000002</v>
      </c>
      <c r="E26" s="5">
        <v>2512.7199999999998</v>
      </c>
      <c r="F26" s="5">
        <v>2648.45</v>
      </c>
      <c r="G26" s="5">
        <v>3582.25</v>
      </c>
    </row>
    <row r="27" spans="2:7" ht="18.75" x14ac:dyDescent="0.25">
      <c r="B27" s="9" t="s">
        <v>116</v>
      </c>
      <c r="C27" s="7">
        <f xml:space="preserve"> C25-C26</f>
        <v>3764.0099999999984</v>
      </c>
      <c r="D27" s="7">
        <f t="shared" ref="D27:G27" si="9" xml:space="preserve"> D25-D26</f>
        <v>4557.7500000000018</v>
      </c>
      <c r="E27" s="7">
        <f t="shared" si="9"/>
        <v>3548.0500000000015</v>
      </c>
      <c r="F27" s="7">
        <f t="shared" si="9"/>
        <v>6085.2499999999991</v>
      </c>
      <c r="G27" s="7">
        <f t="shared" si="9"/>
        <v>8191.49</v>
      </c>
    </row>
    <row r="28" spans="2:7" ht="18.75" x14ac:dyDescent="0.25">
      <c r="B28" s="8" t="s">
        <v>88</v>
      </c>
      <c r="C28" s="4">
        <v>1676.86</v>
      </c>
      <c r="D28" s="5">
        <v>1690.14</v>
      </c>
      <c r="E28" s="5">
        <v>1619.72</v>
      </c>
      <c r="F28" s="5">
        <v>2274.15</v>
      </c>
      <c r="G28" s="5">
        <v>0</v>
      </c>
    </row>
    <row r="29" spans="2:7" ht="18.75" x14ac:dyDescent="0.25">
      <c r="B29" s="8" t="s">
        <v>89</v>
      </c>
      <c r="C29" s="4">
        <v>341.37</v>
      </c>
      <c r="D29" s="4">
        <v>347.41</v>
      </c>
      <c r="E29" s="4">
        <v>332.94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1745.7799999999988</v>
      </c>
      <c r="D30" s="7">
        <f t="shared" ref="D30:G30" si="10" xml:space="preserve"> D27-D28-D29</f>
        <v>2520.2000000000016</v>
      </c>
      <c r="E30" s="7">
        <f t="shared" si="10"/>
        <v>1595.3900000000015</v>
      </c>
      <c r="F30" s="7">
        <f t="shared" si="10"/>
        <v>3811.099999999999</v>
      </c>
      <c r="G30" s="7">
        <f t="shared" si="10"/>
        <v>8191.49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12</v>
      </c>
      <c r="D34" s="4">
        <v>15</v>
      </c>
      <c r="E34" s="4">
        <v>12</v>
      </c>
      <c r="F34" s="4">
        <v>21</v>
      </c>
      <c r="G34" s="4">
        <v>32</v>
      </c>
    </row>
    <row r="35" spans="2:7" ht="18.75" x14ac:dyDescent="0.25">
      <c r="B35" s="8" t="s">
        <v>118</v>
      </c>
      <c r="C35" s="4">
        <f>C27/C34</f>
        <v>313.66749999999985</v>
      </c>
      <c r="D35" s="4">
        <f t="shared" ref="D35:G35" si="11">D27/D34</f>
        <v>303.85000000000014</v>
      </c>
      <c r="E35" s="4">
        <f t="shared" si="11"/>
        <v>295.67083333333346</v>
      </c>
      <c r="F35" s="4">
        <f t="shared" si="11"/>
        <v>289.77380952380946</v>
      </c>
      <c r="G35" s="4">
        <f t="shared" si="11"/>
        <v>255.98406249999999</v>
      </c>
    </row>
  </sheetData>
  <mergeCells count="1">
    <mergeCell ref="B3:G3"/>
  </mergeCells>
  <hyperlinks>
    <hyperlink ref="F1" location="Index_Data!A1" tooltip="Hi click here To return Index page" display="Index_Data!A1" xr:uid="{643494A9-DAE9-4F73-9277-CCCA008BD6FA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81040-DFFF-4418-B04A-563CC3F3B45F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5.42578125" bestFit="1" customWidth="1"/>
    <col min="8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4">
        <v>316.39</v>
      </c>
      <c r="D5" s="4">
        <v>306.19</v>
      </c>
      <c r="E5" s="4">
        <v>306.19</v>
      </c>
      <c r="F5" s="4">
        <v>293.07</v>
      </c>
      <c r="G5" s="4">
        <v>293.07</v>
      </c>
      <c r="H5" s="24">
        <f>G5</f>
        <v>293.07</v>
      </c>
      <c r="I5" s="24">
        <f t="shared" ref="I5:L5" si="0">H5</f>
        <v>293.07</v>
      </c>
      <c r="J5" s="24">
        <f t="shared" si="0"/>
        <v>293.07</v>
      </c>
      <c r="K5" s="24">
        <f t="shared" si="0"/>
        <v>293.07</v>
      </c>
      <c r="L5" s="24">
        <f t="shared" si="0"/>
        <v>293.07</v>
      </c>
    </row>
    <row r="6" spans="2:15" x14ac:dyDescent="0.25">
      <c r="B6" s="17" t="s">
        <v>203</v>
      </c>
      <c r="C6" s="18">
        <f>C5/Balance_Sheet!C74</f>
        <v>1.1027376920964249E-2</v>
      </c>
      <c r="D6" s="18">
        <f>D5/Balance_Sheet!D74</f>
        <v>9.9490869340994482E-3</v>
      </c>
      <c r="E6" s="18">
        <f>E5/Balance_Sheet!E74</f>
        <v>9.5249049836686611E-3</v>
      </c>
      <c r="F6" s="18">
        <f>F5/Balance_Sheet!F74</f>
        <v>7.4440599529540605E-3</v>
      </c>
      <c r="G6" s="18">
        <f>G5/Balance_Sheet!G74</f>
        <v>5.8170643055485685E-3</v>
      </c>
      <c r="H6" s="25">
        <f>G6</f>
        <v>5.8170643055485685E-3</v>
      </c>
      <c r="I6" s="25">
        <f t="shared" ref="I6:L6" si="1">H6</f>
        <v>5.8170643055485685E-3</v>
      </c>
      <c r="J6" s="25">
        <f t="shared" si="1"/>
        <v>5.8170643055485685E-3</v>
      </c>
      <c r="K6" s="25">
        <f t="shared" si="1"/>
        <v>5.8170643055485685E-3</v>
      </c>
      <c r="L6" s="25">
        <f t="shared" si="1"/>
        <v>5.8170643055485685E-3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4">
        <f>G7</f>
        <v>0</v>
      </c>
      <c r="I7" s="24">
        <f t="shared" ref="I7:L7" si="2">H7</f>
        <v>0</v>
      </c>
      <c r="J7" s="24">
        <f t="shared" si="2"/>
        <v>0</v>
      </c>
      <c r="K7" s="24">
        <f t="shared" si="2"/>
        <v>0</v>
      </c>
      <c r="L7" s="24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6">
        <f>C5+C7</f>
        <v>316.39</v>
      </c>
      <c r="D9" s="6">
        <f t="shared" ref="D9:L9" si="4">D5+D7</f>
        <v>306.19</v>
      </c>
      <c r="E9" s="6">
        <f t="shared" si="4"/>
        <v>306.19</v>
      </c>
      <c r="F9" s="6">
        <f t="shared" si="4"/>
        <v>293.07</v>
      </c>
      <c r="G9" s="6">
        <f t="shared" si="4"/>
        <v>293.07</v>
      </c>
      <c r="H9" s="26">
        <f t="shared" si="4"/>
        <v>293.07</v>
      </c>
      <c r="I9" s="26">
        <f t="shared" si="4"/>
        <v>293.07</v>
      </c>
      <c r="J9" s="26">
        <f t="shared" si="4"/>
        <v>293.07</v>
      </c>
      <c r="K9" s="26">
        <f t="shared" si="4"/>
        <v>293.07</v>
      </c>
      <c r="L9" s="26">
        <f t="shared" si="4"/>
        <v>293.07</v>
      </c>
    </row>
    <row r="10" spans="2:15" x14ac:dyDescent="0.25">
      <c r="B10" s="19" t="s">
        <v>205</v>
      </c>
      <c r="C10" s="20">
        <f>C9/Balance_Sheet!C74</f>
        <v>1.1027376920964249E-2</v>
      </c>
      <c r="D10" s="20">
        <f>D9/Balance_Sheet!D74</f>
        <v>9.9490869340994482E-3</v>
      </c>
      <c r="E10" s="20">
        <f>E9/Balance_Sheet!E74</f>
        <v>9.5249049836686611E-3</v>
      </c>
      <c r="F10" s="20">
        <f>F9/Balance_Sheet!F74</f>
        <v>7.4440599529540605E-3</v>
      </c>
      <c r="G10" s="20">
        <f>G9/Balance_Sheet!G74</f>
        <v>5.8170643055485685E-3</v>
      </c>
      <c r="H10" s="27">
        <f>H9/Balance_Sheet!H74</f>
        <v>5.4710606963815252E-3</v>
      </c>
      <c r="I10" s="27">
        <f>I9/Balance_Sheet!I74</f>
        <v>4.5675319600977284E-3</v>
      </c>
      <c r="J10" s="27">
        <f>J9/Balance_Sheet!J74</f>
        <v>3.7896964391968932E-3</v>
      </c>
      <c r="K10" s="27">
        <f>K9/Balance_Sheet!K74</f>
        <v>3.2744948491397301E-3</v>
      </c>
      <c r="L10" s="27">
        <f>L9/Balance_Sheet!L74</f>
        <v>2.8422696711985157E-3</v>
      </c>
    </row>
    <row r="11" spans="2:15" ht="18.75" x14ac:dyDescent="0.25">
      <c r="B11" s="8" t="s">
        <v>7</v>
      </c>
      <c r="C11" s="5">
        <v>24101.02</v>
      </c>
      <c r="D11" s="5">
        <f>Income_Statement!D55+C11</f>
        <v>26622.268465497877</v>
      </c>
      <c r="E11" s="5">
        <f>Income_Statement!E55+D11</f>
        <v>28218.702432438051</v>
      </c>
      <c r="F11" s="5">
        <f>Income_Statement!F55+E11</f>
        <v>32030.82530809558</v>
      </c>
      <c r="G11" s="5">
        <f>Income_Statement!G55+F11</f>
        <v>40223.343069763752</v>
      </c>
      <c r="H11" s="28">
        <f>H74-H9-H21-H33-H35</f>
        <v>43206.08132499957</v>
      </c>
      <c r="I11" s="28">
        <f t="shared" ref="I11:L11" si="5">I74-I9-I21-I33-I35</f>
        <v>51810.889973742123</v>
      </c>
      <c r="J11" s="28">
        <f t="shared" si="5"/>
        <v>62505.227688191662</v>
      </c>
      <c r="K11" s="28">
        <f t="shared" si="5"/>
        <v>72385.768928763922</v>
      </c>
      <c r="L11" s="28">
        <f t="shared" si="5"/>
        <v>83438.075528718633</v>
      </c>
    </row>
    <row r="12" spans="2:15" x14ac:dyDescent="0.25">
      <c r="B12" s="17" t="s">
        <v>206</v>
      </c>
      <c r="C12" s="18">
        <f>C11/Balance_Sheet!C74</f>
        <v>0.84001084648597557</v>
      </c>
      <c r="D12" s="18">
        <f>D11/Balance_Sheet!D74</f>
        <v>0.86504217429103725</v>
      </c>
      <c r="E12" s="18">
        <f>E11/Balance_Sheet!E74</f>
        <v>0.87782246131941655</v>
      </c>
      <c r="F12" s="18">
        <f>F11/Balance_Sheet!F74</f>
        <v>0.81359191980094081</v>
      </c>
      <c r="G12" s="18">
        <f>G11/Balance_Sheet!G74</f>
        <v>0.79838186515493603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24417.41</v>
      </c>
      <c r="D13" s="7">
        <f t="shared" ref="D13:L13" si="6">D9+D11</f>
        <v>26928.458465497875</v>
      </c>
      <c r="E13" s="7">
        <f t="shared" si="6"/>
        <v>28524.89243243805</v>
      </c>
      <c r="F13" s="7">
        <f t="shared" si="6"/>
        <v>32323.89530809558</v>
      </c>
      <c r="G13" s="7">
        <f t="shared" si="6"/>
        <v>40516.413069763752</v>
      </c>
      <c r="H13" s="29">
        <f t="shared" si="6"/>
        <v>43499.15132499957</v>
      </c>
      <c r="I13" s="29">
        <f t="shared" si="6"/>
        <v>52103.959973742123</v>
      </c>
      <c r="J13" s="29">
        <f t="shared" si="6"/>
        <v>62798.297688191662</v>
      </c>
      <c r="K13" s="29">
        <f t="shared" si="6"/>
        <v>72678.838928763929</v>
      </c>
      <c r="L13" s="29">
        <f t="shared" si="6"/>
        <v>83731.14552871864</v>
      </c>
    </row>
    <row r="14" spans="2:15" x14ac:dyDescent="0.25">
      <c r="B14" s="19" t="s">
        <v>207</v>
      </c>
      <c r="C14" s="20">
        <f>C13/Balance_Sheet!C74</f>
        <v>0.8510382234069398</v>
      </c>
      <c r="D14" s="20">
        <f>D13/Balance_Sheet!D74</f>
        <v>0.8749912612251366</v>
      </c>
      <c r="E14" s="20">
        <f>E13/Balance_Sheet!E74</f>
        <v>0.88734736630308519</v>
      </c>
      <c r="F14" s="20">
        <f>F13/Balance_Sheet!F74</f>
        <v>0.82103597975389486</v>
      </c>
      <c r="G14" s="20">
        <f>G13/Balance_Sheet!G74</f>
        <v>0.80419892946048455</v>
      </c>
      <c r="H14" s="27">
        <f>H13/Balance_Sheet!H74</f>
        <v>0.8120466002666854</v>
      </c>
      <c r="I14" s="27">
        <f>I13/Balance_Sheet!I74</f>
        <v>0.81204661830866331</v>
      </c>
      <c r="J14" s="27">
        <f>J13/Balance_Sheet!J74</f>
        <v>0.81204655930858305</v>
      </c>
      <c r="K14" s="27">
        <f>K13/Balance_Sheet!K74</f>
        <v>0.81204655445352159</v>
      </c>
      <c r="L14" s="27">
        <f>L13/Balance_Sheet!L74</f>
        <v>0.81204659457121586</v>
      </c>
    </row>
    <row r="15" spans="2:15" ht="18.75" x14ac:dyDescent="0.25">
      <c r="B15" s="8" t="s">
        <v>12</v>
      </c>
      <c r="C15" s="5">
        <v>0</v>
      </c>
      <c r="D15" s="4">
        <v>0</v>
      </c>
      <c r="E15" s="4">
        <v>0</v>
      </c>
      <c r="F15" s="4">
        <v>546.42999999999995</v>
      </c>
      <c r="G15" s="4">
        <v>1674.07</v>
      </c>
      <c r="H15" s="24">
        <f>ROUND(H74*H16,2)</f>
        <v>1779.94</v>
      </c>
      <c r="I15" s="24">
        <f t="shared" ref="I15:L15" si="7">ROUND(I74*I16,2)</f>
        <v>2132.04</v>
      </c>
      <c r="J15" s="24">
        <f t="shared" si="7"/>
        <v>2569.64</v>
      </c>
      <c r="K15" s="24">
        <f t="shared" si="7"/>
        <v>2973.95</v>
      </c>
      <c r="L15" s="24">
        <f t="shared" si="7"/>
        <v>3426.2</v>
      </c>
    </row>
    <row r="16" spans="2:15" x14ac:dyDescent="0.25">
      <c r="B16" s="17" t="s">
        <v>208</v>
      </c>
      <c r="C16" s="18">
        <f>C15/Balance_Sheet!C74</f>
        <v>0</v>
      </c>
      <c r="D16" s="18">
        <f>D15/Balance_Sheet!D74</f>
        <v>0</v>
      </c>
      <c r="E16" s="18">
        <f>E15/Balance_Sheet!E74</f>
        <v>0</v>
      </c>
      <c r="F16" s="18">
        <f>F15/Balance_Sheet!F74</f>
        <v>1.3879474801558286E-2</v>
      </c>
      <c r="G16" s="18">
        <f>G15/Balance_Sheet!G74</f>
        <v>3.3228146319956638E-2</v>
      </c>
      <c r="H16" s="25">
        <f>G16</f>
        <v>3.3228146319956638E-2</v>
      </c>
      <c r="I16" s="25">
        <f t="shared" ref="I16:L16" si="8">H16</f>
        <v>3.3228146319956638E-2</v>
      </c>
      <c r="J16" s="25">
        <f t="shared" si="8"/>
        <v>3.3228146319956638E-2</v>
      </c>
      <c r="K16" s="25">
        <f t="shared" si="8"/>
        <v>3.3228146319956638E-2</v>
      </c>
      <c r="L16" s="25">
        <f t="shared" si="8"/>
        <v>3.3228146319956638E-2</v>
      </c>
    </row>
    <row r="17" spans="2:12" ht="18.75" x14ac:dyDescent="0.25">
      <c r="B17" s="8" t="s">
        <v>13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24">
        <f>H74*H18</f>
        <v>0</v>
      </c>
      <c r="I17" s="24">
        <f t="shared" ref="I17:L17" si="9">I74*I18</f>
        <v>0</v>
      </c>
      <c r="J17" s="24">
        <f t="shared" si="9"/>
        <v>0</v>
      </c>
      <c r="K17" s="24">
        <f t="shared" si="9"/>
        <v>0</v>
      </c>
      <c r="L17" s="24">
        <f t="shared" si="9"/>
        <v>0</v>
      </c>
    </row>
    <row r="18" spans="2:12" x14ac:dyDescent="0.25">
      <c r="B18" s="17" t="s">
        <v>209</v>
      </c>
      <c r="C18" s="18">
        <f>C17/Balance_Sheet!C74</f>
        <v>0</v>
      </c>
      <c r="D18" s="18">
        <f>D17/Balance_Sheet!D74</f>
        <v>0</v>
      </c>
      <c r="E18" s="18">
        <f>E17/Balance_Sheet!E74</f>
        <v>0</v>
      </c>
      <c r="F18" s="18">
        <f>F17/Balance_Sheet!F74</f>
        <v>0</v>
      </c>
      <c r="G18" s="18">
        <f>G17/Balance_Sheet!G74</f>
        <v>0</v>
      </c>
      <c r="H18" s="25">
        <f>MEDIAN(C18:G18)</f>
        <v>0</v>
      </c>
      <c r="I18" s="25">
        <f t="shared" ref="I18:L18" si="10">H18</f>
        <v>0</v>
      </c>
      <c r="J18" s="25">
        <f t="shared" si="10"/>
        <v>0</v>
      </c>
      <c r="K18" s="25">
        <f t="shared" si="10"/>
        <v>0</v>
      </c>
      <c r="L18" s="25">
        <f t="shared" si="10"/>
        <v>0</v>
      </c>
    </row>
    <row r="19" spans="2:12" ht="18.75" x14ac:dyDescent="0.25">
      <c r="B19" s="8" t="s">
        <v>18</v>
      </c>
      <c r="C19" s="5">
        <v>500.09</v>
      </c>
      <c r="D19" s="5">
        <v>364.15</v>
      </c>
      <c r="E19" s="4">
        <v>565.57000000000005</v>
      </c>
      <c r="F19" s="4">
        <v>1448.04</v>
      </c>
      <c r="G19" s="4">
        <v>1816.72</v>
      </c>
      <c r="H19" s="24">
        <f>ROUND(H74*H20,2)</f>
        <v>1931.61</v>
      </c>
      <c r="I19" s="24">
        <f t="shared" ref="I19:L19" si="11">ROUND(I74*I20,2)</f>
        <v>2313.7199999999998</v>
      </c>
      <c r="J19" s="24">
        <f t="shared" si="11"/>
        <v>2788.61</v>
      </c>
      <c r="K19" s="24">
        <f t="shared" si="11"/>
        <v>3227.36</v>
      </c>
      <c r="L19" s="24">
        <f t="shared" si="11"/>
        <v>3718.15</v>
      </c>
    </row>
    <row r="20" spans="2:12" x14ac:dyDescent="0.25">
      <c r="B20" s="17" t="s">
        <v>210</v>
      </c>
      <c r="C20" s="18">
        <f>C19/Balance_Sheet!C74</f>
        <v>1.7430010191235537E-2</v>
      </c>
      <c r="D20" s="18">
        <f>D19/Balance_Sheet!D74</f>
        <v>1.1832391675274547E-2</v>
      </c>
      <c r="E20" s="18">
        <f>E19/Balance_Sheet!E74</f>
        <v>1.7593652671914449E-2</v>
      </c>
      <c r="F20" s="18">
        <f>F19/Balance_Sheet!F74</f>
        <v>3.6780620924269279E-2</v>
      </c>
      <c r="G20" s="18">
        <f>G19/Balance_Sheet!G74</f>
        <v>3.6059566196390606E-2</v>
      </c>
      <c r="H20" s="25">
        <f>G20</f>
        <v>3.6059566196390606E-2</v>
      </c>
      <c r="I20" s="25">
        <f t="shared" ref="I20:L20" si="12">H20</f>
        <v>3.6059566196390606E-2</v>
      </c>
      <c r="J20" s="25">
        <f t="shared" si="12"/>
        <v>3.6059566196390606E-2</v>
      </c>
      <c r="K20" s="25">
        <f t="shared" si="12"/>
        <v>3.6059566196390606E-2</v>
      </c>
      <c r="L20" s="25">
        <f t="shared" si="12"/>
        <v>3.6059566196390606E-2</v>
      </c>
    </row>
    <row r="21" spans="2:12" ht="18.75" x14ac:dyDescent="0.25">
      <c r="B21" s="9" t="s">
        <v>123</v>
      </c>
      <c r="C21" s="7">
        <f>C15+C17+C19</f>
        <v>500.09</v>
      </c>
      <c r="D21" s="7">
        <f t="shared" ref="D21:G21" si="13">D15+D17+D19</f>
        <v>364.15</v>
      </c>
      <c r="E21" s="7">
        <f t="shared" si="13"/>
        <v>565.57000000000005</v>
      </c>
      <c r="F21" s="7">
        <f t="shared" si="13"/>
        <v>1994.4699999999998</v>
      </c>
      <c r="G21" s="7">
        <f t="shared" si="13"/>
        <v>3490.79</v>
      </c>
      <c r="H21" s="29">
        <f>ROUND(H74*H22,2)</f>
        <v>3711.56</v>
      </c>
      <c r="I21" s="29">
        <f t="shared" ref="I21:L21" si="14">ROUND(I74*I22,2)</f>
        <v>4445.76</v>
      </c>
      <c r="J21" s="29">
        <f t="shared" si="14"/>
        <v>5358.25</v>
      </c>
      <c r="K21" s="29">
        <f t="shared" si="14"/>
        <v>6201.31</v>
      </c>
      <c r="L21" s="29">
        <f t="shared" si="14"/>
        <v>7144.34</v>
      </c>
    </row>
    <row r="22" spans="2:12" x14ac:dyDescent="0.25">
      <c r="B22" s="19" t="s">
        <v>211</v>
      </c>
      <c r="C22" s="20">
        <f>C21/Balance_Sheet!C74</f>
        <v>1.7430010191235537E-2</v>
      </c>
      <c r="D22" s="20">
        <f>D21/Balance_Sheet!D74</f>
        <v>1.1832391675274547E-2</v>
      </c>
      <c r="E22" s="20">
        <f>E21/Balance_Sheet!E74</f>
        <v>1.7593652671914449E-2</v>
      </c>
      <c r="F22" s="20">
        <f>F21/Balance_Sheet!F74</f>
        <v>5.066009572582756E-2</v>
      </c>
      <c r="G22" s="20">
        <f>G21/Balance_Sheet!G74</f>
        <v>6.9287712516347244E-2</v>
      </c>
      <c r="H22" s="27">
        <f>G22</f>
        <v>6.9287712516347244E-2</v>
      </c>
      <c r="I22" s="27">
        <f t="shared" ref="I22:L22" si="15">H22</f>
        <v>6.9287712516347244E-2</v>
      </c>
      <c r="J22" s="27">
        <f t="shared" si="15"/>
        <v>6.9287712516347244E-2</v>
      </c>
      <c r="K22" s="27">
        <f t="shared" si="15"/>
        <v>6.9287712516347244E-2</v>
      </c>
      <c r="L22" s="27">
        <f t="shared" si="15"/>
        <v>6.9287712516347244E-2</v>
      </c>
    </row>
    <row r="23" spans="2:12" ht="18.75" x14ac:dyDescent="0.25">
      <c r="B23" s="8" t="s">
        <v>15</v>
      </c>
      <c r="C23" s="5">
        <v>714.12</v>
      </c>
      <c r="D23" s="4">
        <v>768.52</v>
      </c>
      <c r="E23" s="4">
        <v>827.96</v>
      </c>
      <c r="F23" s="4">
        <v>945.41</v>
      </c>
      <c r="G23" s="4">
        <v>1092.46</v>
      </c>
      <c r="H23" s="24">
        <f>H74*H24</f>
        <v>1333.2773413409493</v>
      </c>
      <c r="I23" s="24">
        <f t="shared" ref="I23:L23" si="16">I74*I24</f>
        <v>1597.0202996522544</v>
      </c>
      <c r="J23" s="24">
        <f t="shared" si="16"/>
        <v>1924.8088538543604</v>
      </c>
      <c r="K23" s="24">
        <f t="shared" si="16"/>
        <v>2227.6539117179882</v>
      </c>
      <c r="L23" s="24">
        <f t="shared" si="16"/>
        <v>2566.4142053454889</v>
      </c>
    </row>
    <row r="24" spans="2:12" x14ac:dyDescent="0.25">
      <c r="B24" s="17" t="s">
        <v>212</v>
      </c>
      <c r="C24" s="18">
        <f>C23/Balance_Sheet!C74</f>
        <v>2.4889757599162395E-2</v>
      </c>
      <c r="D24" s="18">
        <f>D23/Balance_Sheet!D74</f>
        <v>2.4971659069839339E-2</v>
      </c>
      <c r="E24" s="18">
        <f>E23/Balance_Sheet!E74</f>
        <v>2.5756034913871469E-2</v>
      </c>
      <c r="F24" s="18">
        <f>F23/Balance_Sheet!F74</f>
        <v>2.4013678370772507E-2</v>
      </c>
      <c r="G24" s="18">
        <f>G23/Balance_Sheet!G74</f>
        <v>2.1683932409457089E-2</v>
      </c>
      <c r="H24" s="25">
        <f>MEDIAN(C24:G24)</f>
        <v>2.4889757599162395E-2</v>
      </c>
      <c r="I24" s="25">
        <f t="shared" ref="I24:L24" si="17">H24</f>
        <v>2.4889757599162395E-2</v>
      </c>
      <c r="J24" s="25">
        <f t="shared" si="17"/>
        <v>2.4889757599162395E-2</v>
      </c>
      <c r="K24" s="25">
        <f t="shared" si="17"/>
        <v>2.4889757599162395E-2</v>
      </c>
      <c r="L24" s="25">
        <f t="shared" si="17"/>
        <v>2.4889757599162395E-2</v>
      </c>
    </row>
    <row r="25" spans="2:12" ht="18.75" x14ac:dyDescent="0.25">
      <c r="B25" s="8" t="s">
        <v>21</v>
      </c>
      <c r="C25" s="4">
        <v>27.61</v>
      </c>
      <c r="D25" s="4">
        <v>41.45</v>
      </c>
      <c r="E25" s="4">
        <v>222.78</v>
      </c>
      <c r="F25" s="4">
        <v>98.56</v>
      </c>
      <c r="G25" s="4">
        <v>15.13</v>
      </c>
      <c r="H25" s="24">
        <f>H74*H26</f>
        <v>72.146719610134625</v>
      </c>
      <c r="I25" s="24">
        <f t="shared" ref="I25:L25" si="18">I74*I26</f>
        <v>86.418460884381034</v>
      </c>
      <c r="J25" s="24">
        <f t="shared" si="18"/>
        <v>104.15585743208341</v>
      </c>
      <c r="K25" s="24">
        <f t="shared" si="18"/>
        <v>120.54350372105966</v>
      </c>
      <c r="L25" s="24">
        <f t="shared" si="18"/>
        <v>138.87460645682586</v>
      </c>
    </row>
    <row r="26" spans="2:12" x14ac:dyDescent="0.25">
      <c r="B26" s="17" t="s">
        <v>213</v>
      </c>
      <c r="C26" s="18">
        <f>C25/Balance_Sheet!C74</f>
        <v>9.6231194660963658E-4</v>
      </c>
      <c r="D26" s="18">
        <f>D25/Balance_Sheet!D74</f>
        <v>1.3468423312924071E-3</v>
      </c>
      <c r="E26" s="18">
        <f>E25/Balance_Sheet!E74</f>
        <v>6.930201287637429E-3</v>
      </c>
      <c r="F26" s="18">
        <f>F25/Balance_Sheet!F74</f>
        <v>2.5034515609347672E-3</v>
      </c>
      <c r="G26" s="18">
        <f>G25/Balance_Sheet!G74</f>
        <v>3.0031113025198703E-4</v>
      </c>
      <c r="H26" s="25">
        <f>MEDIAN(C26:G26)</f>
        <v>1.3468423312924071E-3</v>
      </c>
      <c r="I26" s="25">
        <f t="shared" ref="I26:L26" si="19">H26</f>
        <v>1.3468423312924071E-3</v>
      </c>
      <c r="J26" s="25">
        <f t="shared" si="19"/>
        <v>1.3468423312924071E-3</v>
      </c>
      <c r="K26" s="25">
        <f t="shared" si="19"/>
        <v>1.3468423312924071E-3</v>
      </c>
      <c r="L26" s="25">
        <f t="shared" si="19"/>
        <v>1.3468423312924071E-3</v>
      </c>
    </row>
    <row r="27" spans="2:12" ht="18.75" x14ac:dyDescent="0.25">
      <c r="B27" s="8" t="s">
        <v>14</v>
      </c>
      <c r="C27" s="4">
        <v>0</v>
      </c>
      <c r="D27" s="4">
        <v>0</v>
      </c>
      <c r="E27" s="4">
        <v>5.83</v>
      </c>
      <c r="F27" s="4">
        <v>4.7</v>
      </c>
      <c r="G27" s="4">
        <v>150.28</v>
      </c>
      <c r="H27" s="24">
        <f>ROUND(H74*H28,2)</f>
        <v>159.78</v>
      </c>
      <c r="I27" s="24">
        <f t="shared" ref="I27:L27" si="20">ROUND(I74*I28,2)</f>
        <v>191.39</v>
      </c>
      <c r="J27" s="24">
        <f t="shared" si="20"/>
        <v>230.68</v>
      </c>
      <c r="K27" s="24">
        <f t="shared" si="20"/>
        <v>266.97000000000003</v>
      </c>
      <c r="L27" s="24">
        <f t="shared" si="20"/>
        <v>307.57</v>
      </c>
    </row>
    <row r="28" spans="2:12" x14ac:dyDescent="0.25">
      <c r="B28" s="17" t="s">
        <v>214</v>
      </c>
      <c r="C28" s="18">
        <f>C27/Balance_Sheet!C74</f>
        <v>0</v>
      </c>
      <c r="D28" s="18">
        <f>D27/Balance_Sheet!D74</f>
        <v>0</v>
      </c>
      <c r="E28" s="18">
        <f>E27/Balance_Sheet!E74</f>
        <v>1.8135862064335312E-4</v>
      </c>
      <c r="F28" s="18">
        <f>F27/Balance_Sheet!F74</f>
        <v>1.1938131428970582E-4</v>
      </c>
      <c r="G28" s="18">
        <f>G27/Balance_Sheet!G74</f>
        <v>2.9828656083455791E-3</v>
      </c>
      <c r="H28" s="25">
        <f>G28</f>
        <v>2.9828656083455791E-3</v>
      </c>
      <c r="I28" s="25">
        <f t="shared" ref="I28:L28" si="21">H28</f>
        <v>2.9828656083455791E-3</v>
      </c>
      <c r="J28" s="25">
        <f t="shared" si="21"/>
        <v>2.9828656083455791E-3</v>
      </c>
      <c r="K28" s="25">
        <f t="shared" si="21"/>
        <v>2.9828656083455791E-3</v>
      </c>
      <c r="L28" s="25">
        <f t="shared" si="21"/>
        <v>2.9828656083455791E-3</v>
      </c>
    </row>
    <row r="29" spans="2:12" ht="18.75" x14ac:dyDescent="0.25">
      <c r="B29" s="8" t="s">
        <v>19</v>
      </c>
      <c r="C29" s="4">
        <v>159.63999999999999</v>
      </c>
      <c r="D29" s="4">
        <v>202.79</v>
      </c>
      <c r="E29" s="4">
        <v>225.9</v>
      </c>
      <c r="F29" s="4">
        <v>360.78</v>
      </c>
      <c r="G29" s="4">
        <v>967.53</v>
      </c>
      <c r="H29" s="24">
        <f>H74*H30</f>
        <v>376.43128618936765</v>
      </c>
      <c r="I29" s="24">
        <f t="shared" ref="I29:L29" si="22">I74*I30</f>
        <v>450.89523899356135</v>
      </c>
      <c r="J29" s="24">
        <f t="shared" si="22"/>
        <v>543.44152567413471</v>
      </c>
      <c r="K29" s="24">
        <f t="shared" si="22"/>
        <v>628.94538230837588</v>
      </c>
      <c r="L29" s="24">
        <f t="shared" si="22"/>
        <v>724.58937856187413</v>
      </c>
    </row>
    <row r="30" spans="2:12" x14ac:dyDescent="0.25">
      <c r="B30" s="17" t="s">
        <v>215</v>
      </c>
      <c r="C30" s="18">
        <f>C29/Balance_Sheet!C74</f>
        <v>5.5640521244752763E-3</v>
      </c>
      <c r="D30" s="18">
        <f>D29/Balance_Sheet!D74</f>
        <v>6.5892920714785818E-3</v>
      </c>
      <c r="E30" s="18">
        <f>E29/Balance_Sheet!E74</f>
        <v>7.0272577021155188E-3</v>
      </c>
      <c r="F30" s="18">
        <f>F29/Balance_Sheet!F74</f>
        <v>9.1639128871149073E-3</v>
      </c>
      <c r="G30" s="18">
        <f>G29/Balance_Sheet!G74</f>
        <v>1.9204231847501984E-2</v>
      </c>
      <c r="H30" s="25">
        <f>MEDIAN(C30:G30)</f>
        <v>7.0272577021155188E-3</v>
      </c>
      <c r="I30" s="25">
        <f t="shared" ref="I30:L30" si="23">H30</f>
        <v>7.0272577021155188E-3</v>
      </c>
      <c r="J30" s="25">
        <f t="shared" si="23"/>
        <v>7.0272577021155188E-3</v>
      </c>
      <c r="K30" s="25">
        <f t="shared" si="23"/>
        <v>7.0272577021155188E-3</v>
      </c>
      <c r="L30" s="25">
        <f t="shared" si="23"/>
        <v>7.0272577021155188E-3</v>
      </c>
    </row>
    <row r="31" spans="2:12" ht="18.75" x14ac:dyDescent="0.25">
      <c r="B31" s="8" t="s">
        <v>20</v>
      </c>
      <c r="C31" s="5">
        <v>2857.56</v>
      </c>
      <c r="D31" s="5">
        <v>2456.4299999999998</v>
      </c>
      <c r="E31" s="5">
        <v>1765.27</v>
      </c>
      <c r="F31" s="5">
        <v>3628.29</v>
      </c>
      <c r="G31" s="5">
        <v>4135.03</v>
      </c>
      <c r="H31" s="28">
        <f>H74*H32</f>
        <v>4396.5396748899648</v>
      </c>
      <c r="I31" s="28">
        <f t="shared" ref="I31:L31" si="24">I74*I32</f>
        <v>5266.2434823680651</v>
      </c>
      <c r="J31" s="28">
        <f t="shared" si="24"/>
        <v>6347.1404111908041</v>
      </c>
      <c r="K31" s="28">
        <f t="shared" si="24"/>
        <v>7345.7850824507641</v>
      </c>
      <c r="L31" s="28">
        <f t="shared" si="24"/>
        <v>8462.8617963719189</v>
      </c>
    </row>
    <row r="32" spans="2:12" x14ac:dyDescent="0.25">
      <c r="B32" s="17" t="s">
        <v>216</v>
      </c>
      <c r="C32" s="18">
        <f>C31/Balance_Sheet!C74</f>
        <v>9.9596672443094281E-2</v>
      </c>
      <c r="D32" s="18">
        <f>D31/Balance_Sheet!D74</f>
        <v>7.9817223349978469E-2</v>
      </c>
      <c r="E32" s="18">
        <f>E31/Balance_Sheet!E74</f>
        <v>5.4913710508249051E-2</v>
      </c>
      <c r="F32" s="18">
        <f>F31/Balance_Sheet!F74</f>
        <v>9.2159580600892924E-2</v>
      </c>
      <c r="G32" s="18">
        <f>G31/Balance_Sheet!G74</f>
        <v>8.2075051746587829E-2</v>
      </c>
      <c r="H32" s="25">
        <f>MEDIAN(C32:G32)</f>
        <v>8.2075051746587829E-2</v>
      </c>
      <c r="I32" s="25">
        <f t="shared" ref="I32:L32" si="25">H32</f>
        <v>8.2075051746587829E-2</v>
      </c>
      <c r="J32" s="25">
        <f t="shared" si="25"/>
        <v>8.2075051746587829E-2</v>
      </c>
      <c r="K32" s="25">
        <f t="shared" si="25"/>
        <v>8.2075051746587829E-2</v>
      </c>
      <c r="L32" s="25">
        <f t="shared" si="25"/>
        <v>8.2075051746587829E-2</v>
      </c>
    </row>
    <row r="33" spans="2:12" ht="18.75" x14ac:dyDescent="0.25">
      <c r="B33" s="9" t="s">
        <v>22</v>
      </c>
      <c r="C33" s="7">
        <f>C23+C25+C27+C29+C31</f>
        <v>3758.93</v>
      </c>
      <c r="D33" s="7">
        <f t="shared" ref="D33:L33" si="26">D23+D25+D27+D29+D31</f>
        <v>3469.1899999999996</v>
      </c>
      <c r="E33" s="7">
        <f t="shared" si="26"/>
        <v>3047.74</v>
      </c>
      <c r="F33" s="7">
        <f t="shared" si="26"/>
        <v>5037.74</v>
      </c>
      <c r="G33" s="7">
        <f t="shared" si="26"/>
        <v>6360.43</v>
      </c>
      <c r="H33" s="29">
        <f t="shared" si="26"/>
        <v>6338.1750220304166</v>
      </c>
      <c r="I33" s="29">
        <f t="shared" si="26"/>
        <v>7591.9674818982621</v>
      </c>
      <c r="J33" s="29">
        <f t="shared" si="26"/>
        <v>9150.2266481513834</v>
      </c>
      <c r="K33" s="29">
        <f t="shared" si="26"/>
        <v>10589.897880198187</v>
      </c>
      <c r="L33" s="29">
        <f t="shared" si="26"/>
        <v>12200.309986736109</v>
      </c>
    </row>
    <row r="34" spans="2:12" x14ac:dyDescent="0.25">
      <c r="B34" s="19" t="s">
        <v>217</v>
      </c>
      <c r="C34" s="20">
        <f>C33/Balance_Sheet!C74</f>
        <v>0.1310127941133416</v>
      </c>
      <c r="D34" s="20">
        <f>D33/Balance_Sheet!D74</f>
        <v>0.11272501682258879</v>
      </c>
      <c r="E34" s="20">
        <f>E33/Balance_Sheet!E74</f>
        <v>9.4808563032516807E-2</v>
      </c>
      <c r="F34" s="20">
        <f>F33/Balance_Sheet!F74</f>
        <v>0.12796000473400479</v>
      </c>
      <c r="G34" s="20">
        <f>G33/Balance_Sheet!G74</f>
        <v>0.12624639274214447</v>
      </c>
      <c r="H34" s="27">
        <f>H33/Balance_Sheet!H74</f>
        <v>0.11832169874029318</v>
      </c>
      <c r="I34" s="27">
        <f>I33/Balance_Sheet!I74</f>
        <v>0.11832174604563069</v>
      </c>
      <c r="J34" s="27">
        <f>J33/Balance_Sheet!J74</f>
        <v>0.11832183896797291</v>
      </c>
      <c r="K34" s="27">
        <f>K33/Balance_Sheet!K74</f>
        <v>0.11832178681415603</v>
      </c>
      <c r="L34" s="27">
        <f>L33/Balance_Sheet!L74</f>
        <v>0.11832180385068554</v>
      </c>
    </row>
    <row r="35" spans="2:12" ht="18.75" x14ac:dyDescent="0.25">
      <c r="B35" s="8" t="s">
        <v>10</v>
      </c>
      <c r="C35" s="4">
        <v>14.89</v>
      </c>
      <c r="D35" s="4">
        <v>13.89</v>
      </c>
      <c r="E35" s="4">
        <v>8.0500000000000007</v>
      </c>
      <c r="F35" s="4">
        <v>13.54</v>
      </c>
      <c r="G35" s="4">
        <v>13.45</v>
      </c>
      <c r="H35" s="24">
        <f>H74*H36</f>
        <v>18.422857532847445</v>
      </c>
      <c r="I35" s="24">
        <f t="shared" ref="I35:L35" si="27">I74*I36</f>
        <v>22.067184782400815</v>
      </c>
      <c r="J35" s="24">
        <f t="shared" si="27"/>
        <v>26.596476361668106</v>
      </c>
      <c r="K35" s="24">
        <f t="shared" si="27"/>
        <v>30.781105607626174</v>
      </c>
      <c r="L35" s="24">
        <f t="shared" si="27"/>
        <v>35.462001647611501</v>
      </c>
    </row>
    <row r="36" spans="2:12" x14ac:dyDescent="0.25">
      <c r="B36" s="17" t="s">
        <v>218</v>
      </c>
      <c r="C36" s="18">
        <f>C35/Balance_Sheet!C74</f>
        <v>5.1897228848306733E-4</v>
      </c>
      <c r="D36" s="18">
        <f>D35/Balance_Sheet!D74</f>
        <v>4.5133027700003706E-4</v>
      </c>
      <c r="E36" s="18">
        <f>E35/Balance_Sheet!E74</f>
        <v>2.5041799248353222E-4</v>
      </c>
      <c r="F36" s="18">
        <f>F35/Balance_Sheet!F74</f>
        <v>3.4391978627289714E-4</v>
      </c>
      <c r="G36" s="18">
        <f>G35/Balance_Sheet!G74</f>
        <v>2.6696528102374261E-4</v>
      </c>
      <c r="H36" s="25">
        <f>MEDIAN(C36:G36)</f>
        <v>3.4391978627289714E-4</v>
      </c>
      <c r="I36" s="25">
        <f t="shared" ref="I36:L36" si="28">H36</f>
        <v>3.4391978627289714E-4</v>
      </c>
      <c r="J36" s="25">
        <f t="shared" si="28"/>
        <v>3.4391978627289714E-4</v>
      </c>
      <c r="K36" s="25">
        <f t="shared" si="28"/>
        <v>3.4391978627289714E-4</v>
      </c>
      <c r="L36" s="25">
        <f t="shared" si="28"/>
        <v>3.4391978627289714E-4</v>
      </c>
    </row>
    <row r="37" spans="2:12" ht="18.75" x14ac:dyDescent="0.25">
      <c r="B37" s="9" t="s">
        <v>124</v>
      </c>
      <c r="C37" s="7">
        <f>C13+C21+C33+C35</f>
        <v>28691.32</v>
      </c>
      <c r="D37" s="7">
        <f t="shared" ref="D37:L37" si="29">D13+D21+D33+D35</f>
        <v>30775.688465497875</v>
      </c>
      <c r="E37" s="7">
        <f t="shared" si="29"/>
        <v>32146.252432438047</v>
      </c>
      <c r="F37" s="7">
        <f t="shared" si="29"/>
        <v>39369.645308095576</v>
      </c>
      <c r="G37" s="7">
        <f t="shared" si="29"/>
        <v>50381.08306976375</v>
      </c>
      <c r="H37" s="29">
        <f t="shared" si="29"/>
        <v>53567.309204562829</v>
      </c>
      <c r="I37" s="29">
        <f t="shared" si="29"/>
        <v>64163.754640422783</v>
      </c>
      <c r="J37" s="29">
        <f t="shared" si="29"/>
        <v>77333.370812704714</v>
      </c>
      <c r="K37" s="29">
        <f t="shared" si="29"/>
        <v>89500.827914569745</v>
      </c>
      <c r="L37" s="29">
        <f t="shared" si="29"/>
        <v>103111.25751710236</v>
      </c>
    </row>
    <row r="38" spans="2:12" x14ac:dyDescent="0.25">
      <c r="B38" s="19" t="s">
        <v>219</v>
      </c>
      <c r="C38" s="20">
        <f>C37/Balance_Sheet!C74</f>
        <v>1</v>
      </c>
      <c r="D38" s="20">
        <f>D37/Balance_Sheet!D74</f>
        <v>1</v>
      </c>
      <c r="E38" s="20">
        <f>E37/Balance_Sheet!E74</f>
        <v>0.99999999999999989</v>
      </c>
      <c r="F38" s="20">
        <f>F37/Balance_Sheet!F74</f>
        <v>1</v>
      </c>
      <c r="G38" s="20">
        <f>G37/Balance_Sheet!G74</f>
        <v>1</v>
      </c>
      <c r="H38" s="27">
        <f>H37/Balance_Sheet!H74</f>
        <v>1</v>
      </c>
      <c r="I38" s="27">
        <f>I37/Balance_Sheet!I74</f>
        <v>1</v>
      </c>
      <c r="J38" s="27">
        <f>J37/Balance_Sheet!J74</f>
        <v>1</v>
      </c>
      <c r="K38" s="27">
        <f>K37/Balance_Sheet!K74</f>
        <v>1</v>
      </c>
      <c r="L38" s="27">
        <f>L37/Balance_Sheet!L74</f>
        <v>1.0000000000000002</v>
      </c>
    </row>
    <row r="39" spans="2:12" ht="18.75" x14ac:dyDescent="0.25">
      <c r="B39" s="8"/>
      <c r="C39" s="5"/>
      <c r="D39" s="4"/>
      <c r="E39" s="4"/>
      <c r="F39" s="4"/>
      <c r="G39" s="4"/>
      <c r="H39" s="24"/>
      <c r="I39" s="24"/>
      <c r="J39" s="24"/>
      <c r="K39" s="24"/>
      <c r="L39" s="24"/>
    </row>
    <row r="40" spans="2:12" ht="18.75" x14ac:dyDescent="0.25">
      <c r="B40" s="8" t="s">
        <v>26</v>
      </c>
      <c r="C40" s="5">
        <v>3149.61</v>
      </c>
      <c r="D40" s="5">
        <v>3198.51</v>
      </c>
      <c r="E40" s="5">
        <v>3260.95</v>
      </c>
      <c r="F40" s="5">
        <v>3320.95</v>
      </c>
      <c r="G40" s="5">
        <v>23030.38</v>
      </c>
      <c r="H40" s="28">
        <f>ROUND(H74*H41,2)</f>
        <v>24486.880000000001</v>
      </c>
      <c r="I40" s="28">
        <f t="shared" ref="I40:L40" si="30">ROUND(I74*I41,2)</f>
        <v>29330.76</v>
      </c>
      <c r="J40" s="28">
        <f t="shared" si="30"/>
        <v>35350.910000000003</v>
      </c>
      <c r="K40" s="28">
        <f t="shared" si="30"/>
        <v>40912.94</v>
      </c>
      <c r="L40" s="28">
        <f t="shared" si="30"/>
        <v>47134.59</v>
      </c>
    </row>
    <row r="41" spans="2:12" x14ac:dyDescent="0.25">
      <c r="B41" s="17" t="s">
        <v>220</v>
      </c>
      <c r="C41" s="18">
        <f>C40/Balance_Sheet!C74</f>
        <v>0.10977570916918428</v>
      </c>
      <c r="D41" s="18">
        <f>D40/Balance_Sheet!D74</f>
        <v>0.10392976272767376</v>
      </c>
      <c r="E41" s="18">
        <f>E40/Balance_Sheet!E74</f>
        <v>0.1014410624334378</v>
      </c>
      <c r="F41" s="18">
        <f>F40/Balance_Sheet!F74</f>
        <v>8.4353058657531593E-2</v>
      </c>
      <c r="G41" s="18">
        <f>G40/Balance_Sheet!G74</f>
        <v>0.45712355901736662</v>
      </c>
      <c r="H41" s="25">
        <f>G41</f>
        <v>0.45712355901736662</v>
      </c>
      <c r="I41" s="25">
        <f t="shared" ref="I41:L41" si="31">H41</f>
        <v>0.45712355901736662</v>
      </c>
      <c r="J41" s="25">
        <f t="shared" si="31"/>
        <v>0.45712355901736662</v>
      </c>
      <c r="K41" s="25">
        <f t="shared" si="31"/>
        <v>0.45712355901736662</v>
      </c>
      <c r="L41" s="25">
        <f t="shared" si="31"/>
        <v>0.45712355901736662</v>
      </c>
    </row>
    <row r="42" spans="2:12" ht="18.75" x14ac:dyDescent="0.25">
      <c r="B42" s="8" t="s">
        <v>27</v>
      </c>
      <c r="C42" s="4">
        <v>213.71</v>
      </c>
      <c r="D42" s="4">
        <v>220.01</v>
      </c>
      <c r="E42" s="4">
        <v>454.66</v>
      </c>
      <c r="F42" s="4">
        <v>518.57000000000005</v>
      </c>
      <c r="G42" s="4">
        <v>0</v>
      </c>
      <c r="H42" s="24">
        <f>ROUND(H74*H43,2)</f>
        <v>0</v>
      </c>
      <c r="I42" s="24">
        <f t="shared" ref="I42:L42" si="32">ROUND(I74*I43,2)</f>
        <v>0</v>
      </c>
      <c r="J42" s="24">
        <f t="shared" si="32"/>
        <v>0</v>
      </c>
      <c r="K42" s="24">
        <f t="shared" si="32"/>
        <v>0</v>
      </c>
      <c r="L42" s="24">
        <f t="shared" si="32"/>
        <v>0</v>
      </c>
    </row>
    <row r="43" spans="2:12" x14ac:dyDescent="0.25">
      <c r="B43" s="17" t="s">
        <v>221</v>
      </c>
      <c r="C43" s="18">
        <f>C42/Balance_Sheet!C74</f>
        <v>7.4485942089802769E-3</v>
      </c>
      <c r="D43" s="18">
        <f>D42/Balance_Sheet!D74</f>
        <v>7.1488246395088649E-3</v>
      </c>
      <c r="E43" s="18">
        <f>E42/Balance_Sheet!E74</f>
        <v>1.4143483784169285E-2</v>
      </c>
      <c r="F43" s="18">
        <f>F42/Balance_Sheet!F74</f>
        <v>1.317182301089633E-2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4">
        <f>Income_Statement!D31</f>
        <v>279.04000000000002</v>
      </c>
      <c r="E44" s="4">
        <f>Income_Statement!E31+D44</f>
        <v>573.97</v>
      </c>
      <c r="F44" s="4">
        <f>Income_Statement!F31+E44</f>
        <v>802.51</v>
      </c>
      <c r="G44" s="4">
        <f>Income_Statement!G31+F44</f>
        <v>1090.25</v>
      </c>
      <c r="H44" s="24">
        <f>Income_Statement!H31+G44</f>
        <v>3085.439250224631</v>
      </c>
      <c r="I44" s="24">
        <f>Income_Statement!I31+H44</f>
        <v>5475.3075001984371</v>
      </c>
      <c r="J44" s="24">
        <f>Income_Statement!J31+I44</f>
        <v>8355.6971463133523</v>
      </c>
      <c r="K44" s="24">
        <f>Income_Statement!K31+J44</f>
        <v>11689.28060337629</v>
      </c>
      <c r="L44" s="24">
        <f>Income_Statement!L31+K44</f>
        <v>15529.803662326445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9.0668970838078001E-3</v>
      </c>
      <c r="E45" s="18">
        <f>E44/Balance_Sheet!E74</f>
        <v>1.7854958403201612E-2</v>
      </c>
      <c r="F45" s="18">
        <f>F44/Balance_Sheet!F74</f>
        <v>2.0383978410772725E-2</v>
      </c>
      <c r="G45" s="18">
        <f>G44/Balance_Sheet!G74</f>
        <v>2.1640066738746123E-2</v>
      </c>
      <c r="H45" s="25">
        <f>H44/Balance_Sheet!H74</f>
        <v>5.7599295093243463E-2</v>
      </c>
      <c r="I45" s="25">
        <f>I44/Balance_Sheet!I74</f>
        <v>8.5333340152588671E-2</v>
      </c>
      <c r="J45" s="25">
        <f>J44/Balance_Sheet!J74</f>
        <v>0.10804775556144045</v>
      </c>
      <c r="K45" s="25">
        <f>K44/Balance_Sheet!K74</f>
        <v>0.13060527903198763</v>
      </c>
      <c r="L45" s="25">
        <f>L44/Balance_Sheet!L74</f>
        <v>0.15061210614903639</v>
      </c>
    </row>
    <row r="46" spans="2:12" ht="18.75" x14ac:dyDescent="0.25">
      <c r="B46" s="9" t="s">
        <v>126</v>
      </c>
      <c r="C46" s="7">
        <f>C40+C42-C44</f>
        <v>3363.32</v>
      </c>
      <c r="D46" s="7">
        <f t="shared" ref="D46:L46" si="34">D40+D42-D44</f>
        <v>3139.4800000000005</v>
      </c>
      <c r="E46" s="7">
        <f t="shared" si="34"/>
        <v>3141.6399999999994</v>
      </c>
      <c r="F46" s="7">
        <f t="shared" si="34"/>
        <v>3037.01</v>
      </c>
      <c r="G46" s="7">
        <f t="shared" si="34"/>
        <v>21940.13</v>
      </c>
      <c r="H46" s="29">
        <f t="shared" si="34"/>
        <v>21401.440749775371</v>
      </c>
      <c r="I46" s="29">
        <f t="shared" si="34"/>
        <v>23855.452499801562</v>
      </c>
      <c r="J46" s="29">
        <f t="shared" si="34"/>
        <v>26995.212853686651</v>
      </c>
      <c r="K46" s="29">
        <f t="shared" si="34"/>
        <v>29223.659396623712</v>
      </c>
      <c r="L46" s="29">
        <f t="shared" si="34"/>
        <v>31604.786337673551</v>
      </c>
    </row>
    <row r="47" spans="2:12" x14ac:dyDescent="0.25">
      <c r="B47" s="19" t="s">
        <v>223</v>
      </c>
      <c r="C47" s="20">
        <f>C46/Balance_Sheet!C74</f>
        <v>0.11722430337816456</v>
      </c>
      <c r="D47" s="20">
        <f>D46/Balance_Sheet!D74</f>
        <v>0.10201169028337483</v>
      </c>
      <c r="E47" s="20">
        <f>E46/Balance_Sheet!E74</f>
        <v>9.7729587814405453E-2</v>
      </c>
      <c r="F47" s="20">
        <f>F46/Balance_Sheet!F74</f>
        <v>7.7140903257655213E-2</v>
      </c>
      <c r="G47" s="20">
        <f>G46/Balance_Sheet!G74</f>
        <v>0.43548349227862054</v>
      </c>
      <c r="H47" s="27">
        <f>H46/Balance_Sheet!H74</f>
        <v>0.39952428202147605</v>
      </c>
      <c r="I47" s="27">
        <f>I46/Balance_Sheet!I74</f>
        <v>0.37179015837662294</v>
      </c>
      <c r="J47" s="27">
        <f>J46/Balance_Sheet!J74</f>
        <v>0.34907585910184769</v>
      </c>
      <c r="K47" s="27">
        <f>K46/Balance_Sheet!K74</f>
        <v>0.32651831360172728</v>
      </c>
      <c r="L47" s="27">
        <f>L46/Balance_Sheet!L74</f>
        <v>0.30651150125321169</v>
      </c>
    </row>
    <row r="48" spans="2:12" ht="18.75" x14ac:dyDescent="0.25">
      <c r="B48" s="8" t="s">
        <v>30</v>
      </c>
      <c r="C48" s="4">
        <v>672.73</v>
      </c>
      <c r="D48" s="4">
        <v>858.87</v>
      </c>
      <c r="E48" s="4">
        <v>910.1</v>
      </c>
      <c r="F48" s="4">
        <v>874.9</v>
      </c>
      <c r="G48" s="4">
        <v>894.95</v>
      </c>
      <c r="H48" s="24">
        <f>H74*H49</f>
        <v>1256.001324483696</v>
      </c>
      <c r="I48" s="24">
        <f t="shared" ref="I48:L48" si="35">I74*I49</f>
        <v>1504.4578868888439</v>
      </c>
      <c r="J48" s="24">
        <f t="shared" si="35"/>
        <v>1813.2479978903323</v>
      </c>
      <c r="K48" s="24">
        <f t="shared" si="35"/>
        <v>2098.54032379718</v>
      </c>
      <c r="L48" s="24">
        <f t="shared" si="35"/>
        <v>2417.6662582788199</v>
      </c>
    </row>
    <row r="49" spans="2:12" x14ac:dyDescent="0.25">
      <c r="B49" s="17" t="s">
        <v>224</v>
      </c>
      <c r="C49" s="18">
        <f>C48/Balance_Sheet!C74</f>
        <v>2.3447161022915643E-2</v>
      </c>
      <c r="D49" s="18">
        <f>D48/Balance_Sheet!D74</f>
        <v>2.7907417927071403E-2</v>
      </c>
      <c r="E49" s="18">
        <f>E48/Balance_Sheet!E74</f>
        <v>2.8311231671958093E-2</v>
      </c>
      <c r="F49" s="18">
        <f>F48/Balance_Sheet!F74</f>
        <v>2.2222704653630555E-2</v>
      </c>
      <c r="G49" s="18">
        <f>G48/Balance_Sheet!G74</f>
        <v>1.7763611765962709E-2</v>
      </c>
      <c r="H49" s="25">
        <f>MEDIAN(C49:G49)</f>
        <v>2.3447161022915643E-2</v>
      </c>
      <c r="I49" s="25">
        <f t="shared" ref="I49:L49" si="36">H49</f>
        <v>2.3447161022915643E-2</v>
      </c>
      <c r="J49" s="25">
        <f t="shared" si="36"/>
        <v>2.3447161022915643E-2</v>
      </c>
      <c r="K49" s="25">
        <f t="shared" si="36"/>
        <v>2.3447161022915643E-2</v>
      </c>
      <c r="L49" s="25">
        <f t="shared" si="36"/>
        <v>2.3447161022915643E-2</v>
      </c>
    </row>
    <row r="50" spans="2:12" ht="18.75" x14ac:dyDescent="0.25">
      <c r="B50" s="8" t="s">
        <v>36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24">
        <f>H74*H51</f>
        <v>0</v>
      </c>
      <c r="I50" s="24">
        <f t="shared" ref="I50:L50" si="37">I74*I51</f>
        <v>0</v>
      </c>
      <c r="J50" s="24">
        <f t="shared" si="37"/>
        <v>0</v>
      </c>
      <c r="K50" s="24">
        <f t="shared" si="37"/>
        <v>0</v>
      </c>
      <c r="L50" s="24">
        <f t="shared" si="37"/>
        <v>0</v>
      </c>
    </row>
    <row r="51" spans="2:12" x14ac:dyDescent="0.25">
      <c r="B51" s="17" t="s">
        <v>225</v>
      </c>
      <c r="C51" s="18">
        <f>C50/Balance_Sheet!C74</f>
        <v>0</v>
      </c>
      <c r="D51" s="18">
        <f>D50/Balance_Sheet!D74</f>
        <v>0</v>
      </c>
      <c r="E51" s="18">
        <f>E50/Balance_Sheet!E74</f>
        <v>0</v>
      </c>
      <c r="F51" s="18">
        <f>F50/Balance_Sheet!F74</f>
        <v>0</v>
      </c>
      <c r="G51" s="18">
        <f>G50/Balance_Sheet!G74</f>
        <v>0</v>
      </c>
      <c r="H51" s="25">
        <f>MEDIAN(C51:G51)</f>
        <v>0</v>
      </c>
      <c r="I51" s="25">
        <f t="shared" ref="I51:L51" si="38">H51</f>
        <v>0</v>
      </c>
      <c r="J51" s="25">
        <f t="shared" si="38"/>
        <v>0</v>
      </c>
      <c r="K51" s="25">
        <f t="shared" si="38"/>
        <v>0</v>
      </c>
      <c r="L51" s="25">
        <f t="shared" si="38"/>
        <v>0</v>
      </c>
    </row>
    <row r="52" spans="2:12" ht="18.75" x14ac:dyDescent="0.25">
      <c r="B52" s="8" t="s">
        <v>28</v>
      </c>
      <c r="C52" s="4">
        <v>12638.949999999999</v>
      </c>
      <c r="D52" s="5">
        <v>13818.9</v>
      </c>
      <c r="E52" s="5">
        <v>15500.22</v>
      </c>
      <c r="F52" s="5">
        <v>17106.509999999998</v>
      </c>
      <c r="G52" s="5">
        <v>0</v>
      </c>
      <c r="H52" s="28">
        <f>H74*H53</f>
        <v>23597.190462865052</v>
      </c>
      <c r="I52" s="28">
        <f t="shared" ref="I52:L52" si="39">I74*I53</f>
        <v>28265.081101621377</v>
      </c>
      <c r="J52" s="28">
        <f t="shared" si="39"/>
        <v>34066.491434804469</v>
      </c>
      <c r="K52" s="28">
        <f t="shared" si="39"/>
        <v>39426.43590364093</v>
      </c>
      <c r="L52" s="28">
        <f t="shared" si="39"/>
        <v>45422.031060117857</v>
      </c>
    </row>
    <row r="53" spans="2:12" x14ac:dyDescent="0.25">
      <c r="B53" s="17" t="s">
        <v>226</v>
      </c>
      <c r="C53" s="18">
        <f>C52/Balance_Sheet!C74</f>
        <v>0.44051476195588068</v>
      </c>
      <c r="D53" s="18">
        <f>D52/Balance_Sheet!D74</f>
        <v>0.44902001186722906</v>
      </c>
      <c r="E53" s="18">
        <f>E52/Balance_Sheet!E74</f>
        <v>0.48217813359665779</v>
      </c>
      <c r="F53" s="18">
        <f>F52/Balance_Sheet!F74</f>
        <v>0.43451013759787133</v>
      </c>
      <c r="G53" s="18">
        <f>G52/Balance_Sheet!G74</f>
        <v>0</v>
      </c>
      <c r="H53" s="25">
        <f>MEDIAN(C53:G53)</f>
        <v>0.44051476195588068</v>
      </c>
      <c r="I53" s="25">
        <f t="shared" ref="I53:L53" si="40">H53</f>
        <v>0.44051476195588068</v>
      </c>
      <c r="J53" s="25">
        <f t="shared" si="40"/>
        <v>0.44051476195588068</v>
      </c>
      <c r="K53" s="25">
        <f t="shared" si="40"/>
        <v>0.44051476195588068</v>
      </c>
      <c r="L53" s="25">
        <f t="shared" si="40"/>
        <v>0.44051476195588068</v>
      </c>
    </row>
    <row r="54" spans="2:12" ht="18.75" x14ac:dyDescent="0.25">
      <c r="B54" s="9" t="s">
        <v>127</v>
      </c>
      <c r="C54" s="7">
        <f>C46+C48+C50+C52</f>
        <v>16675</v>
      </c>
      <c r="D54" s="7">
        <f t="shared" ref="D54:L54" si="41">D46+D48+D50+D52</f>
        <v>17817.25</v>
      </c>
      <c r="E54" s="7">
        <f t="shared" si="41"/>
        <v>19551.96</v>
      </c>
      <c r="F54" s="7">
        <f t="shared" si="41"/>
        <v>21018.42</v>
      </c>
      <c r="G54" s="7">
        <f t="shared" si="41"/>
        <v>22835.08</v>
      </c>
      <c r="H54" s="29">
        <f t="shared" si="41"/>
        <v>46254.632537124118</v>
      </c>
      <c r="I54" s="29">
        <f t="shared" si="41"/>
        <v>53624.991488311782</v>
      </c>
      <c r="J54" s="29">
        <f t="shared" si="41"/>
        <v>62874.952286381449</v>
      </c>
      <c r="K54" s="29">
        <f t="shared" si="41"/>
        <v>70748.635624061819</v>
      </c>
      <c r="L54" s="29">
        <f t="shared" si="41"/>
        <v>79444.483656070224</v>
      </c>
    </row>
    <row r="55" spans="2:12" x14ac:dyDescent="0.25">
      <c r="B55" s="19" t="s">
        <v>227</v>
      </c>
      <c r="C55" s="20">
        <f>C54/Balance_Sheet!C74</f>
        <v>0.58118622635696093</v>
      </c>
      <c r="D55" s="20">
        <f>D54/Balance_Sheet!D74</f>
        <v>0.57893912007767523</v>
      </c>
      <c r="E55" s="20">
        <f>E54/Balance_Sheet!E74</f>
        <v>0.60821895308302132</v>
      </c>
      <c r="F55" s="20">
        <f>F54/Balance_Sheet!F74</f>
        <v>0.53387374550915712</v>
      </c>
      <c r="G55" s="20">
        <f>G54/Balance_Sheet!G74</f>
        <v>0.45324710404458324</v>
      </c>
      <c r="H55" s="27">
        <f>H54/Balance_Sheet!H74</f>
        <v>0.8634862050002724</v>
      </c>
      <c r="I55" s="27">
        <f>I54/Balance_Sheet!I74</f>
        <v>0.83575208135541923</v>
      </c>
      <c r="J55" s="27">
        <f>J54/Balance_Sheet!J74</f>
        <v>0.81303778208064403</v>
      </c>
      <c r="K55" s="27">
        <f>K54/Balance_Sheet!K74</f>
        <v>0.79048023658052358</v>
      </c>
      <c r="L55" s="27">
        <f>L54/Balance_Sheet!L74</f>
        <v>0.77047342423200804</v>
      </c>
    </row>
    <row r="56" spans="2:12" ht="18.75" x14ac:dyDescent="0.25">
      <c r="B56" s="8" t="s">
        <v>31</v>
      </c>
      <c r="C56" s="4">
        <v>385.71</v>
      </c>
      <c r="D56" s="4">
        <v>582.73</v>
      </c>
      <c r="E56" s="4">
        <v>397.07</v>
      </c>
      <c r="F56" s="4">
        <v>408.28</v>
      </c>
      <c r="G56" s="4">
        <v>530.95000000000005</v>
      </c>
      <c r="H56" s="24">
        <f>H74*H57</f>
        <v>661.66255337411337</v>
      </c>
      <c r="I56" s="24">
        <f t="shared" ref="I56:L56" si="42">I74*I57</f>
        <v>792.54967927035591</v>
      </c>
      <c r="J56" s="24">
        <f t="shared" si="42"/>
        <v>955.22056927591257</v>
      </c>
      <c r="K56" s="24">
        <f t="shared" si="42"/>
        <v>1105.5128063443417</v>
      </c>
      <c r="L56" s="24">
        <f t="shared" si="42"/>
        <v>1273.62861684623</v>
      </c>
    </row>
    <row r="57" spans="2:12" x14ac:dyDescent="0.25">
      <c r="B57" s="17" t="s">
        <v>228</v>
      </c>
      <c r="C57" s="18">
        <f>C56/Balance_Sheet!C74</f>
        <v>1.344343864276722E-2</v>
      </c>
      <c r="D57" s="18">
        <f>D56/Balance_Sheet!D74</f>
        <v>1.8934751066683339E-2</v>
      </c>
      <c r="E57" s="18">
        <f>E56/Balance_Sheet!E74</f>
        <v>1.235198413359455E-2</v>
      </c>
      <c r="F57" s="18">
        <f>F56/Balance_Sheet!F74</f>
        <v>1.0370426169830018E-2</v>
      </c>
      <c r="G57" s="18">
        <f>G56/Balance_Sheet!G74</f>
        <v>1.0538677766509751E-2</v>
      </c>
      <c r="H57" s="25">
        <f>MEDIAN(C57:G57)</f>
        <v>1.235198413359455E-2</v>
      </c>
      <c r="I57" s="25">
        <f t="shared" ref="I57:L57" si="43">H57</f>
        <v>1.235198413359455E-2</v>
      </c>
      <c r="J57" s="25">
        <f t="shared" si="43"/>
        <v>1.235198413359455E-2</v>
      </c>
      <c r="K57" s="25">
        <f t="shared" si="43"/>
        <v>1.235198413359455E-2</v>
      </c>
      <c r="L57" s="25">
        <f t="shared" si="43"/>
        <v>1.235198413359455E-2</v>
      </c>
    </row>
    <row r="58" spans="2:12" ht="18.75" x14ac:dyDescent="0.25">
      <c r="B58" s="8" t="s">
        <v>32</v>
      </c>
      <c r="C58" s="4">
        <v>140.07</v>
      </c>
      <c r="D58" s="4">
        <v>154.71</v>
      </c>
      <c r="E58" s="4">
        <v>224.38</v>
      </c>
      <c r="F58" s="4">
        <v>259.17</v>
      </c>
      <c r="G58" s="4">
        <v>40.770000000000003</v>
      </c>
      <c r="H58" s="24">
        <f>ROUND(H74*H59,2)</f>
        <v>43.35</v>
      </c>
      <c r="I58" s="24">
        <f t="shared" ref="I58:L58" si="44">ROUND(I74*I59,2)</f>
        <v>51.92</v>
      </c>
      <c r="J58" s="24">
        <f t="shared" si="44"/>
        <v>62.58</v>
      </c>
      <c r="K58" s="24">
        <f t="shared" si="44"/>
        <v>72.430000000000007</v>
      </c>
      <c r="L58" s="24">
        <f t="shared" si="44"/>
        <v>83.44</v>
      </c>
    </row>
    <row r="59" spans="2:12" x14ac:dyDescent="0.25">
      <c r="B59" s="17" t="s">
        <v>229</v>
      </c>
      <c r="C59" s="18">
        <f>C58/Balance_Sheet!C74</f>
        <v>4.8819643013984712E-3</v>
      </c>
      <c r="D59" s="18">
        <f>D58/Balance_Sheet!D74</f>
        <v>5.0270199535403697E-3</v>
      </c>
      <c r="E59" s="18">
        <f>E58/Balance_Sheet!E74</f>
        <v>6.9799738078826024E-3</v>
      </c>
      <c r="F59" s="18">
        <f>F58/Balance_Sheet!F74</f>
        <v>6.5829904732900126E-3</v>
      </c>
      <c r="G59" s="18">
        <f>G58/Balance_Sheet!G74</f>
        <v>8.0923230537828896E-4</v>
      </c>
      <c r="H59" s="25">
        <f>G59</f>
        <v>8.0923230537828896E-4</v>
      </c>
      <c r="I59" s="25">
        <f t="shared" ref="I59:L59" si="45">H59</f>
        <v>8.0923230537828896E-4</v>
      </c>
      <c r="J59" s="25">
        <f t="shared" si="45"/>
        <v>8.0923230537828896E-4</v>
      </c>
      <c r="K59" s="25">
        <f t="shared" si="45"/>
        <v>8.0923230537828896E-4</v>
      </c>
      <c r="L59" s="25">
        <f t="shared" si="45"/>
        <v>8.0923230537828896E-4</v>
      </c>
    </row>
    <row r="60" spans="2:12" ht="18.75" x14ac:dyDescent="0.25">
      <c r="B60" s="8" t="s">
        <v>33</v>
      </c>
      <c r="C60" s="5">
        <v>2626.23</v>
      </c>
      <c r="D60" s="5">
        <v>2986.32</v>
      </c>
      <c r="E60" s="5">
        <v>3075.48</v>
      </c>
      <c r="F60" s="5">
        <v>3695.91</v>
      </c>
      <c r="G60" s="5">
        <v>4449.8</v>
      </c>
      <c r="H60" s="28"/>
      <c r="I60" s="28"/>
      <c r="J60" s="28"/>
      <c r="K60" s="28"/>
      <c r="L60" s="28"/>
    </row>
    <row r="61" spans="2:12" x14ac:dyDescent="0.25">
      <c r="B61" s="17" t="s">
        <v>230</v>
      </c>
      <c r="C61" s="18">
        <f>C60/Balance_Sheet!C74</f>
        <v>9.1533955217117935E-2</v>
      </c>
      <c r="D61" s="18">
        <f>D60/Balance_Sheet!D74</f>
        <v>9.7035034759593283E-2</v>
      </c>
      <c r="E61" s="18">
        <f>E60/Balance_Sheet!E74</f>
        <v>9.5671494102267524E-2</v>
      </c>
      <c r="F61" s="18">
        <f>F60/Balance_Sheet!F74</f>
        <v>9.3877147509886516E-2</v>
      </c>
      <c r="G61" s="18">
        <f>G60/Balance_Sheet!G74</f>
        <v>8.8322833271334555E-2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24">
        <f>ROUND(H74*H63,2)</f>
        <v>0</v>
      </c>
      <c r="I62" s="24">
        <f t="shared" ref="I62:L62" si="46">ROUND(I74*I63,2)</f>
        <v>0</v>
      </c>
      <c r="J62" s="24">
        <f t="shared" si="46"/>
        <v>0</v>
      </c>
      <c r="K62" s="24">
        <f t="shared" si="46"/>
        <v>0</v>
      </c>
      <c r="L62" s="24">
        <f t="shared" si="46"/>
        <v>0</v>
      </c>
    </row>
    <row r="63" spans="2:12" x14ac:dyDescent="0.25">
      <c r="B63" s="17" t="s">
        <v>231</v>
      </c>
      <c r="C63" s="18">
        <f>C62/Balance_Sheet!C74</f>
        <v>0</v>
      </c>
      <c r="D63" s="18">
        <f>D62/Balance_Sheet!D74</f>
        <v>0</v>
      </c>
      <c r="E63" s="18">
        <f>E62/Balance_Sheet!E74</f>
        <v>0</v>
      </c>
      <c r="F63" s="18">
        <f>F62/Balance_Sheet!F74</f>
        <v>0</v>
      </c>
      <c r="G63" s="18">
        <f>G62/Balance_Sheet!G74</f>
        <v>0</v>
      </c>
      <c r="H63" s="25">
        <f>G63</f>
        <v>0</v>
      </c>
      <c r="I63" s="25">
        <f t="shared" ref="I63:L63" si="47">H63</f>
        <v>0</v>
      </c>
      <c r="J63" s="25">
        <f t="shared" si="47"/>
        <v>0</v>
      </c>
      <c r="K63" s="25">
        <f t="shared" si="47"/>
        <v>0</v>
      </c>
      <c r="L63" s="25">
        <f t="shared" si="47"/>
        <v>0</v>
      </c>
    </row>
    <row r="64" spans="2:12" ht="18.75" x14ac:dyDescent="0.25">
      <c r="B64" s="8" t="s">
        <v>41</v>
      </c>
      <c r="C64" s="5">
        <v>1358.9</v>
      </c>
      <c r="D64" s="5">
        <v>1267.22</v>
      </c>
      <c r="E64" s="5">
        <v>1963.36</v>
      </c>
      <c r="F64" s="5">
        <v>1676.77</v>
      </c>
      <c r="G64" s="5">
        <v>2713.34</v>
      </c>
      <c r="H64" s="28">
        <f>H74*H65</f>
        <v>2537.0954169442339</v>
      </c>
      <c r="I64" s="28">
        <f t="shared" ref="I64:L64" si="48">I74*I65</f>
        <v>3038.9722808455845</v>
      </c>
      <c r="J64" s="28">
        <f t="shared" si="48"/>
        <v>3662.721603515783</v>
      </c>
      <c r="K64" s="28">
        <f t="shared" si="48"/>
        <v>4239.0059102581845</v>
      </c>
      <c r="L64" s="28">
        <f t="shared" si="48"/>
        <v>4883.6333720438934</v>
      </c>
    </row>
    <row r="65" spans="2:12" x14ac:dyDescent="0.25">
      <c r="B65" s="17" t="s">
        <v>232</v>
      </c>
      <c r="C65" s="18">
        <f>C64/Balance_Sheet!C74</f>
        <v>4.7362756401587665E-2</v>
      </c>
      <c r="D65" s="18">
        <f>D64/Balance_Sheet!D74</f>
        <v>4.1176008179984659E-2</v>
      </c>
      <c r="E65" s="18">
        <f>E64/Balance_Sheet!E74</f>
        <v>6.1075859592853138E-2</v>
      </c>
      <c r="F65" s="18">
        <f>F64/Balance_Sheet!F74</f>
        <v>4.2590426885436176E-2</v>
      </c>
      <c r="G65" s="18">
        <f>G64/Balance_Sheet!G74</f>
        <v>5.3856325324383773E-2</v>
      </c>
      <c r="H65" s="25">
        <f>MEDIAN(C65:G65)</f>
        <v>4.7362756401587665E-2</v>
      </c>
      <c r="I65" s="25">
        <f t="shared" ref="I65:L65" si="49">H65</f>
        <v>4.7362756401587665E-2</v>
      </c>
      <c r="J65" s="25">
        <f t="shared" si="49"/>
        <v>4.7362756401587665E-2</v>
      </c>
      <c r="K65" s="25">
        <f t="shared" si="49"/>
        <v>4.7362756401587665E-2</v>
      </c>
      <c r="L65" s="25">
        <f t="shared" si="49"/>
        <v>4.7362756401587665E-2</v>
      </c>
    </row>
    <row r="66" spans="2:12" ht="18.75" x14ac:dyDescent="0.25">
      <c r="B66" s="8" t="s">
        <v>37</v>
      </c>
      <c r="C66" s="5">
        <v>571.69000000000005</v>
      </c>
      <c r="D66" s="4">
        <v>666.17</v>
      </c>
      <c r="E66" s="4">
        <v>723.51</v>
      </c>
      <c r="F66" s="4">
        <v>921.72</v>
      </c>
      <c r="G66" s="4">
        <v>2164.9</v>
      </c>
      <c r="H66" s="24">
        <f>H74*H67</f>
        <v>1205.6299241738352</v>
      </c>
      <c r="I66" s="24">
        <f t="shared" ref="I66:L66" si="50">I74*I67</f>
        <v>1444.1222415415295</v>
      </c>
      <c r="J66" s="24">
        <f t="shared" si="50"/>
        <v>1740.5284561332144</v>
      </c>
      <c r="K66" s="24">
        <f t="shared" si="50"/>
        <v>2014.3792543334794</v>
      </c>
      <c r="L66" s="24">
        <f t="shared" si="50"/>
        <v>2320.7067785892054</v>
      </c>
    </row>
    <row r="67" spans="2:12" x14ac:dyDescent="0.25">
      <c r="B67" s="17" t="s">
        <v>233</v>
      </c>
      <c r="C67" s="18">
        <f>C66/Balance_Sheet!C74</f>
        <v>1.9925538455532896E-2</v>
      </c>
      <c r="D67" s="18">
        <f>D66/Balance_Sheet!D74</f>
        <v>2.1645982046732515E-2</v>
      </c>
      <c r="E67" s="18">
        <f>E66/Balance_Sheet!E74</f>
        <v>2.2506822576616195E-2</v>
      </c>
      <c r="F67" s="18">
        <f>F66/Balance_Sheet!F74</f>
        <v>2.3411945746193118E-2</v>
      </c>
      <c r="G67" s="18">
        <f>G66/Balance_Sheet!G74</f>
        <v>4.2970493448944269E-2</v>
      </c>
      <c r="H67" s="25">
        <f>MEDIAN(C67:G67)</f>
        <v>2.2506822576616195E-2</v>
      </c>
      <c r="I67" s="25">
        <f t="shared" ref="I67:L67" si="51">H67</f>
        <v>2.2506822576616195E-2</v>
      </c>
      <c r="J67" s="25">
        <f t="shared" si="51"/>
        <v>2.2506822576616195E-2</v>
      </c>
      <c r="K67" s="25">
        <f t="shared" si="51"/>
        <v>2.2506822576616195E-2</v>
      </c>
      <c r="L67" s="25">
        <f t="shared" si="51"/>
        <v>2.2506822576616195E-2</v>
      </c>
    </row>
    <row r="68" spans="2:12" ht="18.75" x14ac:dyDescent="0.25">
      <c r="B68" s="8" t="s">
        <v>38</v>
      </c>
      <c r="C68" s="5">
        <v>1472.74</v>
      </c>
      <c r="D68" s="5">
        <v>1424.51</v>
      </c>
      <c r="E68" s="5">
        <v>2223.71</v>
      </c>
      <c r="F68" s="5">
        <v>2139.89</v>
      </c>
      <c r="G68" s="5">
        <v>2954.3</v>
      </c>
      <c r="H68" s="28">
        <f>H69*H74</f>
        <v>3375.6549415308605</v>
      </c>
      <c r="I68" s="28">
        <f t="shared" ref="I68:L68" si="52">I69*I74</f>
        <v>4043.4118987008487</v>
      </c>
      <c r="J68" s="28">
        <f t="shared" si="52"/>
        <v>4873.3225395407562</v>
      </c>
      <c r="K68" s="28">
        <f t="shared" si="52"/>
        <v>5640.0800508229713</v>
      </c>
      <c r="L68" s="28">
        <f t="shared" si="52"/>
        <v>6497.7694630108354</v>
      </c>
    </row>
    <row r="69" spans="2:12" x14ac:dyDescent="0.25">
      <c r="B69" s="17" t="s">
        <v>234</v>
      </c>
      <c r="C69" s="18">
        <f>C68/Balance_Sheet!C74</f>
        <v>5.1330506926833622E-2</v>
      </c>
      <c r="D69" s="18">
        <f>D68/Balance_Sheet!D74</f>
        <v>4.6286860539188103E-2</v>
      </c>
      <c r="E69" s="18">
        <f>E68/Balance_Sheet!E74</f>
        <v>6.9174781871497559E-2</v>
      </c>
      <c r="F69" s="18">
        <f>F68/Balance_Sheet!F74</f>
        <v>5.4353804390510331E-2</v>
      </c>
      <c r="G69" s="18">
        <f>G68/Balance_Sheet!G74</f>
        <v>5.8639072842263405E-2</v>
      </c>
      <c r="H69" s="25">
        <f>GROWTH(C69:G69,C4:G4,H4)</f>
        <v>6.3017071263369043E-2</v>
      </c>
      <c r="I69" s="25">
        <f t="shared" ref="I69:L69" si="53">H69</f>
        <v>6.3017071263369043E-2</v>
      </c>
      <c r="J69" s="25">
        <f t="shared" si="53"/>
        <v>6.3017071263369043E-2</v>
      </c>
      <c r="K69" s="25">
        <f t="shared" si="53"/>
        <v>6.3017071263369043E-2</v>
      </c>
      <c r="L69" s="25">
        <f t="shared" si="53"/>
        <v>6.3017071263369043E-2</v>
      </c>
    </row>
    <row r="70" spans="2:12" ht="18.75" x14ac:dyDescent="0.25">
      <c r="B70" s="8" t="s">
        <v>39</v>
      </c>
      <c r="C70" s="5">
        <v>5460.98</v>
      </c>
      <c r="D70" s="5">
        <f>CashFlow_Statement!D48+C70</f>
        <v>5876.778465497875</v>
      </c>
      <c r="E70" s="5">
        <f>CashFlow_Statement!E48+D70</f>
        <v>3986.7824324380485</v>
      </c>
      <c r="F70" s="5">
        <f>CashFlow_Statement!F48+E70</f>
        <v>9249.4853080955781</v>
      </c>
      <c r="G70" s="5">
        <f>CashFlow_Statement!G48+F70</f>
        <v>14691.943069763749</v>
      </c>
      <c r="H70" s="28">
        <f>CashFlow_Statement!H48+G70</f>
        <v>8287.1505129197412</v>
      </c>
      <c r="I70" s="28">
        <f>CashFlow_Statement!I48+H70</f>
        <v>17164.686657688253</v>
      </c>
      <c r="J70" s="28">
        <f>CashFlow_Statement!J48+I70</f>
        <v>30194.325969057139</v>
      </c>
      <c r="K70" s="28">
        <f>CashFlow_Statement!K48+J70</f>
        <v>50093.300804719031</v>
      </c>
      <c r="L70" s="28">
        <f>CashFlow_Statement!L48+K70</f>
        <v>74702.369806152332</v>
      </c>
    </row>
    <row r="71" spans="2:12" x14ac:dyDescent="0.25">
      <c r="B71" s="17" t="s">
        <v>235</v>
      </c>
      <c r="C71" s="18">
        <f>C70/Balance_Sheet!C74</f>
        <v>0.19033561369780128</v>
      </c>
      <c r="D71" s="18">
        <f>D70/Balance_Sheet!D74</f>
        <v>0.19095522337660248</v>
      </c>
      <c r="E71" s="18">
        <f>E70/Balance_Sheet!E74</f>
        <v>0.12402013083226701</v>
      </c>
      <c r="F71" s="18">
        <f>F70/Balance_Sheet!F74</f>
        <v>0.23493951331569674</v>
      </c>
      <c r="G71" s="18">
        <f>G70/Balance_Sheet!G74</f>
        <v>0.29161626099660271</v>
      </c>
      <c r="H71" s="25">
        <f>H70/Balance_Sheet!H74</f>
        <v>0.15470537228728015</v>
      </c>
      <c r="I71" s="25">
        <f>I70/Balance_Sheet!I74</f>
        <v>0.26751375061949073</v>
      </c>
      <c r="J71" s="25">
        <f>J70/Balance_Sheet!J74</f>
        <v>0.39044368106215621</v>
      </c>
      <c r="K71" s="25">
        <f>K70/Balance_Sheet!K74</f>
        <v>0.55969650752877997</v>
      </c>
      <c r="L71" s="25">
        <f>L70/Balance_Sheet!L74</f>
        <v>0.72448316124708267</v>
      </c>
    </row>
    <row r="72" spans="2:12" ht="18.75" x14ac:dyDescent="0.25">
      <c r="B72" s="9" t="s">
        <v>42</v>
      </c>
      <c r="C72" s="7">
        <f>C56+C58+C60+C62+C64+C66+C68+C70</f>
        <v>12016.32</v>
      </c>
      <c r="D72" s="7">
        <f t="shared" ref="D72:L72" si="54">D56+D58+D60+D62+D64+D66+D68+D70</f>
        <v>12958.438465497875</v>
      </c>
      <c r="E72" s="7">
        <f t="shared" si="54"/>
        <v>12594.292432438049</v>
      </c>
      <c r="F72" s="7">
        <f t="shared" si="54"/>
        <v>18351.225308095578</v>
      </c>
      <c r="G72" s="7">
        <f t="shared" si="54"/>
        <v>27546.003069763748</v>
      </c>
      <c r="H72" s="29">
        <f t="shared" si="54"/>
        <v>16110.543348942783</v>
      </c>
      <c r="I72" s="29">
        <f t="shared" si="54"/>
        <v>26535.662758046572</v>
      </c>
      <c r="J72" s="29">
        <f t="shared" si="54"/>
        <v>41488.69913752281</v>
      </c>
      <c r="K72" s="29">
        <f t="shared" si="54"/>
        <v>63164.708826478003</v>
      </c>
      <c r="L72" s="29">
        <f t="shared" si="54"/>
        <v>89761.548036642489</v>
      </c>
    </row>
    <row r="73" spans="2:12" x14ac:dyDescent="0.25">
      <c r="B73" s="19" t="s">
        <v>236</v>
      </c>
      <c r="C73" s="20">
        <f>C72/Balance_Sheet!C74</f>
        <v>0.41881377364303907</v>
      </c>
      <c r="D73" s="20">
        <f>D72/Balance_Sheet!D74</f>
        <v>0.42106087992232472</v>
      </c>
      <c r="E73" s="20">
        <f>E72/Balance_Sheet!E74</f>
        <v>0.39178104691697863</v>
      </c>
      <c r="F73" s="20">
        <f>F72/Balance_Sheet!F74</f>
        <v>0.46612625449084288</v>
      </c>
      <c r="G73" s="20">
        <f>G72/Balance_Sheet!G74</f>
        <v>0.54675289595541676</v>
      </c>
      <c r="H73" s="27">
        <f>H72/Balance_Sheet!H74</f>
        <v>0.30075326889054377</v>
      </c>
      <c r="I73" s="27">
        <f>I72/Balance_Sheet!I74</f>
        <v>0.41356156457417259</v>
      </c>
      <c r="J73" s="27">
        <f>J72/Balance_Sheet!J74</f>
        <v>0.53649153918306691</v>
      </c>
      <c r="K73" s="27">
        <f>K72/Balance_Sheet!K74</f>
        <v>0.70574440816089357</v>
      </c>
      <c r="L73" s="27">
        <f>L72/Balance_Sheet!L74</f>
        <v>0.87053101861117699</v>
      </c>
    </row>
    <row r="74" spans="2:12" ht="18.75" x14ac:dyDescent="0.25">
      <c r="B74" s="9" t="s">
        <v>43</v>
      </c>
      <c r="C74" s="7">
        <f>C54+C72</f>
        <v>28691.32</v>
      </c>
      <c r="D74" s="7">
        <f t="shared" ref="D74:G74" si="55">D54+D72</f>
        <v>30775.688465497875</v>
      </c>
      <c r="E74" s="7">
        <f t="shared" si="55"/>
        <v>32146.25243243805</v>
      </c>
      <c r="F74" s="7">
        <f t="shared" si="55"/>
        <v>39369.645308095576</v>
      </c>
      <c r="G74" s="7">
        <f t="shared" si="55"/>
        <v>50381.08306976375</v>
      </c>
      <c r="H74" s="29">
        <f>Income_Statement!H5/H80</f>
        <v>53567.309204562829</v>
      </c>
      <c r="I74" s="29">
        <f>Income_Statement!I5/I80</f>
        <v>64163.754640422783</v>
      </c>
      <c r="J74" s="29">
        <f>Income_Statement!J5/J80</f>
        <v>77333.370812704714</v>
      </c>
      <c r="K74" s="29">
        <f>Income_Statement!K5/K80</f>
        <v>89500.827914569745</v>
      </c>
      <c r="L74" s="29">
        <f>Income_Statement!L5/L80</f>
        <v>103111.25751710235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7">
        <f>H74/Balance_Sheet!H74</f>
        <v>1</v>
      </c>
      <c r="I75" s="27">
        <f>I74/Balance_Sheet!I74</f>
        <v>1</v>
      </c>
      <c r="J75" s="27">
        <f>J74/Balance_Sheet!J74</f>
        <v>1</v>
      </c>
      <c r="K75" s="27">
        <f>K74/Balance_Sheet!K74</f>
        <v>1</v>
      </c>
      <c r="L75" s="27">
        <f>L74/Balance_Sheet!L74</f>
        <v>1</v>
      </c>
    </row>
    <row r="80" spans="2:12" x14ac:dyDescent="0.25">
      <c r="B80" t="s">
        <v>265</v>
      </c>
      <c r="C80">
        <f>Income_Statement!C5/C74</f>
        <v>0.40479733940439128</v>
      </c>
      <c r="D80">
        <f>Income_Statement!D5/D74</f>
        <v>0.3948620032862491</v>
      </c>
      <c r="E80">
        <f>Income_Statement!E5/E74</f>
        <v>0.3639239138244002</v>
      </c>
      <c r="F80">
        <f>Income_Statement!F5/F74</f>
        <v>0.39040356802095594</v>
      </c>
      <c r="G80">
        <f>Income_Statement!G5/G74</f>
        <v>0.51371920615841116</v>
      </c>
      <c r="H80">
        <f>GROWTH(C80:G80,C4:G4,H4)</f>
        <v>0.47206310212928682</v>
      </c>
      <c r="I80">
        <f t="shared" ref="I80:L80" si="56">GROWTH(D80:H80,D4:H4,I4)</f>
        <v>0.52262057636129977</v>
      </c>
      <c r="J80">
        <f t="shared" si="56"/>
        <v>0.58903184741755454</v>
      </c>
      <c r="K80">
        <f t="shared" si="56"/>
        <v>0.63434598178723633</v>
      </c>
      <c r="L80">
        <f t="shared" si="56"/>
        <v>0.6589877128956918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941FE400-1E14-40B3-A572-7819BF1FF8D8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BA0A-32FF-4B53-ADD8-6C8379195599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4.85546875" bestFit="1" customWidth="1"/>
    <col min="7" max="7" width="15.140625" bestFit="1" customWidth="1"/>
    <col min="8" max="12" width="21.71093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143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7115.328465497877</v>
      </c>
      <c r="E5" s="5">
        <f>Income_Statement!E45</f>
        <v>6061.8139669401726</v>
      </c>
      <c r="F5" s="5">
        <f>Income_Statement!F45</f>
        <v>8734.7228756575296</v>
      </c>
      <c r="G5" s="5">
        <f>Income_Statement!G45</f>
        <v>11774.767761668174</v>
      </c>
      <c r="H5" s="28">
        <f>Income_Statement!H45</f>
        <v>16931.79178918328</v>
      </c>
      <c r="I5" s="28">
        <f>Income_Statement!I45</f>
        <v>22714.19506580993</v>
      </c>
      <c r="J5" s="28">
        <f>Income_Statement!J45</f>
        <v>31228.353646362124</v>
      </c>
      <c r="K5" s="28">
        <f>Income_Statement!K45</f>
        <v>39183.664777878563</v>
      </c>
      <c r="L5" s="28">
        <f>Income_Statement!L45</f>
        <v>47048.024205256894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4"/>
      <c r="I6" s="24"/>
      <c r="J6" s="24"/>
      <c r="K6" s="24"/>
      <c r="L6" s="24"/>
    </row>
    <row r="7" spans="2:15" ht="18.75" x14ac:dyDescent="0.25">
      <c r="B7" s="8" t="s">
        <v>125</v>
      </c>
      <c r="C7" s="4"/>
      <c r="D7" s="4">
        <f>Income_Statement!D31</f>
        <v>279.04000000000002</v>
      </c>
      <c r="E7" s="4">
        <f>Income_Statement!E31</f>
        <v>294.93</v>
      </c>
      <c r="F7" s="4">
        <f>Income_Statement!F31</f>
        <v>228.54</v>
      </c>
      <c r="G7" s="4">
        <f>Income_Statement!G31</f>
        <v>287.74</v>
      </c>
      <c r="H7" s="24">
        <f>Income_Statement!H31</f>
        <v>1995.1892502246312</v>
      </c>
      <c r="I7" s="24">
        <f>Income_Statement!I31</f>
        <v>2389.8682499738061</v>
      </c>
      <c r="J7" s="24">
        <f>Income_Statement!J31</f>
        <v>2880.3896461149161</v>
      </c>
      <c r="K7" s="24">
        <f>Income_Statement!K31</f>
        <v>3333.5834570629381</v>
      </c>
      <c r="L7" s="24">
        <f>Income_Statement!L31</f>
        <v>3840.5230589501557</v>
      </c>
    </row>
    <row r="8" spans="2:15" ht="18.75" x14ac:dyDescent="0.25">
      <c r="B8" s="8" t="s">
        <v>131</v>
      </c>
      <c r="C8" s="4"/>
      <c r="D8" s="4">
        <f>Income_Statement!D35</f>
        <v>40.32</v>
      </c>
      <c r="E8" s="4">
        <f>Income_Statement!E35</f>
        <v>9.8800000000000008</v>
      </c>
      <c r="F8" s="4">
        <f>Income_Statement!F35</f>
        <v>16.809999999999999</v>
      </c>
      <c r="G8" s="4">
        <f>Income_Statement!G35</f>
        <v>39.06</v>
      </c>
      <c r="H8" s="24">
        <f>Income_Statement!H35</f>
        <v>41.530293601161922</v>
      </c>
      <c r="I8" s="24">
        <f>Income_Statement!I35</f>
        <v>49.745583549855489</v>
      </c>
      <c r="J8" s="24">
        <f>Income_Statement!J35</f>
        <v>59.955839509108259</v>
      </c>
      <c r="K8" s="24">
        <f>Income_Statement!K35</f>
        <v>69.389212355942362</v>
      </c>
      <c r="L8" s="24">
        <f>Income_Statement!L35</f>
        <v>79.941193941772511</v>
      </c>
    </row>
    <row r="9" spans="2:15" ht="18.75" x14ac:dyDescent="0.25">
      <c r="B9" s="8" t="s">
        <v>59</v>
      </c>
      <c r="C9" s="4"/>
      <c r="D9" s="4">
        <f>Income_Statement!D11</f>
        <v>588.96</v>
      </c>
      <c r="E9" s="4">
        <f>Income_Statement!E11</f>
        <v>514.36</v>
      </c>
      <c r="F9" s="4">
        <f>Income_Statement!F11</f>
        <v>351.6</v>
      </c>
      <c r="G9" s="4">
        <f>Income_Statement!G11</f>
        <v>718.52</v>
      </c>
      <c r="H9" s="24">
        <f>Income_Statement!H11</f>
        <v>1111.7986179895488</v>
      </c>
      <c r="I9" s="24">
        <f>Income_Statement!I11</f>
        <v>1474.3565258732187</v>
      </c>
      <c r="J9" s="24">
        <f>Income_Statement!J11</f>
        <v>2002.774068845792</v>
      </c>
      <c r="K9" s="24">
        <f>Income_Statement!K11</f>
        <v>2496.200629422186</v>
      </c>
      <c r="L9" s="24">
        <f>Income_Statement!L11</f>
        <v>2987.5118936097069</v>
      </c>
    </row>
    <row r="10" spans="2:15" ht="18.75" x14ac:dyDescent="0.25">
      <c r="B10" s="9" t="s">
        <v>132</v>
      </c>
      <c r="C10" s="6"/>
      <c r="D10" s="6">
        <f>D7+D8-D9</f>
        <v>-269.60000000000002</v>
      </c>
      <c r="E10" s="6">
        <f t="shared" ref="E10:L10" si="0">E7+E8-E9</f>
        <v>-209.55</v>
      </c>
      <c r="F10" s="6">
        <f t="shared" si="0"/>
        <v>-106.25000000000003</v>
      </c>
      <c r="G10" s="6">
        <f t="shared" si="0"/>
        <v>-391.71999999999997</v>
      </c>
      <c r="H10" s="26">
        <f t="shared" si="0"/>
        <v>924.92092583624435</v>
      </c>
      <c r="I10" s="26">
        <f t="shared" si="0"/>
        <v>965.25730765044273</v>
      </c>
      <c r="J10" s="26">
        <f t="shared" si="0"/>
        <v>937.57141677823211</v>
      </c>
      <c r="K10" s="26">
        <f t="shared" si="0"/>
        <v>906.77203999669428</v>
      </c>
      <c r="L10" s="26">
        <f t="shared" si="0"/>
        <v>932.9523592822211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4"/>
      <c r="I11" s="24"/>
      <c r="J11" s="24"/>
      <c r="K11" s="24"/>
      <c r="L11" s="24"/>
    </row>
    <row r="12" spans="2:15" ht="18.75" x14ac:dyDescent="0.25">
      <c r="B12" s="8" t="str">
        <f>Balance_Sheet!B56</f>
        <v>Deferred Tax Assets [Net]</v>
      </c>
      <c r="C12" s="4"/>
      <c r="D12" s="4">
        <f>Balance_Sheet!C56-Balance_Sheet!D56</f>
        <v>-197.02000000000004</v>
      </c>
      <c r="E12" s="4">
        <f>Balance_Sheet!D56-Balance_Sheet!E56</f>
        <v>185.66000000000003</v>
      </c>
      <c r="F12" s="4">
        <f>Balance_Sheet!E56-Balance_Sheet!F56</f>
        <v>-11.20999999999998</v>
      </c>
      <c r="G12" s="4">
        <f>Balance_Sheet!F56-Balance_Sheet!G56</f>
        <v>-122.67000000000007</v>
      </c>
      <c r="H12" s="24">
        <f>Balance_Sheet!G56-Balance_Sheet!H56</f>
        <v>-130.71255337411333</v>
      </c>
      <c r="I12" s="24">
        <f>Balance_Sheet!H56-Balance_Sheet!I56</f>
        <v>-130.88712589624254</v>
      </c>
      <c r="J12" s="24">
        <f>Balance_Sheet!I56-Balance_Sheet!J56</f>
        <v>-162.67089000555666</v>
      </c>
      <c r="K12" s="24">
        <f>Balance_Sheet!J56-Balance_Sheet!K56</f>
        <v>-150.29223706842913</v>
      </c>
      <c r="L12" s="24">
        <f>Balance_Sheet!K56-Balance_Sheet!L56</f>
        <v>-168.11581050188829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-14.640000000000015</v>
      </c>
      <c r="E13" s="4">
        <f>Balance_Sheet!D58-Balance_Sheet!E58</f>
        <v>-69.669999999999987</v>
      </c>
      <c r="F13" s="4">
        <f>Balance_Sheet!E58-Balance_Sheet!F58</f>
        <v>-34.79000000000002</v>
      </c>
      <c r="G13" s="4">
        <f>Balance_Sheet!F58-Balance_Sheet!G58</f>
        <v>218.4</v>
      </c>
      <c r="H13" s="24">
        <f>Balance_Sheet!G58-Balance_Sheet!H58</f>
        <v>-2.5799999999999983</v>
      </c>
      <c r="I13" s="24">
        <f>Balance_Sheet!H58-Balance_Sheet!I58</f>
        <v>-8.57</v>
      </c>
      <c r="J13" s="24">
        <f>Balance_Sheet!I58-Balance_Sheet!J58</f>
        <v>-10.659999999999997</v>
      </c>
      <c r="K13" s="24">
        <f>Balance_Sheet!J58-Balance_Sheet!K58</f>
        <v>-9.8500000000000085</v>
      </c>
      <c r="L13" s="24">
        <f>Balance_Sheet!K58-Balance_Sheet!L58</f>
        <v>-11.009999999999991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-360.09000000000015</v>
      </c>
      <c r="E14" s="5">
        <f>Balance_Sheet!D60-Balance_Sheet!E60</f>
        <v>-89.159999999999854</v>
      </c>
      <c r="F14" s="5">
        <f>Balance_Sheet!E60-Balance_Sheet!F60</f>
        <v>-620.42999999999984</v>
      </c>
      <c r="G14" s="5">
        <f>Balance_Sheet!F60-Balance_Sheet!G60</f>
        <v>-753.89000000000033</v>
      </c>
      <c r="H14" s="28">
        <f>Balance_Sheet!G60-Balance_Sheet!H60</f>
        <v>4449.8</v>
      </c>
      <c r="I14" s="28">
        <f>Balance_Sheet!H60-Balance_Sheet!I60</f>
        <v>0</v>
      </c>
      <c r="J14" s="28">
        <f>Balance_Sheet!I60-Balance_Sheet!J60</f>
        <v>0</v>
      </c>
      <c r="K14" s="28">
        <f>Balance_Sheet!J60-Balance_Sheet!K60</f>
        <v>0</v>
      </c>
      <c r="L14" s="28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0</v>
      </c>
      <c r="E15" s="4">
        <f>Balance_Sheet!D62-Balance_Sheet!E62</f>
        <v>0</v>
      </c>
      <c r="F15" s="4">
        <f>Balance_Sheet!E62-Balance_Sheet!F62</f>
        <v>0</v>
      </c>
      <c r="G15" s="4">
        <f>Balance_Sheet!F62-Balance_Sheet!G62</f>
        <v>0</v>
      </c>
      <c r="H15" s="24">
        <f>Balance_Sheet!G62-Balance_Sheet!H62</f>
        <v>0</v>
      </c>
      <c r="I15" s="24">
        <f>Balance_Sheet!H62-Balance_Sheet!I62</f>
        <v>0</v>
      </c>
      <c r="J15" s="24">
        <f>Balance_Sheet!I62-Balance_Sheet!J62</f>
        <v>0</v>
      </c>
      <c r="K15" s="24">
        <f>Balance_Sheet!J62-Balance_Sheet!K62</f>
        <v>0</v>
      </c>
      <c r="L15" s="24">
        <f>Balance_Sheet!K62-Balance_Sheet!L62</f>
        <v>0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91.680000000000064</v>
      </c>
      <c r="E16" s="5">
        <f>Balance_Sheet!D64-Balance_Sheet!E64</f>
        <v>-696.13999999999987</v>
      </c>
      <c r="F16" s="5">
        <f>Balance_Sheet!E64-Balance_Sheet!F64</f>
        <v>286.58999999999992</v>
      </c>
      <c r="G16" s="5">
        <f>Balance_Sheet!F64-Balance_Sheet!G64</f>
        <v>-1036.5700000000002</v>
      </c>
      <c r="H16" s="28">
        <f>Balance_Sheet!G64-Balance_Sheet!H64</f>
        <v>176.24458305576627</v>
      </c>
      <c r="I16" s="28">
        <f>Balance_Sheet!H64-Balance_Sheet!I64</f>
        <v>-501.87686390135059</v>
      </c>
      <c r="J16" s="28">
        <f>Balance_Sheet!I64-Balance_Sheet!J64</f>
        <v>-623.74932267019858</v>
      </c>
      <c r="K16" s="28">
        <f>Balance_Sheet!J64-Balance_Sheet!K64</f>
        <v>-576.28430674240144</v>
      </c>
      <c r="L16" s="28">
        <f>Balance_Sheet!K64-Balance_Sheet!L64</f>
        <v>-644.62746178570887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-94.479999999999905</v>
      </c>
      <c r="E17" s="5">
        <f>Balance_Sheet!D66-Balance_Sheet!E66</f>
        <v>-57.340000000000032</v>
      </c>
      <c r="F17" s="5">
        <f>Balance_Sheet!E66-Balance_Sheet!F66</f>
        <v>-198.21000000000004</v>
      </c>
      <c r="G17" s="5">
        <f>Balance_Sheet!F66-Balance_Sheet!G66</f>
        <v>-1243.18</v>
      </c>
      <c r="H17" s="28">
        <f>Balance_Sheet!G66-Balance_Sheet!H66</f>
        <v>959.27007582616488</v>
      </c>
      <c r="I17" s="28">
        <f>Balance_Sheet!H66-Balance_Sheet!I66</f>
        <v>-238.49231736769434</v>
      </c>
      <c r="J17" s="28">
        <f>Balance_Sheet!I66-Balance_Sheet!J66</f>
        <v>-296.40621459168483</v>
      </c>
      <c r="K17" s="28">
        <f>Balance_Sheet!J66-Balance_Sheet!K66</f>
        <v>-273.85079820026499</v>
      </c>
      <c r="L17" s="28">
        <f>Balance_Sheet!K66-Balance_Sheet!L66</f>
        <v>-306.32752425572608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48.230000000000018</v>
      </c>
      <c r="E18" s="5">
        <f>Balance_Sheet!D68-Balance_Sheet!E68</f>
        <v>-799.2</v>
      </c>
      <c r="F18" s="5">
        <f>Balance_Sheet!E68-Balance_Sheet!F68</f>
        <v>83.820000000000164</v>
      </c>
      <c r="G18" s="5">
        <f>Balance_Sheet!F68-Balance_Sheet!G68</f>
        <v>-814.41000000000031</v>
      </c>
      <c r="H18" s="28">
        <f>Balance_Sheet!G68-Balance_Sheet!H68</f>
        <v>-421.35494153086029</v>
      </c>
      <c r="I18" s="28">
        <f>Balance_Sheet!H68-Balance_Sheet!I68</f>
        <v>-667.75695716998825</v>
      </c>
      <c r="J18" s="28">
        <f>Balance_Sheet!I68-Balance_Sheet!J68</f>
        <v>-829.9106408399075</v>
      </c>
      <c r="K18" s="28">
        <f>Balance_Sheet!J68-Balance_Sheet!K68</f>
        <v>-766.75751128221509</v>
      </c>
      <c r="L18" s="28">
        <f>Balance_Sheet!K68-Balance_Sheet!L68</f>
        <v>-857.68941218786404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4"/>
      <c r="I19" s="24"/>
      <c r="J19" s="24"/>
      <c r="K19" s="24"/>
      <c r="L19" s="24"/>
    </row>
    <row r="20" spans="2:12" ht="18.75" x14ac:dyDescent="0.25">
      <c r="B20" s="8" t="str">
        <f>Balance_Sheet!B23</f>
        <v>Long Term Provisions</v>
      </c>
      <c r="C20" s="4"/>
      <c r="D20" s="5">
        <f>Balance_Sheet!D23-Balance_Sheet!C23</f>
        <v>54.399999999999977</v>
      </c>
      <c r="E20" s="5">
        <f>Balance_Sheet!E23-Balance_Sheet!D23</f>
        <v>59.440000000000055</v>
      </c>
      <c r="F20" s="5">
        <f>Balance_Sheet!F23-Balance_Sheet!E23</f>
        <v>117.44999999999993</v>
      </c>
      <c r="G20" s="5">
        <f>Balance_Sheet!G23-Balance_Sheet!F23</f>
        <v>147.05000000000007</v>
      </c>
      <c r="H20" s="28">
        <f>Balance_Sheet!H23-Balance_Sheet!G23</f>
        <v>240.81734134094927</v>
      </c>
      <c r="I20" s="28">
        <f>Balance_Sheet!I23-Balance_Sheet!H23</f>
        <v>263.74295831130507</v>
      </c>
      <c r="J20" s="28">
        <f>Balance_Sheet!J23-Balance_Sheet!I23</f>
        <v>327.78855420210607</v>
      </c>
      <c r="K20" s="28">
        <f>Balance_Sheet!K23-Balance_Sheet!J23</f>
        <v>302.84505786362774</v>
      </c>
      <c r="L20" s="28">
        <f>Balance_Sheet!L23-Balance_Sheet!K23</f>
        <v>338.76029362750069</v>
      </c>
    </row>
    <row r="21" spans="2:12" ht="18.75" x14ac:dyDescent="0.25">
      <c r="B21" s="8" t="str">
        <f>Balance_Sheet!B25</f>
        <v>Short Term Provisions</v>
      </c>
      <c r="C21" s="4"/>
      <c r="D21" s="4">
        <f>Balance_Sheet!D25-Balance_Sheet!C25</f>
        <v>13.840000000000003</v>
      </c>
      <c r="E21" s="4">
        <f>Balance_Sheet!E25-Balance_Sheet!D25</f>
        <v>181.32999999999998</v>
      </c>
      <c r="F21" s="4">
        <f>Balance_Sheet!F25-Balance_Sheet!E25</f>
        <v>-124.22</v>
      </c>
      <c r="G21" s="4">
        <f>Balance_Sheet!G25-Balance_Sheet!F25</f>
        <v>-83.43</v>
      </c>
      <c r="H21" s="24">
        <f>Balance_Sheet!H25-Balance_Sheet!G25</f>
        <v>57.016719610134622</v>
      </c>
      <c r="I21" s="24">
        <f>Balance_Sheet!I25-Balance_Sheet!H25</f>
        <v>14.271741274246409</v>
      </c>
      <c r="J21" s="24">
        <f>Balance_Sheet!J25-Balance_Sheet!I25</f>
        <v>17.737396547702375</v>
      </c>
      <c r="K21" s="24">
        <f>Balance_Sheet!K25-Balance_Sheet!J25</f>
        <v>16.387646288976256</v>
      </c>
      <c r="L21" s="24">
        <f>Balance_Sheet!L25-Balance_Sheet!K25</f>
        <v>18.331102735766194</v>
      </c>
    </row>
    <row r="22" spans="2:12" ht="18.75" x14ac:dyDescent="0.25">
      <c r="B22" s="8" t="str">
        <f>Balance_Sheet!B27</f>
        <v>Other Long Term Liabilities</v>
      </c>
      <c r="C22" s="4"/>
      <c r="D22" s="4">
        <f>Balance_Sheet!D27-Balance_Sheet!C27</f>
        <v>0</v>
      </c>
      <c r="E22" s="4">
        <f>Balance_Sheet!E27-Balance_Sheet!D27</f>
        <v>5.83</v>
      </c>
      <c r="F22" s="4">
        <f>Balance_Sheet!F27-Balance_Sheet!E27</f>
        <v>-1.1299999999999999</v>
      </c>
      <c r="G22" s="4">
        <f>Balance_Sheet!G27-Balance_Sheet!F27</f>
        <v>145.58000000000001</v>
      </c>
      <c r="H22" s="24">
        <f>Balance_Sheet!H27-Balance_Sheet!G27</f>
        <v>9.5</v>
      </c>
      <c r="I22" s="24">
        <f>Balance_Sheet!I27-Balance_Sheet!H27</f>
        <v>31.609999999999985</v>
      </c>
      <c r="J22" s="24">
        <f>Balance_Sheet!J27-Balance_Sheet!I27</f>
        <v>39.29000000000002</v>
      </c>
      <c r="K22" s="24">
        <f>Balance_Sheet!K27-Balance_Sheet!J27</f>
        <v>36.29000000000002</v>
      </c>
      <c r="L22" s="24">
        <f>Balance_Sheet!L27-Balance_Sheet!K27</f>
        <v>40.599999999999966</v>
      </c>
    </row>
    <row r="23" spans="2:12" ht="18.75" x14ac:dyDescent="0.25">
      <c r="B23" s="8" t="str">
        <f>Balance_Sheet!B29</f>
        <v>Trade Payables</v>
      </c>
      <c r="C23" s="4"/>
      <c r="D23" s="4">
        <f>Balance_Sheet!D29-Balance_Sheet!C29</f>
        <v>43.150000000000006</v>
      </c>
      <c r="E23" s="4">
        <f>Balance_Sheet!E29-Balance_Sheet!D29</f>
        <v>23.110000000000014</v>
      </c>
      <c r="F23" s="4">
        <f>Balance_Sheet!F29-Balance_Sheet!E29</f>
        <v>134.87999999999997</v>
      </c>
      <c r="G23" s="4">
        <f>Balance_Sheet!G29-Balance_Sheet!F29</f>
        <v>606.75</v>
      </c>
      <c r="H23" s="24">
        <f>Balance_Sheet!H29-Balance_Sheet!G29</f>
        <v>-591.09871381063226</v>
      </c>
      <c r="I23" s="24">
        <f>Balance_Sheet!I29-Balance_Sheet!H29</f>
        <v>74.463952804193696</v>
      </c>
      <c r="J23" s="24">
        <f>Balance_Sheet!J29-Balance_Sheet!I29</f>
        <v>92.54628668057336</v>
      </c>
      <c r="K23" s="24">
        <f>Balance_Sheet!K29-Balance_Sheet!J29</f>
        <v>85.503856634241174</v>
      </c>
      <c r="L23" s="24">
        <f>Balance_Sheet!L29-Balance_Sheet!K29</f>
        <v>95.643996253498244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-401.13000000000011</v>
      </c>
      <c r="E24" s="5">
        <f>Balance_Sheet!E31-Balance_Sheet!D31</f>
        <v>-691.15999999999985</v>
      </c>
      <c r="F24" s="5">
        <f>Balance_Sheet!F31-Balance_Sheet!E31</f>
        <v>1863.02</v>
      </c>
      <c r="G24" s="5">
        <f>Balance_Sheet!G31-Balance_Sheet!F31</f>
        <v>506.73999999999978</v>
      </c>
      <c r="H24" s="28">
        <f>Balance_Sheet!H31-Balance_Sheet!G31</f>
        <v>261.50967488996503</v>
      </c>
      <c r="I24" s="28">
        <f>Balance_Sheet!I31-Balance_Sheet!H31</f>
        <v>869.70380747810032</v>
      </c>
      <c r="J24" s="28">
        <f>Balance_Sheet!J31-Balance_Sheet!I31</f>
        <v>1080.896928822739</v>
      </c>
      <c r="K24" s="28">
        <f>Balance_Sheet!K31-Balance_Sheet!J31</f>
        <v>998.64467125995998</v>
      </c>
      <c r="L24" s="28">
        <f>Balance_Sheet!L31-Balance_Sheet!K31</f>
        <v>1117.0767139211548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4"/>
      <c r="I25" s="24"/>
      <c r="J25" s="24"/>
      <c r="K25" s="24"/>
      <c r="L25" s="24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2556.5300000000002</v>
      </c>
      <c r="E26" s="5">
        <f>Income_Statement!E47</f>
        <v>2512.7199999999998</v>
      </c>
      <c r="F26" s="5">
        <f>Income_Statement!F47</f>
        <v>2648.45</v>
      </c>
      <c r="G26" s="5">
        <f>Income_Statement!G47</f>
        <v>3582.25</v>
      </c>
      <c r="H26" s="28">
        <f>Income_Statement!H47</f>
        <v>5151.1768524433937</v>
      </c>
      <c r="I26" s="28">
        <f>Income_Statement!I47</f>
        <v>6910.3634926358782</v>
      </c>
      <c r="J26" s="28">
        <f>Income_Statement!J47</f>
        <v>9500.6349266486086</v>
      </c>
      <c r="K26" s="28">
        <f>Income_Statement!K47</f>
        <v>11920.887612535755</v>
      </c>
      <c r="L26" s="28">
        <f>Income_Statement!L47</f>
        <v>14313.469965661909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3473.138465497877</v>
      </c>
      <c r="E27" s="7">
        <f t="shared" ref="E27:L27" si="1">E12+E13+E14+E15+E16+E17+E18+E20+E21+E22+E23+E24-E26+E10+E5</f>
        <v>1392.2439669401729</v>
      </c>
      <c r="F27" s="7">
        <f t="shared" si="1"/>
        <v>7475.7928756575293</v>
      </c>
      <c r="G27" s="7">
        <f t="shared" si="1"/>
        <v>5371.1677616681727</v>
      </c>
      <c r="H27" s="29">
        <f t="shared" si="1"/>
        <v>17713.948048583505</v>
      </c>
      <c r="I27" s="29">
        <f t="shared" si="1"/>
        <v>16475.298076357067</v>
      </c>
      <c r="J27" s="29">
        <f t="shared" si="1"/>
        <v>22300.15223463752</v>
      </c>
      <c r="K27" s="29">
        <f t="shared" si="1"/>
        <v>27832.185584092997</v>
      </c>
      <c r="L27" s="29">
        <f t="shared" si="1"/>
        <v>33290.148496683934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4"/>
      <c r="I28" s="24"/>
      <c r="J28" s="24"/>
      <c r="K28" s="24"/>
      <c r="L28" s="24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-48.900000000000091</v>
      </c>
      <c r="E29" s="5">
        <f>Balance_Sheet!D40-Balance_Sheet!E40</f>
        <v>-62.4399999999996</v>
      </c>
      <c r="F29" s="5">
        <f>Balance_Sheet!E40-Balance_Sheet!F40</f>
        <v>-60</v>
      </c>
      <c r="G29" s="5">
        <f>Balance_Sheet!F40-Balance_Sheet!G40</f>
        <v>-19709.43</v>
      </c>
      <c r="H29" s="28">
        <f>Balance_Sheet!G40-Balance_Sheet!H40</f>
        <v>-1456.5</v>
      </c>
      <c r="I29" s="28">
        <f>Balance_Sheet!H40-Balance_Sheet!I40</f>
        <v>-4843.8799999999974</v>
      </c>
      <c r="J29" s="28">
        <f>Balance_Sheet!I40-Balance_Sheet!J40</f>
        <v>-6020.1500000000051</v>
      </c>
      <c r="K29" s="28">
        <f>Balance_Sheet!J40-Balance_Sheet!K40</f>
        <v>-5562.0299999999988</v>
      </c>
      <c r="L29" s="28">
        <f>Balance_Sheet!K40-Balance_Sheet!L40</f>
        <v>-6221.6499999999942</v>
      </c>
    </row>
    <row r="30" spans="2:12" ht="18.75" x14ac:dyDescent="0.25">
      <c r="B30" s="8" t="str">
        <f>Balance_Sheet!B42</f>
        <v>Intangible Assets</v>
      </c>
      <c r="C30" s="4"/>
      <c r="D30" s="4">
        <f>Balance_Sheet!C42-Balance_Sheet!D42</f>
        <v>-6.2999999999999829</v>
      </c>
      <c r="E30" s="4">
        <f>Balance_Sheet!D42-Balance_Sheet!E42</f>
        <v>-234.65000000000003</v>
      </c>
      <c r="F30" s="4">
        <f>Balance_Sheet!E42-Balance_Sheet!F42</f>
        <v>-63.910000000000025</v>
      </c>
      <c r="G30" s="4">
        <f>Balance_Sheet!F42-Balance_Sheet!G42</f>
        <v>518.57000000000005</v>
      </c>
      <c r="H30" s="24">
        <f>Balance_Sheet!G42-Balance_Sheet!H42</f>
        <v>0</v>
      </c>
      <c r="I30" s="24">
        <f>Balance_Sheet!H42-Balance_Sheet!I42</f>
        <v>0</v>
      </c>
      <c r="J30" s="24">
        <f>Balance_Sheet!I42-Balance_Sheet!J42</f>
        <v>0</v>
      </c>
      <c r="K30" s="24">
        <f>Balance_Sheet!J42-Balance_Sheet!K42</f>
        <v>0</v>
      </c>
      <c r="L30" s="24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4">
        <f>Balance_Sheet!C48-Balance_Sheet!D48</f>
        <v>-186.14</v>
      </c>
      <c r="E31" s="4">
        <f>Balance_Sheet!D48-Balance_Sheet!E48</f>
        <v>-51.230000000000018</v>
      </c>
      <c r="F31" s="4">
        <f>Balance_Sheet!E48-Balance_Sheet!F48</f>
        <v>35.200000000000045</v>
      </c>
      <c r="G31" s="4">
        <f>Balance_Sheet!F48-Balance_Sheet!G48</f>
        <v>-20.050000000000068</v>
      </c>
      <c r="H31" s="24">
        <f>Balance_Sheet!G48-Balance_Sheet!H48</f>
        <v>-361.05132448369591</v>
      </c>
      <c r="I31" s="24">
        <f>Balance_Sheet!H48-Balance_Sheet!I48</f>
        <v>-248.45656240514791</v>
      </c>
      <c r="J31" s="24">
        <f>Balance_Sheet!I48-Balance_Sheet!J48</f>
        <v>-308.79011100148841</v>
      </c>
      <c r="K31" s="24">
        <f>Balance_Sheet!J48-Balance_Sheet!K48</f>
        <v>-285.29232590684774</v>
      </c>
      <c r="L31" s="24">
        <f>Balance_Sheet!K48-Balance_Sheet!L48</f>
        <v>-319.12593448163989</v>
      </c>
    </row>
    <row r="32" spans="2:12" ht="18.75" x14ac:dyDescent="0.25">
      <c r="B32" s="8" t="str">
        <f>Balance_Sheet!B50</f>
        <v>Current Investments</v>
      </c>
      <c r="C32" s="4"/>
      <c r="D32" s="4">
        <f>Balance_Sheet!C50-Balance_Sheet!D50</f>
        <v>0</v>
      </c>
      <c r="E32" s="4">
        <f>Balance_Sheet!D50-Balance_Sheet!E50</f>
        <v>0</v>
      </c>
      <c r="F32" s="4">
        <f>Balance_Sheet!E50-Balance_Sheet!F50</f>
        <v>0</v>
      </c>
      <c r="G32" s="4">
        <f>Balance_Sheet!F50-Balance_Sheet!G50</f>
        <v>0</v>
      </c>
      <c r="H32" s="24">
        <f>Balance_Sheet!G50-Balance_Sheet!H50</f>
        <v>0</v>
      </c>
      <c r="I32" s="24">
        <f>Balance_Sheet!H50-Balance_Sheet!I50</f>
        <v>0</v>
      </c>
      <c r="J32" s="24">
        <f>Balance_Sheet!I50-Balance_Sheet!J50</f>
        <v>0</v>
      </c>
      <c r="K32" s="24">
        <f>Balance_Sheet!J50-Balance_Sheet!K50</f>
        <v>0</v>
      </c>
      <c r="L32" s="24">
        <f>Balance_Sheet!K50-Balance_Sheet!L50</f>
        <v>0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-1179.9500000000007</v>
      </c>
      <c r="E33" s="5">
        <f>Balance_Sheet!D52-Balance_Sheet!E52</f>
        <v>-1681.3199999999997</v>
      </c>
      <c r="F33" s="5">
        <f>Balance_Sheet!E52-Balance_Sheet!F52</f>
        <v>-1606.2899999999991</v>
      </c>
      <c r="G33" s="5">
        <f>Balance_Sheet!F52-Balance_Sheet!G52</f>
        <v>17106.509999999998</v>
      </c>
      <c r="H33" s="28">
        <f>Balance_Sheet!G52-Balance_Sheet!H52</f>
        <v>-23597.190462865052</v>
      </c>
      <c r="I33" s="28">
        <f>Balance_Sheet!H52-Balance_Sheet!I52</f>
        <v>-4667.8906387563256</v>
      </c>
      <c r="J33" s="28">
        <f>Balance_Sheet!I52-Balance_Sheet!J52</f>
        <v>-5801.410333183092</v>
      </c>
      <c r="K33" s="28">
        <f>Balance_Sheet!J52-Balance_Sheet!K52</f>
        <v>-5359.9444688364601</v>
      </c>
      <c r="L33" s="28">
        <f>Balance_Sheet!K52-Balance_Sheet!L52</f>
        <v>-5995.5951564769275</v>
      </c>
    </row>
    <row r="34" spans="2:12" ht="18.75" x14ac:dyDescent="0.25">
      <c r="B34" s="8" t="s">
        <v>59</v>
      </c>
      <c r="C34" s="4"/>
      <c r="D34" s="4">
        <f>Income_Statement!D11</f>
        <v>588.96</v>
      </c>
      <c r="E34" s="4">
        <f>Income_Statement!E11</f>
        <v>514.36</v>
      </c>
      <c r="F34" s="4">
        <f>Income_Statement!F11</f>
        <v>351.6</v>
      </c>
      <c r="G34" s="4">
        <f>Income_Statement!G11</f>
        <v>718.52</v>
      </c>
      <c r="H34" s="24">
        <f>Income_Statement!H11</f>
        <v>1111.7986179895488</v>
      </c>
      <c r="I34" s="24">
        <f>Income_Statement!I11</f>
        <v>1474.3565258732187</v>
      </c>
      <c r="J34" s="24">
        <f>Income_Statement!J11</f>
        <v>2002.774068845792</v>
      </c>
      <c r="K34" s="24">
        <f>Income_Statement!K11</f>
        <v>2496.200629422186</v>
      </c>
      <c r="L34" s="24">
        <f>Income_Statement!L11</f>
        <v>2987.5118936097069</v>
      </c>
    </row>
    <row r="35" spans="2:12" ht="18.75" x14ac:dyDescent="0.25">
      <c r="B35" s="9" t="s">
        <v>137</v>
      </c>
      <c r="C35" s="6"/>
      <c r="D35" s="7">
        <f>D29+D30+D31+D32+D33+D34</f>
        <v>-832.33000000000084</v>
      </c>
      <c r="E35" s="7">
        <f t="shared" ref="E35:L35" si="2">E29+E30+E31+E32+E33+E34</f>
        <v>-1515.2799999999993</v>
      </c>
      <c r="F35" s="7">
        <f t="shared" si="2"/>
        <v>-1343.3999999999992</v>
      </c>
      <c r="G35" s="7">
        <f t="shared" si="2"/>
        <v>-1385.8800000000015</v>
      </c>
      <c r="H35" s="29">
        <f t="shared" si="2"/>
        <v>-24302.943169359198</v>
      </c>
      <c r="I35" s="29">
        <f t="shared" si="2"/>
        <v>-8285.8706752882536</v>
      </c>
      <c r="J35" s="29">
        <f t="shared" si="2"/>
        <v>-10127.576375338793</v>
      </c>
      <c r="K35" s="29">
        <f t="shared" si="2"/>
        <v>-8711.0661653211209</v>
      </c>
      <c r="L35" s="29">
        <f t="shared" si="2"/>
        <v>-9548.8591973488547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4"/>
      <c r="I36" s="24"/>
      <c r="J36" s="24"/>
      <c r="K36" s="24"/>
      <c r="L36" s="24"/>
    </row>
    <row r="37" spans="2:12" ht="18.75" x14ac:dyDescent="0.25">
      <c r="B37" s="8" t="str">
        <f>Balance_Sheet!B5</f>
        <v>Equity Share Capital</v>
      </c>
      <c r="C37" s="4"/>
      <c r="D37" s="4">
        <f>Balance_Sheet!D5-Balance_Sheet!C5</f>
        <v>-10.199999999999989</v>
      </c>
      <c r="E37" s="4">
        <f>Balance_Sheet!E5-Balance_Sheet!D5</f>
        <v>0</v>
      </c>
      <c r="F37" s="4">
        <f>Balance_Sheet!F5-Balance_Sheet!E5</f>
        <v>-13.120000000000005</v>
      </c>
      <c r="G37" s="4">
        <f>Balance_Sheet!G5-Balance_Sheet!F5</f>
        <v>0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4">
        <f>Balance_Sheet!H7-Balance_Sheet!G7</f>
        <v>0</v>
      </c>
      <c r="I38" s="24">
        <f>Balance_Sheet!I7-Balance_Sheet!H7</f>
        <v>0</v>
      </c>
      <c r="J38" s="24">
        <f>Balance_Sheet!J7-Balance_Sheet!I7</f>
        <v>0</v>
      </c>
      <c r="K38" s="24">
        <f>Balance_Sheet!K7-Balance_Sheet!J7</f>
        <v>0</v>
      </c>
      <c r="L38" s="24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5">
        <f>Balance_Sheet!D15-Balance_Sheet!C15</f>
        <v>0</v>
      </c>
      <c r="E39" s="5">
        <f>Balance_Sheet!E15-Balance_Sheet!D15</f>
        <v>0</v>
      </c>
      <c r="F39" s="5">
        <f>Balance_Sheet!F15-Balance_Sheet!E15</f>
        <v>546.42999999999995</v>
      </c>
      <c r="G39" s="5">
        <f>Balance_Sheet!G15-Balance_Sheet!F15</f>
        <v>1127.6399999999999</v>
      </c>
      <c r="H39" s="28">
        <f>Balance_Sheet!H15-Balance_Sheet!G15</f>
        <v>105.87000000000012</v>
      </c>
      <c r="I39" s="28">
        <f>Balance_Sheet!I15-Balance_Sheet!H15</f>
        <v>352.09999999999991</v>
      </c>
      <c r="J39" s="28">
        <f>Balance_Sheet!J15-Balance_Sheet!I15</f>
        <v>437.59999999999991</v>
      </c>
      <c r="K39" s="28">
        <f>Balance_Sheet!K15-Balance_Sheet!J15</f>
        <v>404.30999999999995</v>
      </c>
      <c r="L39" s="28">
        <f>Balance_Sheet!L15-Balance_Sheet!K15</f>
        <v>452.25</v>
      </c>
    </row>
    <row r="40" spans="2:12" ht="18.75" x14ac:dyDescent="0.25">
      <c r="B40" s="8" t="str">
        <f>Balance_Sheet!B17</f>
        <v>Deferred Tax Liabilities [Net]</v>
      </c>
      <c r="C40" s="4"/>
      <c r="D40" s="4">
        <f>Balance_Sheet!D17-Balance_Sheet!C17</f>
        <v>0</v>
      </c>
      <c r="E40" s="4">
        <f>Balance_Sheet!E17-Balance_Sheet!D17</f>
        <v>0</v>
      </c>
      <c r="F40" s="4">
        <f>Balance_Sheet!F17-Balance_Sheet!E17</f>
        <v>0</v>
      </c>
      <c r="G40" s="4">
        <f>Balance_Sheet!G17-Balance_Sheet!F17</f>
        <v>0</v>
      </c>
      <c r="H40" s="24">
        <f>Balance_Sheet!H17-Balance_Sheet!G17</f>
        <v>0</v>
      </c>
      <c r="I40" s="24">
        <f>Balance_Sheet!I17-Balance_Sheet!H17</f>
        <v>0</v>
      </c>
      <c r="J40" s="24">
        <f>Balance_Sheet!J17-Balance_Sheet!I17</f>
        <v>0</v>
      </c>
      <c r="K40" s="24">
        <f>Balance_Sheet!K17-Balance_Sheet!J17</f>
        <v>0</v>
      </c>
      <c r="L40" s="24">
        <f>Balance_Sheet!L17-Balance_Sheet!K17</f>
        <v>0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-135.94</v>
      </c>
      <c r="E41" s="5">
        <f>Balance_Sheet!E19-Balance_Sheet!D19</f>
        <v>201.42000000000007</v>
      </c>
      <c r="F41" s="5">
        <f>Balance_Sheet!F19-Balance_Sheet!E19</f>
        <v>882.46999999999991</v>
      </c>
      <c r="G41" s="5">
        <f>Balance_Sheet!G19-Balance_Sheet!F19</f>
        <v>368.68000000000006</v>
      </c>
      <c r="H41" s="28">
        <f>Balance_Sheet!H19-Balance_Sheet!G19</f>
        <v>114.88999999999987</v>
      </c>
      <c r="I41" s="28">
        <f>Balance_Sheet!I19-Balance_Sheet!H19</f>
        <v>382.1099999999999</v>
      </c>
      <c r="J41" s="28">
        <f>Balance_Sheet!J19-Balance_Sheet!I19</f>
        <v>474.89000000000033</v>
      </c>
      <c r="K41" s="28">
        <f>Balance_Sheet!K19-Balance_Sheet!J19</f>
        <v>438.75</v>
      </c>
      <c r="L41" s="28">
        <f>Balance_Sheet!L19-Balance_Sheet!K19</f>
        <v>490.78999999999996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-1</v>
      </c>
      <c r="E42" s="4">
        <f>Balance_Sheet!E35-Balance_Sheet!D35</f>
        <v>-5.84</v>
      </c>
      <c r="F42" s="4">
        <f>Balance_Sheet!F35-Balance_Sheet!E35</f>
        <v>5.4899999999999984</v>
      </c>
      <c r="G42" s="4">
        <f>Balance_Sheet!G35-Balance_Sheet!F35</f>
        <v>-8.9999999999999858E-2</v>
      </c>
      <c r="H42" s="24">
        <f>Balance_Sheet!H35-Balance_Sheet!G35</f>
        <v>4.9728575328474456</v>
      </c>
      <c r="I42" s="24">
        <f>Balance_Sheet!I35-Balance_Sheet!H35</f>
        <v>3.6443272495533705</v>
      </c>
      <c r="J42" s="24">
        <f>Balance_Sheet!J35-Balance_Sheet!I35</f>
        <v>4.5292915792672908</v>
      </c>
      <c r="K42" s="24">
        <f>Balance_Sheet!K35-Balance_Sheet!J35</f>
        <v>4.1846292459580674</v>
      </c>
      <c r="L42" s="24">
        <f>Balance_Sheet!L35-Balance_Sheet!K35</f>
        <v>4.6808960399853277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4"/>
      <c r="I43" s="24"/>
      <c r="J43" s="24"/>
      <c r="K43" s="24"/>
      <c r="L43" s="24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1690.14</v>
      </c>
      <c r="E44" s="5">
        <f>Income_Statement!E51</f>
        <v>1619.72</v>
      </c>
      <c r="F44" s="5">
        <f>Income_Statement!F51</f>
        <v>2274.15</v>
      </c>
      <c r="G44" s="5">
        <f>Income_Statement!G51</f>
        <v>0</v>
      </c>
      <c r="H44" s="28">
        <f>Income_Statement!H51</f>
        <v>0</v>
      </c>
      <c r="I44" s="28">
        <f>Income_Statement!I51</f>
        <v>0</v>
      </c>
      <c r="J44" s="28">
        <f>Income_Statement!J51</f>
        <v>0</v>
      </c>
      <c r="K44" s="28">
        <f>Income_Statement!K51</f>
        <v>0</v>
      </c>
      <c r="L44" s="28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347.41</v>
      </c>
      <c r="E45" s="4">
        <f>Income_Statement!E53</f>
        <v>332.94</v>
      </c>
      <c r="F45" s="4">
        <f>Income_Statement!F53</f>
        <v>0</v>
      </c>
      <c r="G45" s="4">
        <f>Income_Statement!G53</f>
        <v>0</v>
      </c>
      <c r="H45" s="24">
        <f>Income_Statement!H53</f>
        <v>0</v>
      </c>
      <c r="I45" s="24">
        <f>Income_Statement!I53</f>
        <v>0</v>
      </c>
      <c r="J45" s="24">
        <f>Income_Statement!J53</f>
        <v>0</v>
      </c>
      <c r="K45" s="24">
        <f>Income_Statement!K53</f>
        <v>0</v>
      </c>
      <c r="L45" s="24">
        <f>Income_Statement!L53</f>
        <v>0</v>
      </c>
    </row>
    <row r="46" spans="2:12" ht="18.75" x14ac:dyDescent="0.25">
      <c r="B46" s="8" t="s">
        <v>140</v>
      </c>
      <c r="C46" s="4"/>
      <c r="D46" s="4">
        <f>Income_Statement!D35</f>
        <v>40.32</v>
      </c>
      <c r="E46" s="4">
        <f>Income_Statement!E35</f>
        <v>9.8800000000000008</v>
      </c>
      <c r="F46" s="4">
        <f>Income_Statement!F35</f>
        <v>16.809999999999999</v>
      </c>
      <c r="G46" s="4">
        <f>Income_Statement!G35</f>
        <v>39.06</v>
      </c>
      <c r="H46" s="24">
        <f>Income_Statement!H35</f>
        <v>41.530293601161922</v>
      </c>
      <c r="I46" s="24">
        <f>Income_Statement!I35</f>
        <v>49.745583549855489</v>
      </c>
      <c r="J46" s="24">
        <f>Income_Statement!J35</f>
        <v>59.955839509108259</v>
      </c>
      <c r="K46" s="24">
        <f>Income_Statement!K35</f>
        <v>69.389212355942362</v>
      </c>
      <c r="L46" s="24">
        <f>Income_Statement!L35</f>
        <v>79.941193941772511</v>
      </c>
    </row>
    <row r="47" spans="2:12" ht="18.75" x14ac:dyDescent="0.25">
      <c r="B47" s="9" t="s">
        <v>141</v>
      </c>
      <c r="C47" s="6"/>
      <c r="D47" s="7">
        <f>D37+D38+D39+D40+D41+D42-D44-D45-D46</f>
        <v>-2225.0100000000002</v>
      </c>
      <c r="E47" s="7">
        <f t="shared" ref="E47:L47" si="3">E37+E38+E39+E40+E41+E42-E44-E45-E46</f>
        <v>-1766.96</v>
      </c>
      <c r="F47" s="7">
        <f t="shared" si="3"/>
        <v>-869.69000000000028</v>
      </c>
      <c r="G47" s="7">
        <f t="shared" si="3"/>
        <v>1457.17</v>
      </c>
      <c r="H47" s="29">
        <f t="shared" si="3"/>
        <v>184.20256393168552</v>
      </c>
      <c r="I47" s="29">
        <f t="shared" si="3"/>
        <v>688.1087436996977</v>
      </c>
      <c r="J47" s="29">
        <f t="shared" si="3"/>
        <v>857.0634520701592</v>
      </c>
      <c r="K47" s="29">
        <f t="shared" si="3"/>
        <v>777.85541689001559</v>
      </c>
      <c r="L47" s="29">
        <f t="shared" si="3"/>
        <v>867.77970209821274</v>
      </c>
    </row>
    <row r="48" spans="2:12" ht="18.75" x14ac:dyDescent="0.25">
      <c r="B48" s="9" t="s">
        <v>142</v>
      </c>
      <c r="C48" s="6"/>
      <c r="D48" s="7">
        <f>D27+D35+D47</f>
        <v>415.7984654978759</v>
      </c>
      <c r="E48" s="7">
        <f t="shared" ref="E48:L48" si="4">E27+E35+E47</f>
        <v>-1889.9960330598265</v>
      </c>
      <c r="F48" s="7">
        <f t="shared" si="4"/>
        <v>5262.7028756575291</v>
      </c>
      <c r="G48" s="7">
        <f t="shared" si="4"/>
        <v>5442.4577616681709</v>
      </c>
      <c r="H48" s="29">
        <f t="shared" si="4"/>
        <v>-6404.7925568440078</v>
      </c>
      <c r="I48" s="29">
        <f t="shared" si="4"/>
        <v>8877.53614476851</v>
      </c>
      <c r="J48" s="29">
        <f t="shared" si="4"/>
        <v>13029.639311368886</v>
      </c>
      <c r="K48" s="29">
        <f t="shared" si="4"/>
        <v>19898.974835661891</v>
      </c>
      <c r="L48" s="29">
        <f t="shared" si="4"/>
        <v>24609.069001433294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68281818-068F-44A2-B10F-026E129A1747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9E9EE-E767-4B45-91C9-C773AA3438A0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6" width="13.5703125" bestFit="1" customWidth="1"/>
    <col min="7" max="7" width="14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4" t="s">
        <v>145</v>
      </c>
      <c r="C5" s="44"/>
      <c r="D5" s="44"/>
      <c r="E5" s="44"/>
      <c r="F5" s="44"/>
      <c r="G5" s="44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3765.0550492803177</v>
      </c>
      <c r="D6" s="13">
        <f>Income_Statement!D49</f>
        <v>4558.7984654978773</v>
      </c>
      <c r="E6" s="13">
        <f>Income_Statement!E49</f>
        <v>3549.0939669401728</v>
      </c>
      <c r="F6" s="13">
        <f>Income_Statement!F49</f>
        <v>6086.2728756575298</v>
      </c>
      <c r="G6" s="13">
        <f>Income_Statement!G49</f>
        <v>8192.517761668174</v>
      </c>
      <c r="I6" s="35"/>
      <c r="J6" s="36"/>
      <c r="K6" s="36"/>
      <c r="L6" s="37"/>
    </row>
    <row r="7" spans="2:15" ht="18.75" x14ac:dyDescent="0.25">
      <c r="B7" s="12" t="str">
        <f>Income_Statement!B61</f>
        <v>Total Shares Outstanding(cr)</v>
      </c>
      <c r="C7" s="13">
        <f>Income_Statement!C61</f>
        <v>313.75458744002646</v>
      </c>
      <c r="D7" s="13">
        <f>Income_Statement!D61</f>
        <v>303.9198976998585</v>
      </c>
      <c r="E7" s="13">
        <f>Income_Statement!E61</f>
        <v>295.75783057834775</v>
      </c>
      <c r="F7" s="13">
        <f>Income_Statement!F61</f>
        <v>289.82251788845377</v>
      </c>
      <c r="G7" s="13">
        <f>Income_Statement!G61</f>
        <v>256.01618005213044</v>
      </c>
      <c r="I7" s="38"/>
      <c r="J7" s="39"/>
      <c r="K7" s="39"/>
      <c r="L7" s="40"/>
    </row>
    <row r="8" spans="2:15" ht="19.5" thickBot="1" x14ac:dyDescent="0.3">
      <c r="B8" s="14" t="s">
        <v>146</v>
      </c>
      <c r="C8" s="14">
        <f>ROUND(C6/C7, 2)</f>
        <v>12</v>
      </c>
      <c r="D8" s="14">
        <f t="shared" ref="D8:G8" si="0">ROUND(D6/D7, 2)</f>
        <v>15</v>
      </c>
      <c r="E8" s="14">
        <f t="shared" si="0"/>
        <v>12</v>
      </c>
      <c r="F8" s="14">
        <f t="shared" si="0"/>
        <v>21</v>
      </c>
      <c r="G8" s="14">
        <f t="shared" si="0"/>
        <v>32</v>
      </c>
      <c r="I8" s="41"/>
      <c r="J8" s="42"/>
      <c r="K8" s="42"/>
      <c r="L8" s="43"/>
    </row>
    <row r="9" spans="2:15" ht="15.75" thickTop="1" x14ac:dyDescent="0.25"/>
    <row r="10" spans="2:15" ht="19.5" thickBot="1" x14ac:dyDescent="0.3">
      <c r="B10" s="44" t="s">
        <v>147</v>
      </c>
      <c r="C10" s="44"/>
      <c r="D10" s="44"/>
      <c r="E10" s="44"/>
      <c r="F10" s="44"/>
      <c r="G10" s="44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1676.86</v>
      </c>
      <c r="D11" s="13">
        <f>Income_Statement!D51</f>
        <v>1690.14</v>
      </c>
      <c r="E11" s="13">
        <f>Income_Statement!E51</f>
        <v>1619.72</v>
      </c>
      <c r="F11" s="13">
        <f>Income_Statement!F51</f>
        <v>2274.15</v>
      </c>
      <c r="G11" s="13">
        <f>Income_Statement!G51</f>
        <v>0</v>
      </c>
      <c r="I11" s="35"/>
      <c r="J11" s="36"/>
      <c r="K11" s="36"/>
      <c r="L11" s="37"/>
    </row>
    <row r="12" spans="2:15" ht="18.75" x14ac:dyDescent="0.25">
      <c r="B12" s="12" t="str">
        <f>Income_Statement!B61</f>
        <v>Total Shares Outstanding(cr)</v>
      </c>
      <c r="C12" s="13">
        <f>Income_Statement!C61</f>
        <v>313.75458744002646</v>
      </c>
      <c r="D12" s="13">
        <f>Income_Statement!D61</f>
        <v>303.9198976998585</v>
      </c>
      <c r="E12" s="13">
        <f>Income_Statement!E61</f>
        <v>295.75783057834775</v>
      </c>
      <c r="F12" s="13">
        <f>Income_Statement!F61</f>
        <v>289.82251788845377</v>
      </c>
      <c r="G12" s="13">
        <f>Income_Statement!G61</f>
        <v>256.01618005213044</v>
      </c>
      <c r="I12" s="38"/>
      <c r="J12" s="39"/>
      <c r="K12" s="39"/>
      <c r="L12" s="40"/>
    </row>
    <row r="13" spans="2:15" ht="19.5" thickBot="1" x14ac:dyDescent="0.3">
      <c r="B13" s="14" t="s">
        <v>148</v>
      </c>
      <c r="C13" s="14">
        <f>ROUND(C11/C12, 2)</f>
        <v>5.34</v>
      </c>
      <c r="D13" s="14">
        <f t="shared" ref="D13:G13" si="1">ROUND(D11/D12, 2)</f>
        <v>5.56</v>
      </c>
      <c r="E13" s="14">
        <f t="shared" si="1"/>
        <v>5.48</v>
      </c>
      <c r="F13" s="14">
        <f t="shared" si="1"/>
        <v>7.85</v>
      </c>
      <c r="G13" s="14">
        <f t="shared" si="1"/>
        <v>0</v>
      </c>
      <c r="I13" s="41"/>
      <c r="J13" s="42"/>
      <c r="K13" s="42"/>
      <c r="L13" s="43"/>
    </row>
    <row r="14" spans="2:15" ht="15.75" thickTop="1" x14ac:dyDescent="0.25"/>
    <row r="15" spans="2:15" ht="19.5" thickBot="1" x14ac:dyDescent="0.3">
      <c r="B15" s="44" t="s">
        <v>149</v>
      </c>
      <c r="C15" s="44"/>
      <c r="D15" s="44"/>
      <c r="E15" s="44"/>
      <c r="F15" s="44"/>
      <c r="G15" s="44"/>
    </row>
    <row r="16" spans="2:15" ht="19.5" thickTop="1" x14ac:dyDescent="0.25">
      <c r="B16" s="12" t="str">
        <f>Balance_Sheet!B13</f>
        <v>Net Worth</v>
      </c>
      <c r="C16" s="13">
        <f>Balance_Sheet!C13</f>
        <v>24417.41</v>
      </c>
      <c r="D16" s="13">
        <f>Balance_Sheet!D13</f>
        <v>26928.458465497875</v>
      </c>
      <c r="E16" s="13">
        <f>Balance_Sheet!E13</f>
        <v>28524.89243243805</v>
      </c>
      <c r="F16" s="13">
        <f>Balance_Sheet!F13</f>
        <v>32323.89530809558</v>
      </c>
      <c r="G16" s="13">
        <f>Balance_Sheet!G13</f>
        <v>40516.413069763752</v>
      </c>
      <c r="I16" s="35"/>
      <c r="J16" s="36"/>
      <c r="K16" s="36"/>
      <c r="L16" s="37"/>
    </row>
    <row r="17" spans="2:12" ht="18.75" x14ac:dyDescent="0.25">
      <c r="B17" s="12" t="str">
        <f>Income_Statement!B61</f>
        <v>Total Shares Outstanding(cr)</v>
      </c>
      <c r="C17" s="13">
        <f>Income_Statement!C61</f>
        <v>313.75458744002646</v>
      </c>
      <c r="D17" s="13">
        <f>Income_Statement!D61</f>
        <v>303.9198976998585</v>
      </c>
      <c r="E17" s="13">
        <f>Income_Statement!E61</f>
        <v>295.75783057834775</v>
      </c>
      <c r="F17" s="13">
        <f>Income_Statement!F61</f>
        <v>289.82251788845377</v>
      </c>
      <c r="G17" s="13">
        <f>Income_Statement!G61</f>
        <v>256.01618005213044</v>
      </c>
      <c r="I17" s="38"/>
      <c r="J17" s="39"/>
      <c r="K17" s="39"/>
      <c r="L17" s="40"/>
    </row>
    <row r="18" spans="2:12" ht="19.5" thickBot="1" x14ac:dyDescent="0.3">
      <c r="B18" s="14" t="s">
        <v>150</v>
      </c>
      <c r="C18" s="14">
        <f>ROUND(C16/C17, 2)</f>
        <v>77.819999999999993</v>
      </c>
      <c r="D18" s="14">
        <f t="shared" ref="D18:G18" si="2">ROUND(D16/D17, 2)</f>
        <v>88.6</v>
      </c>
      <c r="E18" s="14">
        <f t="shared" si="2"/>
        <v>96.45</v>
      </c>
      <c r="F18" s="14">
        <f t="shared" si="2"/>
        <v>111.53</v>
      </c>
      <c r="G18" s="14">
        <f t="shared" si="2"/>
        <v>158.26</v>
      </c>
      <c r="I18" s="41"/>
      <c r="J18" s="42"/>
      <c r="K18" s="42"/>
      <c r="L18" s="43"/>
    </row>
    <row r="19" spans="2:12" ht="15.75" thickTop="1" x14ac:dyDescent="0.25"/>
    <row r="20" spans="2:12" ht="18.75" x14ac:dyDescent="0.25">
      <c r="B20" s="44" t="s">
        <v>151</v>
      </c>
      <c r="C20" s="44"/>
      <c r="D20" s="44"/>
      <c r="E20" s="44"/>
      <c r="F20" s="44"/>
      <c r="G20" s="44"/>
    </row>
    <row r="21" spans="2:12" ht="18.75" x14ac:dyDescent="0.25">
      <c r="B21" s="12" t="str">
        <f>Income_Statement!B51</f>
        <v>Equity Share Dividend</v>
      </c>
      <c r="C21" s="13">
        <f>Income_Statement!C51</f>
        <v>1676.86</v>
      </c>
      <c r="D21" s="13">
        <f>Income_Statement!D51</f>
        <v>1690.14</v>
      </c>
      <c r="E21" s="13">
        <f>Income_Statement!E51</f>
        <v>1619.72</v>
      </c>
      <c r="F21" s="13">
        <f>Income_Statement!F51</f>
        <v>2274.15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313.75458744002646</v>
      </c>
      <c r="D22" s="13">
        <f>Income_Statement!D61</f>
        <v>303.9198976998585</v>
      </c>
      <c r="E22" s="13">
        <f>Income_Statement!E61</f>
        <v>295.75783057834775</v>
      </c>
      <c r="F22" s="13">
        <f>Income_Statement!F61</f>
        <v>289.82251788845377</v>
      </c>
      <c r="G22" s="13">
        <f>Income_Statement!G61</f>
        <v>256.01618005213044</v>
      </c>
    </row>
    <row r="23" spans="2:12" ht="18.75" x14ac:dyDescent="0.25">
      <c r="B23" s="12" t="s">
        <v>148</v>
      </c>
      <c r="C23" s="13">
        <f>ROUND(C21/C22, 2)</f>
        <v>5.34</v>
      </c>
      <c r="D23" s="13">
        <f t="shared" ref="D23:G23" si="3">ROUND(D21/D22, 2)</f>
        <v>5.56</v>
      </c>
      <c r="E23" s="13">
        <f t="shared" si="3"/>
        <v>5.48</v>
      </c>
      <c r="F23" s="13">
        <f t="shared" si="3"/>
        <v>7.85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3765.0550492803177</v>
      </c>
      <c r="D24" s="13">
        <f>Income_Statement!D49</f>
        <v>4558.7984654978773</v>
      </c>
      <c r="E24" s="13">
        <f>Income_Statement!E49</f>
        <v>3549.0939669401728</v>
      </c>
      <c r="F24" s="13">
        <f>Income_Statement!F49</f>
        <v>6086.2728756575298</v>
      </c>
      <c r="G24" s="13">
        <f>Income_Statement!G49</f>
        <v>8192.517761668174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313.75458744002646</v>
      </c>
      <c r="D25" s="13">
        <f>Income_Statement!D61</f>
        <v>303.9198976998585</v>
      </c>
      <c r="E25" s="13">
        <f>Income_Statement!E61</f>
        <v>295.75783057834775</v>
      </c>
      <c r="F25" s="13">
        <f>Income_Statement!F61</f>
        <v>289.82251788845377</v>
      </c>
      <c r="G25" s="13">
        <f>Income_Statement!G61</f>
        <v>256.01618005213044</v>
      </c>
      <c r="I25" s="35"/>
      <c r="J25" s="36"/>
      <c r="K25" s="36"/>
      <c r="L25" s="37"/>
    </row>
    <row r="26" spans="2:12" ht="18.75" x14ac:dyDescent="0.25">
      <c r="B26" s="12" t="s">
        <v>146</v>
      </c>
      <c r="C26" s="13">
        <f>C24/C25</f>
        <v>12</v>
      </c>
      <c r="D26" s="13">
        <f t="shared" ref="D26:G26" si="4">D24/D25</f>
        <v>15</v>
      </c>
      <c r="E26" s="13">
        <f t="shared" si="4"/>
        <v>12</v>
      </c>
      <c r="F26" s="13">
        <f t="shared" si="4"/>
        <v>21</v>
      </c>
      <c r="G26" s="13">
        <f t="shared" si="4"/>
        <v>32</v>
      </c>
      <c r="I26" s="38"/>
      <c r="J26" s="39"/>
      <c r="K26" s="39"/>
      <c r="L26" s="40"/>
    </row>
    <row r="27" spans="2:12" ht="19.5" thickBot="1" x14ac:dyDescent="0.3">
      <c r="B27" s="14" t="s">
        <v>152</v>
      </c>
      <c r="C27" s="14">
        <f>ROUND(C23/C26, 2)</f>
        <v>0.45</v>
      </c>
      <c r="D27" s="14">
        <f t="shared" ref="D27:G27" si="5">ROUND(D23/D26, 2)</f>
        <v>0.37</v>
      </c>
      <c r="E27" s="14">
        <f t="shared" si="5"/>
        <v>0.46</v>
      </c>
      <c r="F27" s="14">
        <f t="shared" si="5"/>
        <v>0.37</v>
      </c>
      <c r="G27" s="14">
        <f t="shared" si="5"/>
        <v>0</v>
      </c>
      <c r="I27" s="41"/>
      <c r="J27" s="42"/>
      <c r="K27" s="42"/>
      <c r="L27" s="43"/>
    </row>
    <row r="28" spans="2:12" ht="15.75" thickTop="1" x14ac:dyDescent="0.25"/>
    <row r="29" spans="2:12" ht="18.75" x14ac:dyDescent="0.25">
      <c r="B29" s="44" t="s">
        <v>153</v>
      </c>
      <c r="C29" s="44"/>
      <c r="D29" s="44"/>
      <c r="E29" s="44"/>
      <c r="F29" s="44"/>
      <c r="G29" s="44"/>
    </row>
    <row r="30" spans="2:12" ht="19.5" thickBot="1" x14ac:dyDescent="0.3">
      <c r="B30" s="12" t="str">
        <f>Income_Statement!B51</f>
        <v>Equity Share Dividend</v>
      </c>
      <c r="C30" s="13">
        <f>Income_Statement!C51</f>
        <v>1676.86</v>
      </c>
      <c r="D30" s="13">
        <f>Income_Statement!D51</f>
        <v>1690.14</v>
      </c>
      <c r="E30" s="13">
        <f>Income_Statement!E51</f>
        <v>1619.72</v>
      </c>
      <c r="F30" s="13">
        <f>Income_Statement!F51</f>
        <v>2274.15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313.75458744002646</v>
      </c>
      <c r="D31" s="13">
        <f>Income_Statement!D61</f>
        <v>303.9198976998585</v>
      </c>
      <c r="E31" s="13">
        <f>Income_Statement!E61</f>
        <v>295.75783057834775</v>
      </c>
      <c r="F31" s="13">
        <f>Income_Statement!F61</f>
        <v>289.82251788845377</v>
      </c>
      <c r="G31" s="13">
        <f>Income_Statement!G61</f>
        <v>256.01618005213044</v>
      </c>
      <c r="I31" s="35"/>
      <c r="J31" s="36"/>
      <c r="K31" s="36"/>
      <c r="L31" s="37"/>
    </row>
    <row r="32" spans="2:12" ht="18.75" x14ac:dyDescent="0.25">
      <c r="B32" s="12" t="s">
        <v>154</v>
      </c>
      <c r="C32" s="13">
        <f>ROUND(C30/C31, 2)</f>
        <v>5.34</v>
      </c>
      <c r="D32" s="13">
        <f t="shared" ref="D32:G32" si="6">ROUND(D30/D31, 2)</f>
        <v>5.56</v>
      </c>
      <c r="E32" s="13">
        <f t="shared" si="6"/>
        <v>5.48</v>
      </c>
      <c r="F32" s="13">
        <f t="shared" si="6"/>
        <v>7.85</v>
      </c>
      <c r="G32" s="13">
        <f t="shared" si="6"/>
        <v>0</v>
      </c>
      <c r="I32" s="38"/>
      <c r="J32" s="39"/>
      <c r="K32" s="39"/>
      <c r="L32" s="40"/>
    </row>
    <row r="33" spans="2:12" ht="19.5" thickBot="1" x14ac:dyDescent="0.3">
      <c r="B33" s="14" t="s">
        <v>155</v>
      </c>
      <c r="C33" s="15">
        <f>1-C32</f>
        <v>-4.34</v>
      </c>
      <c r="D33" s="15">
        <f t="shared" ref="D33:G33" si="7">1-D32</f>
        <v>-4.5599999999999996</v>
      </c>
      <c r="E33" s="15">
        <f t="shared" si="7"/>
        <v>-4.4800000000000004</v>
      </c>
      <c r="F33" s="15">
        <f t="shared" si="7"/>
        <v>-6.85</v>
      </c>
      <c r="G33" s="15">
        <f t="shared" si="7"/>
        <v>1</v>
      </c>
      <c r="I33" s="41"/>
      <c r="J33" s="42"/>
      <c r="K33" s="42"/>
      <c r="L33" s="43"/>
    </row>
    <row r="34" spans="2:12" ht="15.75" thickTop="1" x14ac:dyDescent="0.25"/>
    <row r="35" spans="2:12" ht="19.5" thickBot="1" x14ac:dyDescent="0.3">
      <c r="B35" s="44" t="s">
        <v>156</v>
      </c>
      <c r="C35" s="44"/>
      <c r="D35" s="44"/>
      <c r="E35" s="44"/>
      <c r="F35" s="44"/>
      <c r="G35" s="44"/>
    </row>
    <row r="36" spans="2:12" ht="19.5" thickTop="1" x14ac:dyDescent="0.25">
      <c r="B36" s="12" t="str">
        <f>Income_Statement!B5</f>
        <v>Gross Sales</v>
      </c>
      <c r="C36" s="13">
        <f>Income_Statement!C5</f>
        <v>11614.17</v>
      </c>
      <c r="D36" s="13">
        <f>Income_Statement!D5</f>
        <v>12152.15</v>
      </c>
      <c r="E36" s="13">
        <f>Income_Statement!E5</f>
        <v>11698.79</v>
      </c>
      <c r="F36" s="13">
        <f>Income_Statement!F5</f>
        <v>15370.05</v>
      </c>
      <c r="G36" s="13">
        <f>Income_Statement!G5</f>
        <v>25881.73</v>
      </c>
      <c r="I36" s="35"/>
      <c r="J36" s="36"/>
      <c r="K36" s="36"/>
      <c r="L36" s="37"/>
    </row>
    <row r="37" spans="2:12" ht="18.75" x14ac:dyDescent="0.25">
      <c r="B37" s="12" t="str">
        <f>Income_Statement!B17</f>
        <v>Cost Of Materials Consumed</v>
      </c>
      <c r="C37" s="13">
        <f>Income_Statement!C17</f>
        <v>386.9</v>
      </c>
      <c r="D37" s="13">
        <f>Income_Statement!D17</f>
        <v>426.42</v>
      </c>
      <c r="E37" s="13">
        <f>Income_Statement!E17</f>
        <v>394.36</v>
      </c>
      <c r="F37" s="13">
        <f>Income_Statement!F17</f>
        <v>410.24</v>
      </c>
      <c r="G37" s="13">
        <f>Income_Statement!G17</f>
        <v>106.95</v>
      </c>
      <c r="I37" s="38"/>
      <c r="J37" s="39"/>
      <c r="K37" s="39"/>
      <c r="L37" s="40"/>
    </row>
    <row r="38" spans="2:12" ht="19.5" thickBot="1" x14ac:dyDescent="0.3">
      <c r="B38" s="14" t="s">
        <v>157</v>
      </c>
      <c r="C38" s="16">
        <f>ROUND(C36- C37, 2)</f>
        <v>11227.27</v>
      </c>
      <c r="D38" s="16">
        <f t="shared" ref="D38:G38" si="8">ROUND(D36- D37, 2)</f>
        <v>11725.73</v>
      </c>
      <c r="E38" s="16">
        <f t="shared" si="8"/>
        <v>11304.43</v>
      </c>
      <c r="F38" s="16">
        <f t="shared" si="8"/>
        <v>14959.81</v>
      </c>
      <c r="G38" s="16">
        <f t="shared" si="8"/>
        <v>25774.78</v>
      </c>
      <c r="I38" s="41"/>
      <c r="J38" s="42"/>
      <c r="K38" s="42"/>
      <c r="L38" s="43"/>
    </row>
    <row r="39" spans="2:12" ht="15.75" thickTop="1" x14ac:dyDescent="0.25"/>
    <row r="40" spans="2:12" ht="19.5" thickBot="1" x14ac:dyDescent="0.3">
      <c r="B40" s="44" t="s">
        <v>158</v>
      </c>
      <c r="C40" s="44"/>
      <c r="D40" s="44"/>
      <c r="E40" s="44"/>
      <c r="F40" s="44"/>
      <c r="G40" s="44"/>
    </row>
    <row r="41" spans="2:12" ht="19.5" thickTop="1" x14ac:dyDescent="0.25">
      <c r="B41" s="12" t="str">
        <f>Income_Statement!B5</f>
        <v>Gross Sales</v>
      </c>
      <c r="C41" s="13">
        <f>Income_Statement!C5</f>
        <v>11614.17</v>
      </c>
      <c r="D41" s="13">
        <f>Income_Statement!D5</f>
        <v>12152.15</v>
      </c>
      <c r="E41" s="13">
        <f>Income_Statement!E5</f>
        <v>11698.79</v>
      </c>
      <c r="F41" s="13">
        <f>Income_Statement!F5</f>
        <v>15370.05</v>
      </c>
      <c r="G41" s="13">
        <f>Income_Statement!G5</f>
        <v>25881.73</v>
      </c>
      <c r="I41" s="35"/>
      <c r="J41" s="36"/>
      <c r="K41" s="36"/>
      <c r="L41" s="37"/>
    </row>
    <row r="42" spans="2:12" ht="18.75" x14ac:dyDescent="0.25">
      <c r="B42" s="12" t="str">
        <f>Income_Statement!B25</f>
        <v>Total Expenditure</v>
      </c>
      <c r="C42" s="13">
        <f>Income_Statement!C25</f>
        <v>5850.6</v>
      </c>
      <c r="D42" s="13">
        <f>Income_Statement!D25</f>
        <v>5307.4699999999993</v>
      </c>
      <c r="E42" s="13">
        <f>Income_Statement!E25</f>
        <v>5751.13</v>
      </c>
      <c r="F42" s="13">
        <f>Income_Statement!F25</f>
        <v>6742.5999999999995</v>
      </c>
      <c r="G42" s="13">
        <f>Income_Statement!G25</f>
        <v>14499.710000000001</v>
      </c>
      <c r="I42" s="38"/>
      <c r="J42" s="39"/>
      <c r="K42" s="39"/>
      <c r="L42" s="40"/>
    </row>
    <row r="43" spans="2:12" ht="19.5" thickBot="1" x14ac:dyDescent="0.3">
      <c r="B43" s="14" t="s">
        <v>159</v>
      </c>
      <c r="C43" s="16">
        <f>ROUND(C41- C42, 2)</f>
        <v>5763.57</v>
      </c>
      <c r="D43" s="16">
        <f t="shared" ref="D43:G43" si="9">ROUND(D41- D42, 2)</f>
        <v>6844.68</v>
      </c>
      <c r="E43" s="16">
        <f t="shared" si="9"/>
        <v>5947.66</v>
      </c>
      <c r="F43" s="16">
        <f t="shared" si="9"/>
        <v>8627.4500000000007</v>
      </c>
      <c r="G43" s="16">
        <f t="shared" si="9"/>
        <v>11382.02</v>
      </c>
      <c r="I43" s="41"/>
      <c r="J43" s="42"/>
      <c r="K43" s="42"/>
      <c r="L43" s="43"/>
    </row>
    <row r="44" spans="2:12" ht="15.75" thickTop="1" x14ac:dyDescent="0.25"/>
    <row r="45" spans="2:12" ht="19.5" thickBot="1" x14ac:dyDescent="0.3">
      <c r="B45" s="44" t="s">
        <v>160</v>
      </c>
      <c r="C45" s="44"/>
      <c r="D45" s="44"/>
      <c r="E45" s="44"/>
      <c r="F45" s="44"/>
      <c r="G45" s="44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3765.0550492803177</v>
      </c>
      <c r="D46" s="13">
        <f>Income_Statement!D49</f>
        <v>4558.7984654978773</v>
      </c>
      <c r="E46" s="13">
        <f>Income_Statement!E49</f>
        <v>3549.0939669401728</v>
      </c>
      <c r="F46" s="13">
        <f>Income_Statement!F49</f>
        <v>6086.2728756575298</v>
      </c>
      <c r="G46" s="13">
        <f>Income_Statement!G49</f>
        <v>8192.517761668174</v>
      </c>
      <c r="I46" s="35"/>
      <c r="J46" s="36"/>
      <c r="K46" s="36"/>
      <c r="L46" s="37"/>
    </row>
    <row r="47" spans="2:12" ht="18.75" x14ac:dyDescent="0.25">
      <c r="B47" s="12" t="str">
        <f>Balance_Sheet!B74</f>
        <v>Total Assets</v>
      </c>
      <c r="C47" s="13">
        <f>Balance_Sheet!C74</f>
        <v>28691.32</v>
      </c>
      <c r="D47" s="13">
        <f>Balance_Sheet!D74</f>
        <v>30775.688465497875</v>
      </c>
      <c r="E47" s="13">
        <f>Balance_Sheet!E74</f>
        <v>32146.25243243805</v>
      </c>
      <c r="F47" s="13">
        <f>Balance_Sheet!F74</f>
        <v>39369.645308095576</v>
      </c>
      <c r="G47" s="13">
        <f>Balance_Sheet!G74</f>
        <v>50381.08306976375</v>
      </c>
      <c r="I47" s="38"/>
      <c r="J47" s="39"/>
      <c r="K47" s="39"/>
      <c r="L47" s="40"/>
    </row>
    <row r="48" spans="2:12" ht="19.5" thickBot="1" x14ac:dyDescent="0.3">
      <c r="B48" s="14" t="s">
        <v>161</v>
      </c>
      <c r="C48" s="15">
        <f>ROUND(C46/ C47, 2)</f>
        <v>0.13</v>
      </c>
      <c r="D48" s="15">
        <f t="shared" ref="D48:G48" si="10">ROUND(D46/ D47, 2)</f>
        <v>0.15</v>
      </c>
      <c r="E48" s="15">
        <f t="shared" si="10"/>
        <v>0.11</v>
      </c>
      <c r="F48" s="15">
        <f t="shared" si="10"/>
        <v>0.15</v>
      </c>
      <c r="G48" s="15">
        <f t="shared" si="10"/>
        <v>0.16</v>
      </c>
      <c r="I48" s="41"/>
      <c r="J48" s="42"/>
      <c r="K48" s="42"/>
      <c r="L48" s="43"/>
    </row>
    <row r="49" spans="2:12" ht="15.75" thickTop="1" x14ac:dyDescent="0.25"/>
    <row r="50" spans="2:12" ht="18.75" x14ac:dyDescent="0.25">
      <c r="B50" s="44" t="s">
        <v>162</v>
      </c>
      <c r="C50" s="44"/>
      <c r="D50" s="44"/>
      <c r="E50" s="44"/>
      <c r="F50" s="44"/>
      <c r="G50" s="44"/>
    </row>
    <row r="51" spans="2:12" ht="19.5" thickBot="1" x14ac:dyDescent="0.3">
      <c r="B51" s="12" t="str">
        <f>Income_Statement!B33</f>
        <v>PBIT</v>
      </c>
      <c r="C51" s="13">
        <f>Income_Statement!C33</f>
        <v>6031.195049280318</v>
      </c>
      <c r="D51" s="13">
        <f>Income_Statement!D33</f>
        <v>7155.6484654978767</v>
      </c>
      <c r="E51" s="13">
        <f>Income_Statement!E33</f>
        <v>6168.1339669401723</v>
      </c>
      <c r="F51" s="13">
        <f>Income_Statement!F33</f>
        <v>8751.5328756575291</v>
      </c>
      <c r="G51" s="13">
        <f>Income_Statement!G33</f>
        <v>11813.827761668173</v>
      </c>
    </row>
    <row r="52" spans="2:12" ht="19.5" thickTop="1" x14ac:dyDescent="0.25">
      <c r="B52" s="12" t="str">
        <f>Balance_Sheet!B21</f>
        <v>Total Debt</v>
      </c>
      <c r="C52" s="13">
        <f>Balance_Sheet!C21</f>
        <v>500.09</v>
      </c>
      <c r="D52" s="13">
        <f>Balance_Sheet!D21</f>
        <v>364.15</v>
      </c>
      <c r="E52" s="13">
        <f>Balance_Sheet!E21</f>
        <v>565.57000000000005</v>
      </c>
      <c r="F52" s="13">
        <f>Balance_Sheet!F21</f>
        <v>1994.4699999999998</v>
      </c>
      <c r="G52" s="13">
        <f>Balance_Sheet!G21</f>
        <v>3490.79</v>
      </c>
      <c r="I52" s="35"/>
      <c r="J52" s="36"/>
      <c r="K52" s="36"/>
      <c r="L52" s="37"/>
    </row>
    <row r="53" spans="2:12" ht="18.75" x14ac:dyDescent="0.25">
      <c r="B53" s="12" t="str">
        <f>Balance_Sheet!B13</f>
        <v>Net Worth</v>
      </c>
      <c r="C53" s="13">
        <f>Balance_Sheet!C13</f>
        <v>24417.41</v>
      </c>
      <c r="D53" s="13">
        <f>Balance_Sheet!D13</f>
        <v>26928.458465497875</v>
      </c>
      <c r="E53" s="13">
        <f>Balance_Sheet!E13</f>
        <v>28524.89243243805</v>
      </c>
      <c r="F53" s="13">
        <f>Balance_Sheet!F13</f>
        <v>32323.89530809558</v>
      </c>
      <c r="G53" s="13">
        <f>Balance_Sheet!G13</f>
        <v>40516.413069763752</v>
      </c>
      <c r="I53" s="38"/>
      <c r="J53" s="39"/>
      <c r="K53" s="39"/>
      <c r="L53" s="40"/>
    </row>
    <row r="54" spans="2:12" ht="19.5" thickBot="1" x14ac:dyDescent="0.3">
      <c r="B54" s="14" t="s">
        <v>163</v>
      </c>
      <c r="C54" s="15">
        <f>ROUND(C51/ (C52+ C52), 2)</f>
        <v>6.03</v>
      </c>
      <c r="D54" s="15">
        <f t="shared" ref="D54:G54" si="11">ROUND(D51/ (D52+ D52), 2)</f>
        <v>9.83</v>
      </c>
      <c r="E54" s="15">
        <f t="shared" si="11"/>
        <v>5.45</v>
      </c>
      <c r="F54" s="15">
        <f t="shared" si="11"/>
        <v>2.19</v>
      </c>
      <c r="G54" s="15">
        <f t="shared" si="11"/>
        <v>1.69</v>
      </c>
      <c r="I54" s="41"/>
      <c r="J54" s="42"/>
      <c r="K54" s="42"/>
      <c r="L54" s="43"/>
    </row>
    <row r="55" spans="2:12" ht="15.75" thickTop="1" x14ac:dyDescent="0.25"/>
    <row r="56" spans="2:12" ht="19.5" thickBot="1" x14ac:dyDescent="0.3">
      <c r="B56" s="44" t="s">
        <v>164</v>
      </c>
      <c r="C56" s="44"/>
      <c r="D56" s="44"/>
      <c r="E56" s="44"/>
      <c r="F56" s="44"/>
      <c r="G56" s="44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3765.0550492803177</v>
      </c>
      <c r="D57" s="13">
        <f>Income_Statement!D49</f>
        <v>4558.7984654978773</v>
      </c>
      <c r="E57" s="13">
        <f>Income_Statement!E49</f>
        <v>3549.0939669401728</v>
      </c>
      <c r="F57" s="13">
        <f>Income_Statement!F49</f>
        <v>6086.2728756575298</v>
      </c>
      <c r="G57" s="13">
        <f>Income_Statement!G49</f>
        <v>8192.517761668174</v>
      </c>
      <c r="I57" s="35"/>
      <c r="J57" s="36"/>
      <c r="K57" s="36"/>
      <c r="L57" s="37"/>
    </row>
    <row r="58" spans="2:12" ht="18.75" x14ac:dyDescent="0.25">
      <c r="B58" s="12" t="str">
        <f>Balance_Sheet!B13</f>
        <v>Net Worth</v>
      </c>
      <c r="C58" s="13">
        <f>Balance_Sheet!C13</f>
        <v>24417.41</v>
      </c>
      <c r="D58" s="13">
        <f>Balance_Sheet!D13</f>
        <v>26928.458465497875</v>
      </c>
      <c r="E58" s="13">
        <f>Balance_Sheet!E13</f>
        <v>28524.89243243805</v>
      </c>
      <c r="F58" s="13">
        <f>Balance_Sheet!F13</f>
        <v>32323.89530809558</v>
      </c>
      <c r="G58" s="13">
        <f>Balance_Sheet!G13</f>
        <v>40516.413069763752</v>
      </c>
      <c r="I58" s="38"/>
      <c r="J58" s="39"/>
      <c r="K58" s="39"/>
      <c r="L58" s="40"/>
    </row>
    <row r="59" spans="2:12" ht="19.5" thickBot="1" x14ac:dyDescent="0.3">
      <c r="B59" s="14" t="s">
        <v>165</v>
      </c>
      <c r="C59" s="15">
        <f>ROUND(C57/ (C58+ C58), 2)</f>
        <v>0.08</v>
      </c>
      <c r="D59" s="15">
        <f t="shared" ref="D59:G59" si="12">ROUND(D57/ (D58+ D58), 2)</f>
        <v>0.08</v>
      </c>
      <c r="E59" s="15">
        <f t="shared" si="12"/>
        <v>0.06</v>
      </c>
      <c r="F59" s="15">
        <f t="shared" si="12"/>
        <v>0.09</v>
      </c>
      <c r="G59" s="15">
        <f t="shared" si="12"/>
        <v>0.1</v>
      </c>
      <c r="I59" s="41"/>
      <c r="J59" s="42"/>
      <c r="K59" s="42"/>
      <c r="L59" s="43"/>
    </row>
    <row r="60" spans="2:12" ht="15.75" thickTop="1" x14ac:dyDescent="0.25"/>
    <row r="61" spans="2:12" ht="19.5" thickBot="1" x14ac:dyDescent="0.3">
      <c r="B61" s="44" t="s">
        <v>166</v>
      </c>
      <c r="C61" s="44"/>
      <c r="D61" s="44"/>
      <c r="E61" s="44"/>
      <c r="F61" s="44"/>
      <c r="G61" s="44"/>
    </row>
    <row r="62" spans="2:12" ht="19.5" thickTop="1" x14ac:dyDescent="0.25">
      <c r="B62" s="12" t="str">
        <f>Balance_Sheet!B21</f>
        <v>Total Debt</v>
      </c>
      <c r="C62" s="13">
        <f>Balance_Sheet!C21</f>
        <v>500.09</v>
      </c>
      <c r="D62" s="13">
        <f>Balance_Sheet!D21</f>
        <v>364.15</v>
      </c>
      <c r="E62" s="13">
        <f>Balance_Sheet!E21</f>
        <v>565.57000000000005</v>
      </c>
      <c r="F62" s="13">
        <f>Balance_Sheet!F21</f>
        <v>1994.4699999999998</v>
      </c>
      <c r="G62" s="13">
        <f>Balance_Sheet!G21</f>
        <v>3490.79</v>
      </c>
      <c r="I62" s="35"/>
      <c r="J62" s="36"/>
      <c r="K62" s="36"/>
      <c r="L62" s="37"/>
    </row>
    <row r="63" spans="2:12" ht="18.75" x14ac:dyDescent="0.25">
      <c r="B63" s="12" t="str">
        <f>Balance_Sheet!B13</f>
        <v>Net Worth</v>
      </c>
      <c r="C63" s="13">
        <f>Balance_Sheet!C13</f>
        <v>24417.41</v>
      </c>
      <c r="D63" s="13">
        <f>Balance_Sheet!D13</f>
        <v>26928.458465497875</v>
      </c>
      <c r="E63" s="13">
        <f>Balance_Sheet!E13</f>
        <v>28524.89243243805</v>
      </c>
      <c r="F63" s="13">
        <f>Balance_Sheet!F13</f>
        <v>32323.89530809558</v>
      </c>
      <c r="G63" s="13">
        <f>Balance_Sheet!G13</f>
        <v>40516.413069763752</v>
      </c>
      <c r="I63" s="38"/>
      <c r="J63" s="39"/>
      <c r="K63" s="39"/>
      <c r="L63" s="40"/>
    </row>
    <row r="64" spans="2:12" ht="19.5" thickBot="1" x14ac:dyDescent="0.3">
      <c r="B64" s="14" t="s">
        <v>167</v>
      </c>
      <c r="C64" s="14">
        <f>ROUND(C62/ C63, 2)</f>
        <v>0.02</v>
      </c>
      <c r="D64" s="14">
        <f t="shared" ref="D64:G64" si="13">ROUND(D62/ D63, 2)</f>
        <v>0.01</v>
      </c>
      <c r="E64" s="14">
        <f t="shared" si="13"/>
        <v>0.02</v>
      </c>
      <c r="F64" s="14">
        <f t="shared" si="13"/>
        <v>0.06</v>
      </c>
      <c r="G64" s="14">
        <f t="shared" si="13"/>
        <v>0.09</v>
      </c>
      <c r="I64" s="41"/>
      <c r="J64" s="42"/>
      <c r="K64" s="42"/>
      <c r="L64" s="43"/>
    </row>
    <row r="65" spans="2:12" ht="15.75" thickTop="1" x14ac:dyDescent="0.25"/>
    <row r="66" spans="2:12" ht="19.5" thickBot="1" x14ac:dyDescent="0.3">
      <c r="B66" s="44" t="s">
        <v>168</v>
      </c>
      <c r="C66" s="44"/>
      <c r="D66" s="44"/>
      <c r="E66" s="44"/>
      <c r="F66" s="44"/>
      <c r="G66" s="44"/>
    </row>
    <row r="67" spans="2:12" ht="19.5" thickTop="1" x14ac:dyDescent="0.25">
      <c r="B67" s="12" t="str">
        <f>Balance_Sheet!B72</f>
        <v>Total Current Assets</v>
      </c>
      <c r="C67" s="13">
        <f>Balance_Sheet!C72</f>
        <v>12016.32</v>
      </c>
      <c r="D67" s="13">
        <f>Balance_Sheet!D72</f>
        <v>12958.438465497875</v>
      </c>
      <c r="E67" s="13">
        <f>Balance_Sheet!E72</f>
        <v>12594.292432438049</v>
      </c>
      <c r="F67" s="13">
        <f>Balance_Sheet!F72</f>
        <v>18351.225308095578</v>
      </c>
      <c r="G67" s="13">
        <f>Balance_Sheet!G72</f>
        <v>27546.003069763748</v>
      </c>
      <c r="I67" s="35"/>
      <c r="J67" s="36"/>
      <c r="K67" s="36"/>
      <c r="L67" s="37"/>
    </row>
    <row r="68" spans="2:12" ht="18.75" x14ac:dyDescent="0.25">
      <c r="B68" s="12" t="str">
        <f>Balance_Sheet!B33</f>
        <v>Total Current Liabilities</v>
      </c>
      <c r="C68" s="13">
        <f>Balance_Sheet!C33</f>
        <v>3758.93</v>
      </c>
      <c r="D68" s="13">
        <f>Balance_Sheet!D33</f>
        <v>3469.1899999999996</v>
      </c>
      <c r="E68" s="13">
        <f>Balance_Sheet!E33</f>
        <v>3047.74</v>
      </c>
      <c r="F68" s="13">
        <f>Balance_Sheet!F33</f>
        <v>5037.74</v>
      </c>
      <c r="G68" s="13">
        <f>Balance_Sheet!G33</f>
        <v>6360.43</v>
      </c>
      <c r="I68" s="38"/>
      <c r="J68" s="39"/>
      <c r="K68" s="39"/>
      <c r="L68" s="40"/>
    </row>
    <row r="69" spans="2:12" ht="19.5" thickBot="1" x14ac:dyDescent="0.3">
      <c r="B69" s="14" t="s">
        <v>169</v>
      </c>
      <c r="C69" s="14">
        <f>ROUND(C67/ C68, 2)</f>
        <v>3.2</v>
      </c>
      <c r="D69" s="14">
        <f t="shared" ref="D69:G69" si="14">ROUND(D67/ D68, 2)</f>
        <v>3.74</v>
      </c>
      <c r="E69" s="14">
        <f t="shared" si="14"/>
        <v>4.13</v>
      </c>
      <c r="F69" s="14">
        <f t="shared" si="14"/>
        <v>3.64</v>
      </c>
      <c r="G69" s="14">
        <f t="shared" si="14"/>
        <v>4.33</v>
      </c>
      <c r="I69" s="41"/>
      <c r="J69" s="42"/>
      <c r="K69" s="42"/>
      <c r="L69" s="43"/>
    </row>
    <row r="70" spans="2:12" ht="15.75" thickTop="1" x14ac:dyDescent="0.25"/>
    <row r="71" spans="2:12" ht="18.75" x14ac:dyDescent="0.25">
      <c r="B71" s="44" t="s">
        <v>170</v>
      </c>
      <c r="C71" s="44"/>
      <c r="D71" s="44"/>
      <c r="E71" s="44"/>
      <c r="F71" s="44"/>
      <c r="G71" s="44"/>
    </row>
    <row r="72" spans="2:12" ht="19.5" thickBot="1" x14ac:dyDescent="0.3">
      <c r="B72" s="12" t="str">
        <f>Balance_Sheet!B72</f>
        <v>Total Current Assets</v>
      </c>
      <c r="C72" s="13">
        <f>Balance_Sheet!C72</f>
        <v>12016.32</v>
      </c>
      <c r="D72" s="13">
        <f>Balance_Sheet!D72</f>
        <v>12958.438465497875</v>
      </c>
      <c r="E72" s="13">
        <f>Balance_Sheet!E72</f>
        <v>12594.292432438049</v>
      </c>
      <c r="F72" s="13">
        <f>Balance_Sheet!F72</f>
        <v>18351.225308095578</v>
      </c>
      <c r="G72" s="13">
        <f>Balance_Sheet!G72</f>
        <v>27546.003069763748</v>
      </c>
    </row>
    <row r="73" spans="2:12" ht="19.5" thickTop="1" x14ac:dyDescent="0.25">
      <c r="B73" s="12" t="str">
        <f>Balance_Sheet!B66</f>
        <v>Inventories</v>
      </c>
      <c r="C73" s="13">
        <f>Balance_Sheet!C66</f>
        <v>571.69000000000005</v>
      </c>
      <c r="D73" s="13">
        <f>Balance_Sheet!D66</f>
        <v>666.17</v>
      </c>
      <c r="E73" s="13">
        <f>Balance_Sheet!E66</f>
        <v>723.51</v>
      </c>
      <c r="F73" s="13">
        <f>Balance_Sheet!F66</f>
        <v>921.72</v>
      </c>
      <c r="G73" s="13">
        <f>Balance_Sheet!G66</f>
        <v>2164.9</v>
      </c>
      <c r="I73" s="35"/>
      <c r="J73" s="36"/>
      <c r="K73" s="36"/>
      <c r="L73" s="37"/>
    </row>
    <row r="74" spans="2:12" ht="18.75" x14ac:dyDescent="0.25">
      <c r="B74" s="12" t="str">
        <f>Balance_Sheet!B33</f>
        <v>Total Current Liabilities</v>
      </c>
      <c r="C74" s="13">
        <f>Balance_Sheet!C33</f>
        <v>3758.93</v>
      </c>
      <c r="D74" s="13">
        <f>Balance_Sheet!D33</f>
        <v>3469.1899999999996</v>
      </c>
      <c r="E74" s="13">
        <f>Balance_Sheet!E33</f>
        <v>3047.74</v>
      </c>
      <c r="F74" s="13">
        <f>Balance_Sheet!F33</f>
        <v>5037.74</v>
      </c>
      <c r="G74" s="13">
        <f>Balance_Sheet!G33</f>
        <v>6360.43</v>
      </c>
      <c r="I74" s="38"/>
      <c r="J74" s="39"/>
      <c r="K74" s="39"/>
      <c r="L74" s="40"/>
    </row>
    <row r="75" spans="2:12" ht="19.5" thickBot="1" x14ac:dyDescent="0.3">
      <c r="B75" s="14" t="s">
        <v>171</v>
      </c>
      <c r="C75" s="14">
        <f>ROUND((C72-C73)/ C74, 2)</f>
        <v>3.04</v>
      </c>
      <c r="D75" s="14">
        <f t="shared" ref="D75:G75" si="15">ROUND((D72-D73)/ D74, 2)</f>
        <v>3.54</v>
      </c>
      <c r="E75" s="14">
        <f t="shared" si="15"/>
        <v>3.89</v>
      </c>
      <c r="F75" s="14">
        <f t="shared" si="15"/>
        <v>3.46</v>
      </c>
      <c r="G75" s="14">
        <f t="shared" si="15"/>
        <v>3.99</v>
      </c>
      <c r="I75" s="41"/>
      <c r="J75" s="42"/>
      <c r="K75" s="42"/>
      <c r="L75" s="43"/>
    </row>
    <row r="76" spans="2:12" ht="15.75" thickTop="1" x14ac:dyDescent="0.25"/>
    <row r="77" spans="2:12" ht="19.5" thickBot="1" x14ac:dyDescent="0.3">
      <c r="B77" s="44" t="s">
        <v>172</v>
      </c>
      <c r="C77" s="44"/>
      <c r="D77" s="44"/>
      <c r="E77" s="44"/>
      <c r="F77" s="44"/>
      <c r="G77" s="44"/>
    </row>
    <row r="78" spans="2:12" ht="19.5" thickTop="1" x14ac:dyDescent="0.25">
      <c r="B78" s="12" t="str">
        <f>Income_Statement!B33</f>
        <v>PBIT</v>
      </c>
      <c r="C78" s="13">
        <f>Income_Statement!C33</f>
        <v>6031.195049280318</v>
      </c>
      <c r="D78" s="13">
        <f>Income_Statement!D33</f>
        <v>7155.6484654978767</v>
      </c>
      <c r="E78" s="13">
        <f>Income_Statement!E33</f>
        <v>6168.1339669401723</v>
      </c>
      <c r="F78" s="13">
        <f>Income_Statement!F33</f>
        <v>8751.5328756575291</v>
      </c>
      <c r="G78" s="13">
        <f>Income_Statement!G33</f>
        <v>11813.827761668173</v>
      </c>
      <c r="I78" s="35"/>
      <c r="J78" s="36"/>
      <c r="K78" s="36"/>
      <c r="L78" s="37"/>
    </row>
    <row r="79" spans="2:12" ht="18.75" x14ac:dyDescent="0.25">
      <c r="B79" s="12" t="str">
        <f>Income_Statement!B35</f>
        <v>Finance Costs</v>
      </c>
      <c r="C79" s="13">
        <f>Income_Statement!C35</f>
        <v>37.1</v>
      </c>
      <c r="D79" s="13">
        <f>Income_Statement!D35</f>
        <v>40.32</v>
      </c>
      <c r="E79" s="13">
        <f>Income_Statement!E35</f>
        <v>9.8800000000000008</v>
      </c>
      <c r="F79" s="13">
        <f>Income_Statement!F35</f>
        <v>16.809999999999999</v>
      </c>
      <c r="G79" s="13">
        <f>Income_Statement!G35</f>
        <v>39.06</v>
      </c>
      <c r="I79" s="38"/>
      <c r="J79" s="39"/>
      <c r="K79" s="39"/>
      <c r="L79" s="40"/>
    </row>
    <row r="80" spans="2:12" ht="19.5" thickBot="1" x14ac:dyDescent="0.3">
      <c r="B80" s="14" t="s">
        <v>173</v>
      </c>
      <c r="C80" s="14">
        <f>ROUND(C78/C79, 2)</f>
        <v>162.57</v>
      </c>
      <c r="D80" s="14">
        <f t="shared" ref="D80:G80" si="16">ROUND(D78/D79, 2)</f>
        <v>177.47</v>
      </c>
      <c r="E80" s="14">
        <f t="shared" si="16"/>
        <v>624.30999999999995</v>
      </c>
      <c r="F80" s="14">
        <f t="shared" si="16"/>
        <v>520.61</v>
      </c>
      <c r="G80" s="14">
        <f t="shared" si="16"/>
        <v>302.45</v>
      </c>
      <c r="I80" s="41"/>
      <c r="J80" s="42"/>
      <c r="K80" s="42"/>
      <c r="L80" s="43"/>
    </row>
    <row r="81" spans="2:12" ht="15.75" thickTop="1" x14ac:dyDescent="0.25"/>
    <row r="82" spans="2:12" ht="19.5" thickBot="1" x14ac:dyDescent="0.3">
      <c r="B82" s="44" t="s">
        <v>174</v>
      </c>
      <c r="C82" s="44"/>
      <c r="D82" s="44"/>
      <c r="E82" s="44"/>
      <c r="F82" s="44"/>
      <c r="G82" s="44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386.9</v>
      </c>
      <c r="D83" s="13">
        <f>Income_Statement!D17</f>
        <v>426.42</v>
      </c>
      <c r="E83" s="13">
        <f>Income_Statement!E17</f>
        <v>394.36</v>
      </c>
      <c r="F83" s="13">
        <f>Income_Statement!F17</f>
        <v>410.24</v>
      </c>
      <c r="G83" s="13">
        <f>Income_Statement!G17</f>
        <v>106.95</v>
      </c>
      <c r="I83" s="35"/>
      <c r="J83" s="36"/>
      <c r="K83" s="36"/>
      <c r="L83" s="37"/>
    </row>
    <row r="84" spans="2:12" ht="18.75" x14ac:dyDescent="0.25">
      <c r="B84" s="12" t="str">
        <f>Income_Statement!B9</f>
        <v>Net Sales</v>
      </c>
      <c r="C84" s="13">
        <f>Income_Statement!C9</f>
        <v>11614.16</v>
      </c>
      <c r="D84" s="13">
        <f>Income_Statement!D9</f>
        <v>12152.15</v>
      </c>
      <c r="E84" s="13">
        <f>Income_Statement!E9</f>
        <v>11698.79</v>
      </c>
      <c r="F84" s="13">
        <f>Income_Statement!F9</f>
        <v>15370.05</v>
      </c>
      <c r="G84" s="13">
        <f>Income_Statement!G9</f>
        <v>25881.73</v>
      </c>
      <c r="I84" s="38"/>
      <c r="J84" s="39"/>
      <c r="K84" s="39"/>
      <c r="L84" s="40"/>
    </row>
    <row r="85" spans="2:12" ht="19.5" thickBot="1" x14ac:dyDescent="0.3">
      <c r="B85" s="14" t="s">
        <v>175</v>
      </c>
      <c r="C85" s="14">
        <f>ROUND(C83/C84, 2)</f>
        <v>0.03</v>
      </c>
      <c r="D85" s="14">
        <f t="shared" ref="D85:G85" si="17">ROUND(D83/D84, 2)</f>
        <v>0.04</v>
      </c>
      <c r="E85" s="14">
        <f t="shared" si="17"/>
        <v>0.03</v>
      </c>
      <c r="F85" s="14">
        <f t="shared" si="17"/>
        <v>0.03</v>
      </c>
      <c r="G85" s="14">
        <f t="shared" si="17"/>
        <v>0</v>
      </c>
      <c r="I85" s="41"/>
      <c r="J85" s="42"/>
      <c r="K85" s="42"/>
      <c r="L85" s="43"/>
    </row>
    <row r="86" spans="2:12" ht="15.75" thickTop="1" x14ac:dyDescent="0.25"/>
    <row r="87" spans="2:12" ht="19.5" thickBot="1" x14ac:dyDescent="0.3">
      <c r="B87" s="44" t="s">
        <v>176</v>
      </c>
      <c r="C87" s="44"/>
      <c r="D87" s="44"/>
      <c r="E87" s="44"/>
      <c r="F87" s="44"/>
      <c r="G87" s="44"/>
    </row>
    <row r="88" spans="2:12" ht="19.5" thickTop="1" x14ac:dyDescent="0.25">
      <c r="B88" s="12" t="str">
        <f>Balance_Sheet!B70</f>
        <v>Cash And Cash Equivalents</v>
      </c>
      <c r="C88" s="13">
        <f>Balance_Sheet!C70</f>
        <v>5460.98</v>
      </c>
      <c r="D88" s="13">
        <f>Balance_Sheet!D70</f>
        <v>5876.778465497875</v>
      </c>
      <c r="E88" s="13">
        <f>Balance_Sheet!E70</f>
        <v>3986.7824324380485</v>
      </c>
      <c r="F88" s="13">
        <f>Balance_Sheet!F70</f>
        <v>9249.4853080955781</v>
      </c>
      <c r="G88" s="13">
        <f>Balance_Sheet!G70</f>
        <v>14691.943069763749</v>
      </c>
      <c r="I88" s="35"/>
      <c r="J88" s="36"/>
      <c r="K88" s="36"/>
      <c r="L88" s="37"/>
    </row>
    <row r="89" spans="2:12" ht="18.75" x14ac:dyDescent="0.25">
      <c r="B89" s="12" t="str">
        <f>Income_Statement!B17</f>
        <v>Cost Of Materials Consumed</v>
      </c>
      <c r="C89" s="13">
        <f>Income_Statement!C17</f>
        <v>386.9</v>
      </c>
      <c r="D89" s="13">
        <f>Income_Statement!D17</f>
        <v>426.42</v>
      </c>
      <c r="E89" s="13">
        <f>Income_Statement!E17</f>
        <v>394.36</v>
      </c>
      <c r="F89" s="13">
        <f>Income_Statement!F17</f>
        <v>410.24</v>
      </c>
      <c r="G89" s="13">
        <f>Income_Statement!G17</f>
        <v>106.95</v>
      </c>
      <c r="I89" s="38"/>
      <c r="J89" s="39"/>
      <c r="K89" s="39"/>
      <c r="L89" s="40"/>
    </row>
    <row r="90" spans="2:12" ht="19.5" thickBot="1" x14ac:dyDescent="0.3">
      <c r="B90" s="14" t="s">
        <v>177</v>
      </c>
      <c r="C90" s="14">
        <f>ROUND(C88/C89*365, 2)</f>
        <v>5151.87</v>
      </c>
      <c r="D90" s="14">
        <f t="shared" ref="D90:G90" si="18">ROUND(D88/D89*365, 2)</f>
        <v>5030.3100000000004</v>
      </c>
      <c r="E90" s="14">
        <f t="shared" si="18"/>
        <v>3689.97</v>
      </c>
      <c r="F90" s="14">
        <f t="shared" si="18"/>
        <v>8229.48</v>
      </c>
      <c r="G90" s="14">
        <f t="shared" si="18"/>
        <v>50140.81</v>
      </c>
      <c r="I90" s="41"/>
      <c r="J90" s="42"/>
      <c r="K90" s="42"/>
      <c r="L90" s="43"/>
    </row>
    <row r="91" spans="2:12" ht="15.75" thickTop="1" x14ac:dyDescent="0.25"/>
    <row r="92" spans="2:12" ht="19.5" thickBot="1" x14ac:dyDescent="0.3">
      <c r="B92" s="44" t="s">
        <v>178</v>
      </c>
      <c r="C92" s="44"/>
      <c r="D92" s="44"/>
      <c r="E92" s="44"/>
      <c r="F92" s="44"/>
      <c r="G92" s="44"/>
    </row>
    <row r="93" spans="2:12" ht="19.5" thickTop="1" x14ac:dyDescent="0.25">
      <c r="B93" s="12" t="str">
        <f>Balance_Sheet!B70</f>
        <v>Cash And Cash Equivalents</v>
      </c>
      <c r="C93" s="13">
        <f>Balance_Sheet!C70</f>
        <v>5460.98</v>
      </c>
      <c r="D93" s="13">
        <f>Balance_Sheet!D70</f>
        <v>5876.778465497875</v>
      </c>
      <c r="E93" s="13">
        <f>Balance_Sheet!E70</f>
        <v>3986.7824324380485</v>
      </c>
      <c r="F93" s="13">
        <f>Balance_Sheet!F70</f>
        <v>9249.4853080955781</v>
      </c>
      <c r="G93" s="13">
        <f>Balance_Sheet!G70</f>
        <v>14691.943069763749</v>
      </c>
      <c r="I93" s="35"/>
      <c r="J93" s="36"/>
      <c r="K93" s="36"/>
      <c r="L93" s="37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8"/>
      <c r="J94" s="39"/>
      <c r="K94" s="39"/>
      <c r="L94" s="40"/>
    </row>
    <row r="95" spans="2:12" ht="19.5" thickBot="1" x14ac:dyDescent="0.3">
      <c r="B95" s="14" t="s">
        <v>180</v>
      </c>
      <c r="C95" s="14">
        <f>ROUND(C93/C94*365, 2)</f>
        <v>5460.98</v>
      </c>
      <c r="D95" s="14">
        <f t="shared" ref="D95:G95" si="19">ROUND(D93/D94*365, 2)</f>
        <v>5876.78</v>
      </c>
      <c r="E95" s="14">
        <f t="shared" si="19"/>
        <v>3986.78</v>
      </c>
      <c r="F95" s="14">
        <f t="shared" si="19"/>
        <v>9249.49</v>
      </c>
      <c r="G95" s="14">
        <f t="shared" si="19"/>
        <v>14691.94</v>
      </c>
      <c r="I95" s="41"/>
      <c r="J95" s="42"/>
      <c r="K95" s="42"/>
      <c r="L95" s="43"/>
    </row>
    <row r="96" spans="2:12" ht="15.75" thickTop="1" x14ac:dyDescent="0.25"/>
    <row r="97" spans="2:12" ht="19.5" thickBot="1" x14ac:dyDescent="0.3">
      <c r="B97" s="44" t="s">
        <v>181</v>
      </c>
      <c r="C97" s="44"/>
      <c r="D97" s="44"/>
      <c r="E97" s="44"/>
      <c r="F97" s="44"/>
      <c r="G97" s="44"/>
    </row>
    <row r="98" spans="2:12" ht="19.5" thickTop="1" x14ac:dyDescent="0.25">
      <c r="B98" s="12" t="str">
        <f>Income_Statement!B5</f>
        <v>Gross Sales</v>
      </c>
      <c r="C98" s="13">
        <f>Income_Statement!C5</f>
        <v>11614.17</v>
      </c>
      <c r="D98" s="13">
        <f>Income_Statement!D5</f>
        <v>12152.15</v>
      </c>
      <c r="E98" s="13">
        <f>Income_Statement!E5</f>
        <v>11698.79</v>
      </c>
      <c r="F98" s="13">
        <f>Income_Statement!F5</f>
        <v>15370.05</v>
      </c>
      <c r="G98" s="13">
        <f>Income_Statement!G5</f>
        <v>25881.73</v>
      </c>
      <c r="I98" s="35"/>
      <c r="J98" s="36"/>
      <c r="K98" s="36"/>
      <c r="L98" s="37"/>
    </row>
    <row r="99" spans="2:12" ht="18.75" x14ac:dyDescent="0.25">
      <c r="B99" s="12" t="str">
        <f>Balance_Sheet!B74</f>
        <v>Total Assets</v>
      </c>
      <c r="C99" s="13">
        <f>Balance_Sheet!C74</f>
        <v>28691.32</v>
      </c>
      <c r="D99" s="13">
        <f>Balance_Sheet!D74</f>
        <v>30775.688465497875</v>
      </c>
      <c r="E99" s="13">
        <f>Balance_Sheet!E74</f>
        <v>32146.25243243805</v>
      </c>
      <c r="F99" s="13">
        <f>Balance_Sheet!F74</f>
        <v>39369.645308095576</v>
      </c>
      <c r="G99" s="13">
        <f>Balance_Sheet!G74</f>
        <v>50381.08306976375</v>
      </c>
      <c r="I99" s="38"/>
      <c r="J99" s="39"/>
      <c r="K99" s="39"/>
      <c r="L99" s="40"/>
    </row>
    <row r="100" spans="2:12" ht="19.5" thickBot="1" x14ac:dyDescent="0.3">
      <c r="B100" s="14" t="s">
        <v>182</v>
      </c>
      <c r="C100" s="14">
        <f>ROUND(C98/C99, 2)</f>
        <v>0.4</v>
      </c>
      <c r="D100" s="14">
        <f t="shared" ref="D100:G100" si="20">ROUND(D98/D99, 2)</f>
        <v>0.39</v>
      </c>
      <c r="E100" s="14">
        <f t="shared" si="20"/>
        <v>0.36</v>
      </c>
      <c r="F100" s="14">
        <f t="shared" si="20"/>
        <v>0.39</v>
      </c>
      <c r="G100" s="14">
        <f t="shared" si="20"/>
        <v>0.51</v>
      </c>
      <c r="I100" s="41"/>
      <c r="J100" s="42"/>
      <c r="K100" s="42"/>
      <c r="L100" s="43"/>
    </row>
    <row r="101" spans="2:12" ht="15.75" thickTop="1" x14ac:dyDescent="0.25"/>
    <row r="102" spans="2:12" ht="19.5" thickBot="1" x14ac:dyDescent="0.3">
      <c r="B102" s="44" t="s">
        <v>183</v>
      </c>
      <c r="C102" s="44"/>
      <c r="D102" s="44"/>
      <c r="E102" s="44"/>
      <c r="F102" s="44"/>
      <c r="G102" s="44"/>
    </row>
    <row r="103" spans="2:12" ht="19.5" thickTop="1" x14ac:dyDescent="0.25">
      <c r="B103" s="12" t="str">
        <f>Income_Statement!B5</f>
        <v>Gross Sales</v>
      </c>
      <c r="C103" s="13">
        <f>Income_Statement!C5</f>
        <v>11614.17</v>
      </c>
      <c r="D103" s="13">
        <f>Income_Statement!D5</f>
        <v>12152.15</v>
      </c>
      <c r="E103" s="13">
        <f>Income_Statement!E5</f>
        <v>11698.79</v>
      </c>
      <c r="F103" s="13">
        <f>Income_Statement!F5</f>
        <v>15370.05</v>
      </c>
      <c r="G103" s="13">
        <f>Income_Statement!G5</f>
        <v>25881.73</v>
      </c>
      <c r="I103" s="35"/>
      <c r="J103" s="36"/>
      <c r="K103" s="36"/>
      <c r="L103" s="37"/>
    </row>
    <row r="104" spans="2:12" ht="18.75" x14ac:dyDescent="0.25">
      <c r="B104" s="12" t="str">
        <f>Balance_Sheet!B66</f>
        <v>Inventories</v>
      </c>
      <c r="C104" s="13">
        <f>Balance_Sheet!C66</f>
        <v>571.69000000000005</v>
      </c>
      <c r="D104" s="13">
        <f>Balance_Sheet!D66</f>
        <v>666.17</v>
      </c>
      <c r="E104" s="13">
        <f>Balance_Sheet!E66</f>
        <v>723.51</v>
      </c>
      <c r="F104" s="13">
        <f>Balance_Sheet!F66</f>
        <v>921.72</v>
      </c>
      <c r="G104" s="13">
        <f>Balance_Sheet!G66</f>
        <v>2164.9</v>
      </c>
      <c r="I104" s="38"/>
      <c r="J104" s="39"/>
      <c r="K104" s="39"/>
      <c r="L104" s="40"/>
    </row>
    <row r="105" spans="2:12" ht="19.5" thickBot="1" x14ac:dyDescent="0.3">
      <c r="B105" s="14" t="s">
        <v>184</v>
      </c>
      <c r="C105" s="14">
        <f>ROUND(C103/C104, 2)</f>
        <v>20.32</v>
      </c>
      <c r="D105" s="14">
        <f t="shared" ref="D105:G105" si="21">ROUND(D103/D104, 2)</f>
        <v>18.239999999999998</v>
      </c>
      <c r="E105" s="14">
        <f t="shared" si="21"/>
        <v>16.170000000000002</v>
      </c>
      <c r="F105" s="14">
        <f t="shared" si="21"/>
        <v>16.68</v>
      </c>
      <c r="G105" s="14">
        <f t="shared" si="21"/>
        <v>11.96</v>
      </c>
      <c r="I105" s="41"/>
      <c r="J105" s="42"/>
      <c r="K105" s="42"/>
      <c r="L105" s="43"/>
    </row>
    <row r="106" spans="2:12" ht="15.75" thickTop="1" x14ac:dyDescent="0.25"/>
    <row r="107" spans="2:12" ht="19.5" thickBot="1" x14ac:dyDescent="0.3">
      <c r="B107" s="44" t="s">
        <v>185</v>
      </c>
      <c r="C107" s="44"/>
      <c r="D107" s="44"/>
      <c r="E107" s="44"/>
      <c r="F107" s="44"/>
      <c r="G107" s="44"/>
    </row>
    <row r="108" spans="2:12" ht="19.5" thickTop="1" x14ac:dyDescent="0.25">
      <c r="B108" s="12" t="str">
        <f>Income_Statement!B5</f>
        <v>Gross Sales</v>
      </c>
      <c r="C108" s="13">
        <f>Income_Statement!C5</f>
        <v>11614.17</v>
      </c>
      <c r="D108" s="13">
        <f>Income_Statement!D5</f>
        <v>12152.15</v>
      </c>
      <c r="E108" s="13">
        <f>Income_Statement!E5</f>
        <v>11698.79</v>
      </c>
      <c r="F108" s="13">
        <f>Income_Statement!F5</f>
        <v>15370.05</v>
      </c>
      <c r="G108" s="13">
        <f>Income_Statement!G5</f>
        <v>25881.73</v>
      </c>
      <c r="I108" s="35"/>
      <c r="J108" s="36"/>
      <c r="K108" s="36"/>
      <c r="L108" s="37"/>
    </row>
    <row r="109" spans="2:12" ht="18.75" x14ac:dyDescent="0.25">
      <c r="B109" s="12" t="str">
        <f>Balance_Sheet!B68</f>
        <v>Trade Receivables</v>
      </c>
      <c r="C109" s="13">
        <f>Balance_Sheet!C68</f>
        <v>1472.74</v>
      </c>
      <c r="D109" s="13">
        <f>Balance_Sheet!D68</f>
        <v>1424.51</v>
      </c>
      <c r="E109" s="13">
        <f>Balance_Sheet!E68</f>
        <v>2223.71</v>
      </c>
      <c r="F109" s="13">
        <f>Balance_Sheet!F68</f>
        <v>2139.89</v>
      </c>
      <c r="G109" s="13">
        <f>Balance_Sheet!G68</f>
        <v>2954.3</v>
      </c>
      <c r="I109" s="38"/>
      <c r="J109" s="39"/>
      <c r="K109" s="39"/>
      <c r="L109" s="40"/>
    </row>
    <row r="110" spans="2:12" ht="19.5" thickBot="1" x14ac:dyDescent="0.3">
      <c r="B110" s="14" t="s">
        <v>186</v>
      </c>
      <c r="C110" s="14">
        <f>ROUND(C108/C109, 2)</f>
        <v>7.89</v>
      </c>
      <c r="D110" s="14">
        <f t="shared" ref="D110:G110" si="22">ROUND(D108/D109, 2)</f>
        <v>8.5299999999999994</v>
      </c>
      <c r="E110" s="14">
        <f t="shared" si="22"/>
        <v>5.26</v>
      </c>
      <c r="F110" s="14">
        <f t="shared" si="22"/>
        <v>7.18</v>
      </c>
      <c r="G110" s="14">
        <f t="shared" si="22"/>
        <v>8.76</v>
      </c>
      <c r="I110" s="41"/>
      <c r="J110" s="42"/>
      <c r="K110" s="42"/>
      <c r="L110" s="43"/>
    </row>
    <row r="111" spans="2:12" ht="15.75" thickTop="1" x14ac:dyDescent="0.25"/>
    <row r="112" spans="2:12" ht="19.5" thickBot="1" x14ac:dyDescent="0.3">
      <c r="B112" s="44" t="s">
        <v>187</v>
      </c>
      <c r="C112" s="44"/>
      <c r="D112" s="44"/>
      <c r="E112" s="44"/>
      <c r="F112" s="44"/>
      <c r="G112" s="44"/>
    </row>
    <row r="113" spans="2:12" ht="19.5" thickTop="1" x14ac:dyDescent="0.25">
      <c r="B113" s="12" t="str">
        <f>Income_Statement!B5</f>
        <v>Gross Sales</v>
      </c>
      <c r="C113" s="13">
        <f>Income_Statement!C5</f>
        <v>11614.17</v>
      </c>
      <c r="D113" s="13">
        <f>Income_Statement!D5</f>
        <v>12152.15</v>
      </c>
      <c r="E113" s="13">
        <f>Income_Statement!E5</f>
        <v>11698.79</v>
      </c>
      <c r="F113" s="13">
        <f>Income_Statement!F5</f>
        <v>15370.05</v>
      </c>
      <c r="G113" s="13">
        <f>Income_Statement!G5</f>
        <v>25881.73</v>
      </c>
      <c r="I113" s="35"/>
      <c r="J113" s="36"/>
      <c r="K113" s="36"/>
      <c r="L113" s="37"/>
    </row>
    <row r="114" spans="2:12" ht="18.75" x14ac:dyDescent="0.25">
      <c r="B114" s="12" t="str">
        <f>Balance_Sheet!B40</f>
        <v>Tangible Assets</v>
      </c>
      <c r="C114" s="13">
        <f>Balance_Sheet!C40</f>
        <v>3149.61</v>
      </c>
      <c r="D114" s="13">
        <f>Balance_Sheet!D40</f>
        <v>3198.51</v>
      </c>
      <c r="E114" s="13">
        <f>Balance_Sheet!E40</f>
        <v>3260.95</v>
      </c>
      <c r="F114" s="13">
        <f>Balance_Sheet!F40</f>
        <v>3320.95</v>
      </c>
      <c r="G114" s="13">
        <f>Balance_Sheet!G40</f>
        <v>23030.38</v>
      </c>
      <c r="I114" s="38"/>
      <c r="J114" s="39"/>
      <c r="K114" s="39"/>
      <c r="L114" s="40"/>
    </row>
    <row r="115" spans="2:12" ht="19.5" thickBot="1" x14ac:dyDescent="0.3">
      <c r="B115" s="14" t="s">
        <v>188</v>
      </c>
      <c r="C115" s="14">
        <f>ROUND(C113/C114, 2)</f>
        <v>3.69</v>
      </c>
      <c r="D115" s="14">
        <f t="shared" ref="D115:G115" si="23">ROUND(D113/D114, 2)</f>
        <v>3.8</v>
      </c>
      <c r="E115" s="14">
        <f t="shared" si="23"/>
        <v>3.59</v>
      </c>
      <c r="F115" s="14">
        <f t="shared" si="23"/>
        <v>4.63</v>
      </c>
      <c r="G115" s="14">
        <f t="shared" si="23"/>
        <v>1.1200000000000001</v>
      </c>
      <c r="I115" s="41"/>
      <c r="J115" s="42"/>
      <c r="K115" s="42"/>
      <c r="L115" s="43"/>
    </row>
    <row r="116" spans="2:12" ht="15.75" thickTop="1" x14ac:dyDescent="0.25"/>
    <row r="117" spans="2:12" ht="19.5" thickBot="1" x14ac:dyDescent="0.3">
      <c r="B117" s="44" t="s">
        <v>189</v>
      </c>
      <c r="C117" s="44"/>
      <c r="D117" s="44"/>
      <c r="E117" s="44"/>
      <c r="F117" s="44"/>
      <c r="G117" s="44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386.9</v>
      </c>
      <c r="D118" s="13">
        <f>Income_Statement!D17</f>
        <v>426.42</v>
      </c>
      <c r="E118" s="13">
        <f>Income_Statement!E17</f>
        <v>394.36</v>
      </c>
      <c r="F118" s="13">
        <f>Income_Statement!F17</f>
        <v>410.24</v>
      </c>
      <c r="G118" s="13">
        <f>Income_Statement!G17</f>
        <v>106.95</v>
      </c>
      <c r="I118" s="35"/>
      <c r="J118" s="36"/>
      <c r="K118" s="36"/>
      <c r="L118" s="37"/>
    </row>
    <row r="119" spans="2:12" ht="18.75" x14ac:dyDescent="0.25">
      <c r="B119" s="12" t="str">
        <f>Balance_Sheet!B33</f>
        <v>Total Current Liabilities</v>
      </c>
      <c r="C119" s="13">
        <f>Balance_Sheet!C33</f>
        <v>3758.93</v>
      </c>
      <c r="D119" s="13">
        <f>Balance_Sheet!D33</f>
        <v>3469.1899999999996</v>
      </c>
      <c r="E119" s="13">
        <f>Balance_Sheet!E33</f>
        <v>3047.74</v>
      </c>
      <c r="F119" s="13">
        <f>Balance_Sheet!F33</f>
        <v>5037.74</v>
      </c>
      <c r="G119" s="13">
        <f>Balance_Sheet!G33</f>
        <v>6360.43</v>
      </c>
      <c r="I119" s="38"/>
      <c r="J119" s="39"/>
      <c r="K119" s="39"/>
      <c r="L119" s="40"/>
    </row>
    <row r="120" spans="2:12" ht="19.5" thickBot="1" x14ac:dyDescent="0.3">
      <c r="B120" s="14" t="s">
        <v>190</v>
      </c>
      <c r="C120" s="14">
        <f>ROUND(C118/C119, 2)</f>
        <v>0.1</v>
      </c>
      <c r="D120" s="14">
        <f t="shared" ref="D120:G120" si="24">ROUND(D118/D119, 2)</f>
        <v>0.12</v>
      </c>
      <c r="E120" s="14">
        <f t="shared" si="24"/>
        <v>0.13</v>
      </c>
      <c r="F120" s="14">
        <f t="shared" si="24"/>
        <v>0.08</v>
      </c>
      <c r="G120" s="14">
        <f t="shared" si="24"/>
        <v>0.02</v>
      </c>
      <c r="I120" s="41"/>
      <c r="J120" s="42"/>
      <c r="K120" s="42"/>
      <c r="L120" s="43"/>
    </row>
    <row r="121" spans="2:12" ht="15.75" thickTop="1" x14ac:dyDescent="0.25"/>
    <row r="122" spans="2:12" ht="19.5" thickBot="1" x14ac:dyDescent="0.3">
      <c r="B122" s="44" t="s">
        <v>191</v>
      </c>
      <c r="C122" s="44"/>
      <c r="D122" s="44"/>
      <c r="E122" s="44"/>
      <c r="F122" s="44"/>
      <c r="G122" s="44"/>
    </row>
    <row r="123" spans="2:12" ht="19.5" thickTop="1" x14ac:dyDescent="0.25">
      <c r="B123" s="12" t="str">
        <f>Income_Statement!B5</f>
        <v>Gross Sales</v>
      </c>
      <c r="C123" s="13">
        <f>Income_Statement!C5</f>
        <v>11614.17</v>
      </c>
      <c r="D123" s="13">
        <f>Income_Statement!D5</f>
        <v>12152.15</v>
      </c>
      <c r="E123" s="13">
        <f>Income_Statement!E5</f>
        <v>11698.79</v>
      </c>
      <c r="F123" s="13">
        <f>Income_Statement!F5</f>
        <v>15370.05</v>
      </c>
      <c r="G123" s="13">
        <f>Income_Statement!G5</f>
        <v>25881.73</v>
      </c>
      <c r="I123" s="35"/>
      <c r="J123" s="36"/>
      <c r="K123" s="36"/>
      <c r="L123" s="37"/>
    </row>
    <row r="124" spans="2:12" ht="18.75" x14ac:dyDescent="0.25">
      <c r="B124" s="12" t="str">
        <f>Balance_Sheet!B66</f>
        <v>Inventories</v>
      </c>
      <c r="C124" s="13">
        <f>Balance_Sheet!C66</f>
        <v>571.69000000000005</v>
      </c>
      <c r="D124" s="13">
        <f>Balance_Sheet!D66</f>
        <v>666.17</v>
      </c>
      <c r="E124" s="13">
        <f>Balance_Sheet!E66</f>
        <v>723.51</v>
      </c>
      <c r="F124" s="13">
        <f>Balance_Sheet!F66</f>
        <v>921.72</v>
      </c>
      <c r="G124" s="13">
        <f>Balance_Sheet!G66</f>
        <v>2164.9</v>
      </c>
      <c r="I124" s="38"/>
      <c r="J124" s="39"/>
      <c r="K124" s="39"/>
      <c r="L124" s="40"/>
    </row>
    <row r="125" spans="2:12" ht="19.5" thickBot="1" x14ac:dyDescent="0.3">
      <c r="B125" s="14" t="s">
        <v>192</v>
      </c>
      <c r="C125" s="14">
        <f>ROUND(365/C123*C124, 2)</f>
        <v>17.97</v>
      </c>
      <c r="D125" s="14">
        <f t="shared" ref="D125:G125" si="25">ROUND(365/D123*D124, 2)</f>
        <v>20.010000000000002</v>
      </c>
      <c r="E125" s="14">
        <f t="shared" si="25"/>
        <v>22.57</v>
      </c>
      <c r="F125" s="14">
        <f t="shared" si="25"/>
        <v>21.89</v>
      </c>
      <c r="G125" s="14">
        <f t="shared" si="25"/>
        <v>30.53</v>
      </c>
      <c r="I125" s="41"/>
      <c r="J125" s="42"/>
      <c r="K125" s="42"/>
      <c r="L125" s="43"/>
    </row>
    <row r="126" spans="2:12" ht="15.75" thickTop="1" x14ac:dyDescent="0.25"/>
    <row r="127" spans="2:12" ht="19.5" thickBot="1" x14ac:dyDescent="0.3">
      <c r="B127" s="44" t="s">
        <v>193</v>
      </c>
      <c r="C127" s="44"/>
      <c r="D127" s="44"/>
      <c r="E127" s="44"/>
      <c r="F127" s="44"/>
      <c r="G127" s="44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386.9</v>
      </c>
      <c r="D128" s="13">
        <f>Income_Statement!D17</f>
        <v>426.42</v>
      </c>
      <c r="E128" s="13">
        <f>Income_Statement!E17</f>
        <v>394.36</v>
      </c>
      <c r="F128" s="13">
        <f>Income_Statement!F17</f>
        <v>410.24</v>
      </c>
      <c r="G128" s="13">
        <f>Income_Statement!G17</f>
        <v>106.95</v>
      </c>
      <c r="I128" s="35"/>
      <c r="J128" s="36"/>
      <c r="K128" s="36"/>
      <c r="L128" s="37"/>
    </row>
    <row r="129" spans="2:12" ht="18.75" x14ac:dyDescent="0.25">
      <c r="B129" s="12" t="str">
        <f>Balance_Sheet!B33</f>
        <v>Total Current Liabilities</v>
      </c>
      <c r="C129" s="13">
        <f>Balance_Sheet!C33</f>
        <v>3758.93</v>
      </c>
      <c r="D129" s="13">
        <f>Balance_Sheet!D33</f>
        <v>3469.1899999999996</v>
      </c>
      <c r="E129" s="13">
        <f>Balance_Sheet!E33</f>
        <v>3047.74</v>
      </c>
      <c r="F129" s="13">
        <f>Balance_Sheet!F33</f>
        <v>5037.74</v>
      </c>
      <c r="G129" s="13">
        <f>Balance_Sheet!G33</f>
        <v>6360.43</v>
      </c>
      <c r="I129" s="38"/>
      <c r="J129" s="39"/>
      <c r="K129" s="39"/>
      <c r="L129" s="40"/>
    </row>
    <row r="130" spans="2:12" ht="19.5" thickBot="1" x14ac:dyDescent="0.3">
      <c r="B130" s="14" t="s">
        <v>194</v>
      </c>
      <c r="C130" s="14">
        <f>ROUND(365/C128*C129, 2)</f>
        <v>3546.16</v>
      </c>
      <c r="D130" s="14">
        <f t="shared" ref="D130:G130" si="26">ROUND(365/D128*D129, 2)</f>
        <v>2969.5</v>
      </c>
      <c r="E130" s="14">
        <f t="shared" si="26"/>
        <v>2820.84</v>
      </c>
      <c r="F130" s="14">
        <f t="shared" si="26"/>
        <v>4482.1899999999996</v>
      </c>
      <c r="G130" s="14">
        <f t="shared" si="26"/>
        <v>21706.94</v>
      </c>
      <c r="I130" s="41"/>
      <c r="J130" s="42"/>
      <c r="K130" s="42"/>
      <c r="L130" s="43"/>
    </row>
    <row r="131" spans="2:12" ht="15.75" thickTop="1" x14ac:dyDescent="0.25"/>
    <row r="132" spans="2:12" ht="19.5" thickBot="1" x14ac:dyDescent="0.3">
      <c r="B132" s="44" t="s">
        <v>195</v>
      </c>
      <c r="C132" s="44"/>
      <c r="D132" s="44"/>
      <c r="E132" s="44"/>
      <c r="F132" s="44"/>
      <c r="G132" s="44"/>
    </row>
    <row r="133" spans="2:12" ht="19.5" thickTop="1" x14ac:dyDescent="0.25">
      <c r="B133" s="12" t="str">
        <f>Income_Statement!B5</f>
        <v>Gross Sales</v>
      </c>
      <c r="C133" s="13">
        <f>Income_Statement!C5</f>
        <v>11614.17</v>
      </c>
      <c r="D133" s="13">
        <f>Income_Statement!D5</f>
        <v>12152.15</v>
      </c>
      <c r="E133" s="13">
        <f>Income_Statement!E5</f>
        <v>11698.79</v>
      </c>
      <c r="F133" s="13">
        <f>Income_Statement!F5</f>
        <v>15370.05</v>
      </c>
      <c r="G133" s="13">
        <f>Income_Statement!G5</f>
        <v>25881.73</v>
      </c>
      <c r="I133" s="35"/>
      <c r="J133" s="36"/>
      <c r="K133" s="36"/>
      <c r="L133" s="37"/>
    </row>
    <row r="134" spans="2:12" ht="18.75" x14ac:dyDescent="0.25">
      <c r="B134" s="12" t="str">
        <f>Balance_Sheet!B68</f>
        <v>Trade Receivables</v>
      </c>
      <c r="C134" s="13">
        <f>Balance_Sheet!C68</f>
        <v>1472.74</v>
      </c>
      <c r="D134" s="13">
        <f>Balance_Sheet!D68</f>
        <v>1424.51</v>
      </c>
      <c r="E134" s="13">
        <f>Balance_Sheet!E68</f>
        <v>2223.71</v>
      </c>
      <c r="F134" s="13">
        <f>Balance_Sheet!F68</f>
        <v>2139.89</v>
      </c>
      <c r="G134" s="13">
        <f>Balance_Sheet!G68</f>
        <v>2954.3</v>
      </c>
      <c r="I134" s="38"/>
      <c r="J134" s="39"/>
      <c r="K134" s="39"/>
      <c r="L134" s="40"/>
    </row>
    <row r="135" spans="2:12" ht="19.5" thickBot="1" x14ac:dyDescent="0.3">
      <c r="B135" s="14" t="s">
        <v>196</v>
      </c>
      <c r="C135" s="14">
        <f>ROUND(365/C133*C134, 2)</f>
        <v>46.28</v>
      </c>
      <c r="D135" s="14">
        <f t="shared" ref="D135:G135" si="27">ROUND(365/D133*D134, 2)</f>
        <v>42.79</v>
      </c>
      <c r="E135" s="14">
        <f t="shared" si="27"/>
        <v>69.38</v>
      </c>
      <c r="F135" s="14">
        <f t="shared" si="27"/>
        <v>50.82</v>
      </c>
      <c r="G135" s="14">
        <f t="shared" si="27"/>
        <v>41.66</v>
      </c>
      <c r="I135" s="41"/>
      <c r="J135" s="42"/>
      <c r="K135" s="42"/>
      <c r="L135" s="43"/>
    </row>
    <row r="136" spans="2:12" ht="15.75" thickTop="1" x14ac:dyDescent="0.25"/>
    <row r="137" spans="2:12" ht="18.75" x14ac:dyDescent="0.25">
      <c r="B137" s="44" t="s">
        <v>197</v>
      </c>
      <c r="C137" s="44"/>
      <c r="D137" s="44"/>
      <c r="E137" s="44"/>
      <c r="F137" s="44"/>
      <c r="G137" s="44"/>
    </row>
    <row r="138" spans="2:12" ht="18.75" x14ac:dyDescent="0.25">
      <c r="B138" s="12" t="str">
        <f>Income_Statement!B5</f>
        <v>Gross Sales</v>
      </c>
      <c r="C138" s="13">
        <f>Income_Statement!C5</f>
        <v>11614.17</v>
      </c>
      <c r="D138" s="13">
        <f>Income_Statement!D5</f>
        <v>12152.15</v>
      </c>
      <c r="E138" s="13">
        <f>Income_Statement!E5</f>
        <v>11698.79</v>
      </c>
      <c r="F138" s="13">
        <f>Income_Statement!F5</f>
        <v>15370.05</v>
      </c>
      <c r="G138" s="13">
        <f>Income_Statement!G5</f>
        <v>25881.73</v>
      </c>
    </row>
    <row r="139" spans="2:12" ht="18.75" x14ac:dyDescent="0.25">
      <c r="B139" s="12" t="str">
        <f>Balance_Sheet!B66</f>
        <v>Inventories</v>
      </c>
      <c r="C139" s="13">
        <f>Balance_Sheet!C66</f>
        <v>571.69000000000005</v>
      </c>
      <c r="D139" s="13">
        <f>Balance_Sheet!D66</f>
        <v>666.17</v>
      </c>
      <c r="E139" s="13">
        <f>Balance_Sheet!E66</f>
        <v>723.51</v>
      </c>
      <c r="F139" s="13">
        <f>Balance_Sheet!F66</f>
        <v>921.72</v>
      </c>
      <c r="G139" s="13">
        <f>Balance_Sheet!G66</f>
        <v>2164.9</v>
      </c>
    </row>
    <row r="140" spans="2:12" ht="18.75" x14ac:dyDescent="0.25">
      <c r="B140" s="12" t="s">
        <v>192</v>
      </c>
      <c r="C140" s="13">
        <f>ROUND(365/C138*C139, 2)</f>
        <v>17.97</v>
      </c>
      <c r="D140" s="13">
        <f t="shared" ref="D140:G140" si="28">ROUND(365/D138*D139, 2)</f>
        <v>20.010000000000002</v>
      </c>
      <c r="E140" s="13">
        <f t="shared" si="28"/>
        <v>22.57</v>
      </c>
      <c r="F140" s="13">
        <f t="shared" si="28"/>
        <v>21.89</v>
      </c>
      <c r="G140" s="13">
        <f t="shared" si="28"/>
        <v>30.53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386.9</v>
      </c>
      <c r="D141" s="13">
        <f>Income_Statement!D17</f>
        <v>426.42</v>
      </c>
      <c r="E141" s="13">
        <f>Income_Statement!E17</f>
        <v>394.36</v>
      </c>
      <c r="F141" s="13">
        <f>Income_Statement!F17</f>
        <v>410.24</v>
      </c>
      <c r="G141" s="13">
        <f>Income_Statement!G17</f>
        <v>106.95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3758.93</v>
      </c>
      <c r="D142" s="13">
        <f>Balance_Sheet!D33</f>
        <v>3469.1899999999996</v>
      </c>
      <c r="E142" s="13">
        <f>Balance_Sheet!E33</f>
        <v>3047.74</v>
      </c>
      <c r="F142" s="13">
        <f>Balance_Sheet!F33</f>
        <v>5037.74</v>
      </c>
      <c r="G142" s="13">
        <f>Balance_Sheet!G33</f>
        <v>6360.43</v>
      </c>
      <c r="I142" s="35"/>
      <c r="J142" s="36"/>
      <c r="K142" s="36"/>
      <c r="L142" s="37"/>
    </row>
    <row r="143" spans="2:12" ht="18.75" x14ac:dyDescent="0.25">
      <c r="B143" s="12" t="s">
        <v>194</v>
      </c>
      <c r="C143" s="13">
        <f>ROUND(365/C141*C142, 2)</f>
        <v>3546.16</v>
      </c>
      <c r="D143" s="13">
        <f t="shared" ref="D143:G143" si="29">ROUND(365/D141*D142, 2)</f>
        <v>2969.5</v>
      </c>
      <c r="E143" s="13">
        <f t="shared" si="29"/>
        <v>2820.84</v>
      </c>
      <c r="F143" s="13">
        <f t="shared" si="29"/>
        <v>4482.1899999999996</v>
      </c>
      <c r="G143" s="13">
        <f t="shared" si="29"/>
        <v>21706.94</v>
      </c>
      <c r="I143" s="38"/>
      <c r="J143" s="39"/>
      <c r="K143" s="39"/>
      <c r="L143" s="40"/>
    </row>
    <row r="144" spans="2:12" ht="19.5" thickBot="1" x14ac:dyDescent="0.3">
      <c r="B144" s="14" t="s">
        <v>198</v>
      </c>
      <c r="C144" s="16">
        <f>ROUND(C143+C140, 2)</f>
        <v>3564.13</v>
      </c>
      <c r="D144" s="16">
        <f t="shared" ref="D144:G144" si="30">ROUND(D143+D140, 2)</f>
        <v>2989.51</v>
      </c>
      <c r="E144" s="16">
        <f t="shared" si="30"/>
        <v>2843.41</v>
      </c>
      <c r="F144" s="16">
        <f t="shared" si="30"/>
        <v>4504.08</v>
      </c>
      <c r="G144" s="16">
        <f t="shared" si="30"/>
        <v>21737.47</v>
      </c>
      <c r="I144" s="41"/>
      <c r="J144" s="42"/>
      <c r="K144" s="42"/>
      <c r="L144" s="43"/>
    </row>
    <row r="145" spans="2:12" ht="15.75" thickTop="1" x14ac:dyDescent="0.25"/>
    <row r="146" spans="2:12" ht="18.75" x14ac:dyDescent="0.25">
      <c r="B146" s="44" t="s">
        <v>199</v>
      </c>
      <c r="C146" s="44"/>
      <c r="D146" s="44"/>
      <c r="E146" s="44"/>
      <c r="F146" s="44"/>
      <c r="G146" s="44"/>
    </row>
    <row r="147" spans="2:12" ht="18.75" x14ac:dyDescent="0.25">
      <c r="B147" s="12" t="str">
        <f>Income_Statement!B5</f>
        <v>Gross Sales</v>
      </c>
      <c r="C147" s="13">
        <f>Income_Statement!C5</f>
        <v>11614.17</v>
      </c>
      <c r="D147" s="13">
        <f>Income_Statement!D5</f>
        <v>12152.15</v>
      </c>
      <c r="E147" s="13">
        <f>Income_Statement!E5</f>
        <v>11698.79</v>
      </c>
      <c r="F147" s="13">
        <f>Income_Statement!F5</f>
        <v>15370.05</v>
      </c>
      <c r="G147" s="13">
        <f>Income_Statement!G5</f>
        <v>25881.73</v>
      </c>
    </row>
    <row r="148" spans="2:12" ht="18.75" x14ac:dyDescent="0.25">
      <c r="B148" s="12" t="str">
        <f>Balance_Sheet!B66</f>
        <v>Inventories</v>
      </c>
      <c r="C148" s="13">
        <f>Balance_Sheet!C66</f>
        <v>571.69000000000005</v>
      </c>
      <c r="D148" s="13">
        <f>Balance_Sheet!D66</f>
        <v>666.17</v>
      </c>
      <c r="E148" s="13">
        <f>Balance_Sheet!E66</f>
        <v>723.51</v>
      </c>
      <c r="F148" s="13">
        <f>Balance_Sheet!F66</f>
        <v>921.72</v>
      </c>
      <c r="G148" s="13">
        <f>Balance_Sheet!G66</f>
        <v>2164.9</v>
      </c>
    </row>
    <row r="149" spans="2:12" ht="18.75" x14ac:dyDescent="0.25">
      <c r="B149" s="12" t="s">
        <v>192</v>
      </c>
      <c r="C149" s="13">
        <f>ROUND(365/C147*C148, 2)</f>
        <v>17.97</v>
      </c>
      <c r="D149" s="13">
        <f t="shared" ref="D149:G149" si="31">ROUND(365/D147*D148, 2)</f>
        <v>20.010000000000002</v>
      </c>
      <c r="E149" s="13">
        <f t="shared" si="31"/>
        <v>22.57</v>
      </c>
      <c r="F149" s="13">
        <f t="shared" si="31"/>
        <v>21.89</v>
      </c>
      <c r="G149" s="13">
        <f t="shared" si="31"/>
        <v>30.53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386.9</v>
      </c>
      <c r="D150" s="13">
        <f>Income_Statement!D17</f>
        <v>426.42</v>
      </c>
      <c r="E150" s="13">
        <f>Income_Statement!E17</f>
        <v>394.36</v>
      </c>
      <c r="F150" s="13">
        <f>Income_Statement!F17</f>
        <v>410.24</v>
      </c>
      <c r="G150" s="13">
        <f>Income_Statement!G17</f>
        <v>106.95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3758.93</v>
      </c>
      <c r="D151" s="13">
        <f>Balance_Sheet!D33</f>
        <v>3469.1899999999996</v>
      </c>
      <c r="E151" s="13">
        <f>Balance_Sheet!E33</f>
        <v>3047.74</v>
      </c>
      <c r="F151" s="13">
        <f>Balance_Sheet!F33</f>
        <v>5037.74</v>
      </c>
      <c r="G151" s="13">
        <f>Balance_Sheet!G33</f>
        <v>6360.43</v>
      </c>
    </row>
    <row r="152" spans="2:12" ht="18.75" x14ac:dyDescent="0.25">
      <c r="B152" s="12" t="s">
        <v>194</v>
      </c>
      <c r="C152" s="13">
        <f>ROUND(365/C150*C151, 2)</f>
        <v>3546.16</v>
      </c>
      <c r="D152" s="13">
        <f t="shared" ref="D152:G152" si="32">ROUND(365/D150*D151, 2)</f>
        <v>2969.5</v>
      </c>
      <c r="E152" s="13">
        <f t="shared" si="32"/>
        <v>2820.84</v>
      </c>
      <c r="F152" s="13">
        <f t="shared" si="32"/>
        <v>4482.1899999999996</v>
      </c>
      <c r="G152" s="13">
        <f t="shared" si="32"/>
        <v>21706.94</v>
      </c>
    </row>
    <row r="153" spans="2:12" ht="18.75" x14ac:dyDescent="0.25">
      <c r="B153" s="12" t="s">
        <v>200</v>
      </c>
      <c r="C153" s="13">
        <f>ROUND(C152+C149, 2)</f>
        <v>3564.13</v>
      </c>
      <c r="D153" s="13">
        <f t="shared" ref="D153:G153" si="33">ROUND(D152+D149, 2)</f>
        <v>2989.51</v>
      </c>
      <c r="E153" s="13">
        <f t="shared" si="33"/>
        <v>2843.41</v>
      </c>
      <c r="F153" s="13">
        <f t="shared" si="33"/>
        <v>4504.08</v>
      </c>
      <c r="G153" s="13">
        <f t="shared" si="33"/>
        <v>21737.47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386.9</v>
      </c>
      <c r="D154" s="13">
        <f>Income_Statement!D17</f>
        <v>426.42</v>
      </c>
      <c r="E154" s="13">
        <f>Income_Statement!E17</f>
        <v>394.36</v>
      </c>
      <c r="F154" s="13">
        <f>Income_Statement!F17</f>
        <v>410.24</v>
      </c>
      <c r="G154" s="13">
        <f>Income_Statement!G17</f>
        <v>106.95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3758.93</v>
      </c>
      <c r="D155" s="13">
        <f>Balance_Sheet!D33</f>
        <v>3469.1899999999996</v>
      </c>
      <c r="E155" s="13">
        <f>Balance_Sheet!E33</f>
        <v>3047.74</v>
      </c>
      <c r="F155" s="13">
        <f>Balance_Sheet!F33</f>
        <v>5037.74</v>
      </c>
      <c r="G155" s="13">
        <f>Balance_Sheet!G33</f>
        <v>6360.43</v>
      </c>
      <c r="I155" s="35"/>
      <c r="J155" s="36"/>
      <c r="K155" s="36"/>
      <c r="L155" s="37"/>
    </row>
    <row r="156" spans="2:12" ht="18.75" x14ac:dyDescent="0.25">
      <c r="B156" s="12" t="s">
        <v>194</v>
      </c>
      <c r="C156" s="13">
        <f>ROUND(365/C154*C155, 2)</f>
        <v>3546.16</v>
      </c>
      <c r="D156" s="13">
        <f t="shared" ref="D156:G156" si="34">ROUND(365/D154*D155, 2)</f>
        <v>2969.5</v>
      </c>
      <c r="E156" s="13">
        <f t="shared" si="34"/>
        <v>2820.84</v>
      </c>
      <c r="F156" s="13">
        <f t="shared" si="34"/>
        <v>4482.1899999999996</v>
      </c>
      <c r="G156" s="13">
        <f t="shared" si="34"/>
        <v>21706.94</v>
      </c>
      <c r="I156" s="38"/>
      <c r="J156" s="39"/>
      <c r="K156" s="39"/>
      <c r="L156" s="40"/>
    </row>
    <row r="157" spans="2:12" ht="19.5" thickBot="1" x14ac:dyDescent="0.3">
      <c r="B157" s="14" t="s">
        <v>201</v>
      </c>
      <c r="C157" s="16">
        <f>ROUND(C156-C153, 2)</f>
        <v>-17.97</v>
      </c>
      <c r="D157" s="16">
        <f t="shared" ref="D157:G157" si="35">ROUND(D156-D153, 2)</f>
        <v>-20.010000000000002</v>
      </c>
      <c r="E157" s="16">
        <f t="shared" si="35"/>
        <v>-22.57</v>
      </c>
      <c r="F157" s="16">
        <f t="shared" si="35"/>
        <v>-21.89</v>
      </c>
      <c r="G157" s="16">
        <f t="shared" si="35"/>
        <v>-30.53</v>
      </c>
      <c r="I157" s="41"/>
      <c r="J157" s="42"/>
      <c r="K157" s="42"/>
      <c r="L157" s="43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07CE2202-F8F5-491B-B77E-9F215CD31BD0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B17FED47-5D45-4D97-A873-F66659CFCDD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BCA605FC-5DE0-491D-8C49-6F3092CA2B9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D75DE64A-A030-48D3-8BAD-6A11A057319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914BC54F-7B9B-4E94-AEED-7BA2E65996A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5900B110-E51D-4958-A22D-5C38F4EBCFE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36C36084-003E-4990-AAA4-C261208688C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BC3EF481-2A47-4BA6-BB76-C0E1B5ED6C5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A96B2A7E-F374-48E4-BE8B-30C218F23BD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DF90C2C8-E578-4DC7-A82A-E6FFFB91EA3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9D3F91EE-48DB-42AC-8C1E-E1396B295E8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0FDBED65-ABCA-4A9D-914A-0E563A9685B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193CE559-7883-4D51-AE67-ECCAE6F3612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145FE9AF-810B-4A06-93AA-83AD0E9707E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010C7AC3-B1C2-4BB4-B452-9B1D130CAF9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43496080-31D8-4541-ADFE-9539B17CE48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077F7B0F-30AA-46E5-B327-29927A4C4EF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8E8D615B-5065-46E5-88A0-F51F4DE4F12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9302F86D-DB6E-4945-A414-45752FDF73C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7FB801BF-9D87-4495-A626-72C4CD73A3A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5A986CDB-6D16-4C50-984B-9CC5885C0D8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C687DEB7-B4D7-4420-97A8-18C1465CBF5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667DA2FD-B7C9-4477-81AA-5D944491410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6E33E343-0293-49CA-B984-49ADA46B2BF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E44909F4-B3BD-4DAC-A5D7-DE7986C49C4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FE3CF083-CEF4-472F-A4FF-72057F1D4B7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67F0DDFD-AEA3-4C64-BF0D-F658F1D375C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00D7E60E-6A7B-4947-AB5C-30B06AAA95E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B3829-C9DB-4AEA-B7C0-CD0A7365B80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145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3765.0550492803177</v>
      </c>
      <c r="D6" s="13">
        <f>Income_Statement!D49</f>
        <v>4558.7984654978773</v>
      </c>
      <c r="E6" s="13">
        <f>Income_Statement!E49</f>
        <v>3549.0939669401728</v>
      </c>
      <c r="F6" s="13">
        <f>Income_Statement!F49</f>
        <v>6086.2728756575298</v>
      </c>
      <c r="G6" s="13">
        <f>Income_Statement!G49</f>
        <v>8192.517761668174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313.75458744002646</v>
      </c>
      <c r="D7" s="13">
        <f>Income_Statement!D61</f>
        <v>303.9198976998585</v>
      </c>
      <c r="E7" s="13">
        <f>Income_Statement!E61</f>
        <v>295.75783057834775</v>
      </c>
      <c r="F7" s="13">
        <f>Income_Statement!F61</f>
        <v>289.82251788845377</v>
      </c>
      <c r="G7" s="13">
        <f>Income_Statement!G61</f>
        <v>256.01618005213044</v>
      </c>
    </row>
    <row r="8" spans="2:15" ht="18.75" x14ac:dyDescent="0.25">
      <c r="B8" s="14" t="s">
        <v>146</v>
      </c>
      <c r="C8" s="14">
        <f>ROUND(C6/C7, 2)</f>
        <v>12</v>
      </c>
      <c r="D8" s="14">
        <f t="shared" ref="D8:G8" si="0">ROUND(D6/D7, 2)</f>
        <v>15</v>
      </c>
      <c r="E8" s="14">
        <f t="shared" si="0"/>
        <v>12</v>
      </c>
      <c r="F8" s="14">
        <f t="shared" si="0"/>
        <v>21</v>
      </c>
      <c r="G8" s="14">
        <f t="shared" si="0"/>
        <v>32</v>
      </c>
    </row>
  </sheetData>
  <mergeCells count="1">
    <mergeCell ref="B5:G5"/>
  </mergeCells>
  <hyperlinks>
    <hyperlink ref="F1" location="Index_Data!A1" tooltip="Hi click here To return Index page" display="Index_Data!A1" xr:uid="{0D708653-761C-4663-B163-360368EE063F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B0E43-9C70-4AE3-90B6-739AE41DDFB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10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147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1676.86</v>
      </c>
      <c r="D6" s="13">
        <f>Income_Statement!D51</f>
        <v>1690.14</v>
      </c>
      <c r="E6" s="13">
        <f>Income_Statement!E51</f>
        <v>1619.72</v>
      </c>
      <c r="F6" s="13">
        <f>Income_Statement!F51</f>
        <v>2274.15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313.75458744002646</v>
      </c>
      <c r="D7" s="13">
        <f>Income_Statement!D61</f>
        <v>303.9198976998585</v>
      </c>
      <c r="E7" s="13">
        <f>Income_Statement!E61</f>
        <v>295.75783057834775</v>
      </c>
      <c r="F7" s="13">
        <f>Income_Statement!F61</f>
        <v>289.82251788845377</v>
      </c>
      <c r="G7" s="13">
        <f>Income_Statement!G61</f>
        <v>256.01618005213044</v>
      </c>
    </row>
    <row r="8" spans="2:15" ht="18.75" x14ac:dyDescent="0.25">
      <c r="B8" s="14" t="s">
        <v>148</v>
      </c>
      <c r="C8" s="14">
        <f>ROUND(C6/C7, 2)</f>
        <v>5.34</v>
      </c>
      <c r="D8" s="14">
        <f t="shared" ref="D8:G8" si="0">ROUND(D6/D7, 2)</f>
        <v>5.56</v>
      </c>
      <c r="E8" s="14">
        <f t="shared" si="0"/>
        <v>5.48</v>
      </c>
      <c r="F8" s="14">
        <f t="shared" si="0"/>
        <v>7.85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7B302E5D-AD55-417F-A2BA-277895203AC8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2022-07-03T11:29:24Z</dcterms:created>
  <dcterms:modified xsi:type="dcterms:W3CDTF">2022-07-04T08:19:07Z</dcterms:modified>
</cp:coreProperties>
</file>