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43E6954A-11ED-40D2-8EFA-BB85223086BB}" xr6:coauthVersionLast="47" xr6:coauthVersionMax="47" xr10:uidLastSave="{00000000-0000-0000-0000-000000000000}"/>
  <bookViews>
    <workbookView xWindow="-120" yWindow="-120" windowWidth="20730" windowHeight="11160" firstSheet="2" activeTab="2" xr2:uid="{A8462BCD-2BF1-4894-88BE-EF714621852D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K13" i="4" s="1"/>
  <c r="K14" i="4" s="1"/>
  <c r="L11" i="4"/>
  <c r="L13" i="4" s="1"/>
  <c r="L14" i="4" s="1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L26" i="5" s="1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I46" i="5" s="1"/>
  <c r="I47" i="5" s="1"/>
  <c r="J35" i="3"/>
  <c r="K35" i="3"/>
  <c r="L35" i="3"/>
  <c r="H35" i="3"/>
  <c r="H46" i="5" s="1"/>
  <c r="H47" i="5" s="1"/>
  <c r="I63" i="3"/>
  <c r="J63" i="3" s="1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L7" i="5" s="1"/>
  <c r="L10" i="5" s="1"/>
  <c r="H31" i="3"/>
  <c r="H44" i="4" s="1"/>
  <c r="I62" i="3"/>
  <c r="J62" i="3" s="1"/>
  <c r="K62" i="3" s="1"/>
  <c r="L62" i="3" s="1"/>
  <c r="H62" i="3"/>
  <c r="D62" i="3"/>
  <c r="E62" i="3"/>
  <c r="F62" i="3"/>
  <c r="G62" i="3"/>
  <c r="C62" i="3"/>
  <c r="L47" i="5"/>
  <c r="J46" i="5"/>
  <c r="J47" i="5" s="1"/>
  <c r="K46" i="5"/>
  <c r="K47" i="5" s="1"/>
  <c r="L46" i="5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J10" i="5" s="1"/>
  <c r="K8" i="5"/>
  <c r="L8" i="5"/>
  <c r="H7" i="5"/>
  <c r="I7" i="5"/>
  <c r="J7" i="5"/>
  <c r="K7" i="5"/>
  <c r="K10" i="5" s="1"/>
  <c r="K66" i="4"/>
  <c r="L66" i="4"/>
  <c r="H66" i="4"/>
  <c r="I67" i="4"/>
  <c r="J67" i="4" s="1"/>
  <c r="K67" i="4" s="1"/>
  <c r="L67" i="4" s="1"/>
  <c r="H67" i="4"/>
  <c r="H64" i="4"/>
  <c r="I65" i="4"/>
  <c r="J65" i="4" s="1"/>
  <c r="K65" i="4" s="1"/>
  <c r="L65" i="4" s="1"/>
  <c r="L64" i="4" s="1"/>
  <c r="H65" i="4"/>
  <c r="H62" i="4"/>
  <c r="I63" i="4"/>
  <c r="I62" i="4" s="1"/>
  <c r="H63" i="4"/>
  <c r="H58" i="4"/>
  <c r="I59" i="4"/>
  <c r="I58" i="4" s="1"/>
  <c r="J59" i="4"/>
  <c r="J58" i="4" s="1"/>
  <c r="K59" i="4"/>
  <c r="K58" i="4" s="1"/>
  <c r="L59" i="4"/>
  <c r="L58" i="4" s="1"/>
  <c r="H59" i="4"/>
  <c r="H56" i="4"/>
  <c r="I57" i="4"/>
  <c r="I56" i="4" s="1"/>
  <c r="H57" i="4"/>
  <c r="L52" i="4"/>
  <c r="H52" i="4"/>
  <c r="I53" i="4"/>
  <c r="J53" i="4" s="1"/>
  <c r="K53" i="4" s="1"/>
  <c r="L53" i="4" s="1"/>
  <c r="H53" i="4"/>
  <c r="L50" i="4"/>
  <c r="H50" i="4"/>
  <c r="I51" i="4"/>
  <c r="J51" i="4" s="1"/>
  <c r="K51" i="4" s="1"/>
  <c r="L51" i="4" s="1"/>
  <c r="H51" i="4"/>
  <c r="K48" i="4"/>
  <c r="L48" i="4"/>
  <c r="H48" i="4"/>
  <c r="I49" i="4"/>
  <c r="J49" i="4" s="1"/>
  <c r="K49" i="4" s="1"/>
  <c r="L49" i="4" s="1"/>
  <c r="H49" i="4"/>
  <c r="H42" i="4"/>
  <c r="I43" i="4"/>
  <c r="I42" i="4" s="1"/>
  <c r="H43" i="4"/>
  <c r="H40" i="4"/>
  <c r="I41" i="4"/>
  <c r="I40" i="4" s="1"/>
  <c r="H41" i="4"/>
  <c r="H35" i="4"/>
  <c r="I36" i="4"/>
  <c r="I35" i="4" s="1"/>
  <c r="H36" i="4"/>
  <c r="H33" i="4"/>
  <c r="H34" i="4" s="1"/>
  <c r="L31" i="4"/>
  <c r="H31" i="4"/>
  <c r="I32" i="4"/>
  <c r="J32" i="4" s="1"/>
  <c r="K32" i="4" s="1"/>
  <c r="L32" i="4" s="1"/>
  <c r="H32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H25" i="4"/>
  <c r="I26" i="4"/>
  <c r="I25" i="4" s="1"/>
  <c r="H26" i="4"/>
  <c r="L23" i="4"/>
  <c r="H23" i="4"/>
  <c r="I24" i="4"/>
  <c r="J24" i="4" s="1"/>
  <c r="K24" i="4" s="1"/>
  <c r="L24" i="4" s="1"/>
  <c r="H24" i="4"/>
  <c r="H21" i="4"/>
  <c r="I22" i="4"/>
  <c r="I21" i="4" s="1"/>
  <c r="H22" i="4"/>
  <c r="L19" i="4"/>
  <c r="H19" i="4"/>
  <c r="I20" i="4"/>
  <c r="J20" i="4" s="1"/>
  <c r="K20" i="4" s="1"/>
  <c r="L20" i="4" s="1"/>
  <c r="H20" i="4"/>
  <c r="L17" i="4"/>
  <c r="H17" i="4"/>
  <c r="I18" i="4"/>
  <c r="J18" i="4" s="1"/>
  <c r="K18" i="4" s="1"/>
  <c r="L18" i="4" s="1"/>
  <c r="H18" i="4"/>
  <c r="K15" i="4"/>
  <c r="L15" i="4"/>
  <c r="H15" i="4"/>
  <c r="I16" i="4"/>
  <c r="J16" i="4" s="1"/>
  <c r="K16" i="4" s="1"/>
  <c r="L16" i="4" s="1"/>
  <c r="H16" i="4"/>
  <c r="H13" i="4"/>
  <c r="I13" i="4"/>
  <c r="I14" i="4" s="1"/>
  <c r="J13" i="4"/>
  <c r="H14" i="4"/>
  <c r="J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/>
  <c r="K8" i="4" s="1"/>
  <c r="L8" i="4" s="1"/>
  <c r="H8" i="4"/>
  <c r="I5" i="4"/>
  <c r="J5" i="4" s="1"/>
  <c r="K5" i="4" s="1"/>
  <c r="L5" i="4" s="1"/>
  <c r="H5" i="4"/>
  <c r="I6" i="4"/>
  <c r="J6" i="4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I68" i="4"/>
  <c r="H68" i="4"/>
  <c r="I69" i="4"/>
  <c r="J69" i="4" s="1"/>
  <c r="H69" i="4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H43" i="3"/>
  <c r="I44" i="3"/>
  <c r="I43" i="3" s="1"/>
  <c r="H44" i="3"/>
  <c r="L39" i="3"/>
  <c r="H39" i="3"/>
  <c r="I40" i="3"/>
  <c r="J40" i="3" s="1"/>
  <c r="K40" i="3" s="1"/>
  <c r="L40" i="3" s="1"/>
  <c r="H40" i="3"/>
  <c r="H33" i="3"/>
  <c r="H34" i="3" s="1"/>
  <c r="I33" i="3"/>
  <c r="J33" i="3"/>
  <c r="J37" i="3" s="1"/>
  <c r="K33" i="3"/>
  <c r="K34" i="3" s="1"/>
  <c r="I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H21" i="3"/>
  <c r="I22" i="3"/>
  <c r="I21" i="3" s="1"/>
  <c r="H22" i="3"/>
  <c r="H19" i="3"/>
  <c r="I20" i="3"/>
  <c r="I19" i="3" s="1"/>
  <c r="H20" i="3"/>
  <c r="H17" i="3"/>
  <c r="I18" i="3"/>
  <c r="I17" i="3" s="1"/>
  <c r="H18" i="3"/>
  <c r="H15" i="3"/>
  <c r="I15" i="3"/>
  <c r="J15" i="3"/>
  <c r="K15" i="3"/>
  <c r="K16" i="3" s="1"/>
  <c r="L15" i="3"/>
  <c r="H16" i="3"/>
  <c r="I16" i="3"/>
  <c r="J16" i="3"/>
  <c r="L16" i="3"/>
  <c r="L13" i="3"/>
  <c r="H13" i="3"/>
  <c r="I14" i="3"/>
  <c r="J14" i="3" s="1"/>
  <c r="K14" i="3" s="1"/>
  <c r="L14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H7" i="3"/>
  <c r="I8" i="3"/>
  <c r="I7" i="3" s="1"/>
  <c r="J8" i="3"/>
  <c r="J7" i="3" s="1"/>
  <c r="K8" i="3"/>
  <c r="L8" i="3" s="1"/>
  <c r="L7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G7" i="47"/>
  <c r="G10" i="47" s="1"/>
  <c r="G16" i="47" s="1"/>
  <c r="G17" i="47" s="1"/>
  <c r="G19" i="47" s="1"/>
  <c r="G21" i="47" s="1"/>
  <c r="G23" i="47" s="1"/>
  <c r="G25" i="47" s="1"/>
  <c r="G27" i="47" s="1"/>
  <c r="F7" i="47"/>
  <c r="F10" i="47" s="1"/>
  <c r="F16" i="47" s="1"/>
  <c r="F17" i="47" s="1"/>
  <c r="F19" i="47" s="1"/>
  <c r="F21" i="47" s="1"/>
  <c r="F23" i="47" s="1"/>
  <c r="F25" i="47" s="1"/>
  <c r="F27" i="47" s="1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F7" i="5"/>
  <c r="F10" i="5" s="1"/>
  <c r="G7" i="5"/>
  <c r="G10" i="5" s="1"/>
  <c r="D7" i="5"/>
  <c r="D10" i="5" s="1"/>
  <c r="D33" i="4"/>
  <c r="D10" i="33" s="1"/>
  <c r="E33" i="4"/>
  <c r="F33" i="4"/>
  <c r="F7" i="30" s="1"/>
  <c r="G33" i="4"/>
  <c r="G151" i="6" s="1"/>
  <c r="D21" i="4"/>
  <c r="D52" i="6" s="1"/>
  <c r="E21" i="4"/>
  <c r="F21" i="4"/>
  <c r="F6" i="17" s="1"/>
  <c r="G21" i="4"/>
  <c r="G6" i="17" s="1"/>
  <c r="D9" i="4"/>
  <c r="E9" i="4"/>
  <c r="F9" i="4"/>
  <c r="G9" i="4"/>
  <c r="C72" i="4"/>
  <c r="C6" i="18" s="1"/>
  <c r="C46" i="4"/>
  <c r="C54" i="4" s="1"/>
  <c r="C33" i="4"/>
  <c r="C21" i="4"/>
  <c r="C6" i="17" s="1"/>
  <c r="C9" i="4"/>
  <c r="C13" i="4" s="1"/>
  <c r="D25" i="3"/>
  <c r="D26" i="3" s="1"/>
  <c r="E25" i="3"/>
  <c r="E26" i="3" s="1"/>
  <c r="F25" i="3"/>
  <c r="F26" i="3" s="1"/>
  <c r="G25" i="3"/>
  <c r="G5" i="44" s="1"/>
  <c r="D9" i="3"/>
  <c r="D10" i="3" s="1"/>
  <c r="E9" i="3"/>
  <c r="E7" i="21" s="1"/>
  <c r="F9" i="3"/>
  <c r="F10" i="3" s="1"/>
  <c r="G9" i="3"/>
  <c r="G7" i="21" s="1"/>
  <c r="C25" i="3"/>
  <c r="C5" i="44" s="1"/>
  <c r="C9" i="3"/>
  <c r="C7" i="21" s="1"/>
  <c r="H37" i="4" l="1"/>
  <c r="H38" i="4" s="1"/>
  <c r="I37" i="3"/>
  <c r="I10" i="5"/>
  <c r="H10" i="5"/>
  <c r="I41" i="3"/>
  <c r="I38" i="3"/>
  <c r="J41" i="3"/>
  <c r="J38" i="3"/>
  <c r="J34" i="3"/>
  <c r="L33" i="3"/>
  <c r="K37" i="3"/>
  <c r="I44" i="4"/>
  <c r="I46" i="4" s="1"/>
  <c r="I47" i="4" s="1"/>
  <c r="H45" i="4"/>
  <c r="H37" i="3"/>
  <c r="H46" i="4"/>
  <c r="H54" i="4"/>
  <c r="H55" i="4" s="1"/>
  <c r="H47" i="4"/>
  <c r="J68" i="4"/>
  <c r="K69" i="4"/>
  <c r="J66" i="4"/>
  <c r="I66" i="4"/>
  <c r="K64" i="4"/>
  <c r="J64" i="4"/>
  <c r="I64" i="4"/>
  <c r="J63" i="4"/>
  <c r="J57" i="4"/>
  <c r="K52" i="4"/>
  <c r="J52" i="4"/>
  <c r="I52" i="4"/>
  <c r="K50" i="4"/>
  <c r="J50" i="4"/>
  <c r="I50" i="4"/>
  <c r="J48" i="4"/>
  <c r="I48" i="4"/>
  <c r="J43" i="4"/>
  <c r="J41" i="4"/>
  <c r="J36" i="4"/>
  <c r="K31" i="4"/>
  <c r="J31" i="4"/>
  <c r="I31" i="4"/>
  <c r="K29" i="4"/>
  <c r="J29" i="4"/>
  <c r="I29" i="4"/>
  <c r="K27" i="4"/>
  <c r="J27" i="4"/>
  <c r="I27" i="4"/>
  <c r="J26" i="4"/>
  <c r="K23" i="4"/>
  <c r="J23" i="4"/>
  <c r="I23" i="4"/>
  <c r="I33" i="4" s="1"/>
  <c r="I34" i="4" s="1"/>
  <c r="J22" i="4"/>
  <c r="K19" i="4"/>
  <c r="J19" i="4"/>
  <c r="I19" i="4"/>
  <c r="K17" i="4"/>
  <c r="J17" i="4"/>
  <c r="I17" i="4"/>
  <c r="J15" i="4"/>
  <c r="I15" i="4"/>
  <c r="K80" i="4"/>
  <c r="L80" i="4" s="1"/>
  <c r="K53" i="3"/>
  <c r="J53" i="3"/>
  <c r="I53" i="3"/>
  <c r="K51" i="3"/>
  <c r="J51" i="3"/>
  <c r="I51" i="3"/>
  <c r="J44" i="3"/>
  <c r="K39" i="3"/>
  <c r="J39" i="3"/>
  <c r="I39" i="3"/>
  <c r="K23" i="3"/>
  <c r="J23" i="3"/>
  <c r="I23" i="3"/>
  <c r="J22" i="3"/>
  <c r="J20" i="3"/>
  <c r="J18" i="3"/>
  <c r="K13" i="3"/>
  <c r="J13" i="3"/>
  <c r="I13" i="3"/>
  <c r="K11" i="3"/>
  <c r="J11" i="3"/>
  <c r="I11" i="3"/>
  <c r="K7" i="3"/>
  <c r="I6" i="3"/>
  <c r="K5" i="3"/>
  <c r="G26" i="3"/>
  <c r="C26" i="3"/>
  <c r="E10" i="5"/>
  <c r="F8" i="12"/>
  <c r="F8" i="30"/>
  <c r="E8" i="12"/>
  <c r="C8" i="21"/>
  <c r="D11" i="33"/>
  <c r="E105" i="6"/>
  <c r="E110" i="6"/>
  <c r="E115" i="6"/>
  <c r="D125" i="6"/>
  <c r="G135" i="6"/>
  <c r="C135" i="6"/>
  <c r="G140" i="6"/>
  <c r="C140" i="6"/>
  <c r="F149" i="6"/>
  <c r="E8" i="33"/>
  <c r="G10" i="3"/>
  <c r="G15" i="3" s="1"/>
  <c r="G16" i="3" s="1"/>
  <c r="E10" i="3"/>
  <c r="E15" i="3" s="1"/>
  <c r="E16" i="3" s="1"/>
  <c r="E8" i="25"/>
  <c r="E8" i="26"/>
  <c r="C10" i="3"/>
  <c r="C15" i="3" s="1"/>
  <c r="C16" i="3" s="1"/>
  <c r="D15" i="3"/>
  <c r="E38" i="6"/>
  <c r="C8" i="22"/>
  <c r="D8" i="12"/>
  <c r="C90" i="6"/>
  <c r="G8" i="33"/>
  <c r="C8" i="33"/>
  <c r="G38" i="6"/>
  <c r="C38" i="6"/>
  <c r="G84" i="6"/>
  <c r="G85" i="6" s="1"/>
  <c r="G8" i="12"/>
  <c r="C8" i="12"/>
  <c r="G7" i="13"/>
  <c r="G8" i="13" s="1"/>
  <c r="E8" i="27"/>
  <c r="D8" i="29"/>
  <c r="G8" i="31"/>
  <c r="C8" i="31"/>
  <c r="G8" i="32"/>
  <c r="C8" i="32"/>
  <c r="G105" i="6"/>
  <c r="C105" i="6"/>
  <c r="G110" i="6"/>
  <c r="C110" i="6"/>
  <c r="G115" i="6"/>
  <c r="C115" i="6"/>
  <c r="F125" i="6"/>
  <c r="E135" i="6"/>
  <c r="E140" i="6"/>
  <c r="D149" i="6"/>
  <c r="F8" i="33"/>
  <c r="G8" i="25"/>
  <c r="C8" i="25"/>
  <c r="G8" i="26"/>
  <c r="C8" i="26"/>
  <c r="G8" i="27"/>
  <c r="C8" i="27"/>
  <c r="F8" i="29"/>
  <c r="E8" i="31"/>
  <c r="E8" i="32"/>
  <c r="F7" i="21"/>
  <c r="F8" i="21" s="1"/>
  <c r="F84" i="6"/>
  <c r="F85" i="6" s="1"/>
  <c r="F15" i="3"/>
  <c r="F16" i="3" s="1"/>
  <c r="E7" i="13"/>
  <c r="E8" i="13" s="1"/>
  <c r="E5" i="44"/>
  <c r="F38" i="6"/>
  <c r="G42" i="6"/>
  <c r="G43" i="6" s="1"/>
  <c r="E84" i="6"/>
  <c r="E85" i="6" s="1"/>
  <c r="C7" i="13"/>
  <c r="C8" i="13" s="1"/>
  <c r="G8" i="21"/>
  <c r="F7" i="13"/>
  <c r="F8" i="13" s="1"/>
  <c r="F42" i="6"/>
  <c r="F43" i="6" s="1"/>
  <c r="E42" i="6"/>
  <c r="E43" i="6" s="1"/>
  <c r="C84" i="6"/>
  <c r="C85" i="6" s="1"/>
  <c r="F5" i="44"/>
  <c r="D7" i="21"/>
  <c r="D8" i="21" s="1"/>
  <c r="D84" i="6"/>
  <c r="D85" i="6" s="1"/>
  <c r="D7" i="13"/>
  <c r="D8" i="13" s="1"/>
  <c r="D42" i="6"/>
  <c r="D43" i="6" s="1"/>
  <c r="D5" i="44"/>
  <c r="D38" i="6"/>
  <c r="C42" i="6"/>
  <c r="C43" i="6" s="1"/>
  <c r="E8" i="21"/>
  <c r="D105" i="6"/>
  <c r="D110" i="6"/>
  <c r="D115" i="6"/>
  <c r="G125" i="6"/>
  <c r="C125" i="6"/>
  <c r="F135" i="6"/>
  <c r="F140" i="6"/>
  <c r="E149" i="6"/>
  <c r="D8" i="25"/>
  <c r="D8" i="26"/>
  <c r="D8" i="27"/>
  <c r="G8" i="29"/>
  <c r="C8" i="29"/>
  <c r="F8" i="31"/>
  <c r="F8" i="32"/>
  <c r="F105" i="6"/>
  <c r="F110" i="6"/>
  <c r="F115" i="6"/>
  <c r="E125" i="6"/>
  <c r="D135" i="6"/>
  <c r="D140" i="6"/>
  <c r="G149" i="6"/>
  <c r="C149" i="6"/>
  <c r="F8" i="25"/>
  <c r="F8" i="26"/>
  <c r="F8" i="27"/>
  <c r="E8" i="29"/>
  <c r="D8" i="31"/>
  <c r="D8" i="32"/>
  <c r="D8" i="33"/>
  <c r="E35" i="47"/>
  <c r="E30" i="47"/>
  <c r="F35" i="47"/>
  <c r="F30" i="47"/>
  <c r="C35" i="47"/>
  <c r="C30" i="47"/>
  <c r="G35" i="47"/>
  <c r="G30" i="47"/>
  <c r="D30" i="47"/>
  <c r="D35" i="47"/>
  <c r="D46" i="4"/>
  <c r="G35" i="5"/>
  <c r="E35" i="5"/>
  <c r="F35" i="5"/>
  <c r="G47" i="5"/>
  <c r="E47" i="5"/>
  <c r="F47" i="5"/>
  <c r="G62" i="6"/>
  <c r="G68" i="6"/>
  <c r="C62" i="6"/>
  <c r="C72" i="6"/>
  <c r="G129" i="6"/>
  <c r="G130" i="6" s="1"/>
  <c r="F44" i="4"/>
  <c r="E46" i="4"/>
  <c r="C14" i="33"/>
  <c r="C15" i="33" s="1"/>
  <c r="C7" i="30"/>
  <c r="C8" i="30" s="1"/>
  <c r="C7" i="18"/>
  <c r="C8" i="18" s="1"/>
  <c r="C10" i="32"/>
  <c r="C11" i="32" s="1"/>
  <c r="C6" i="41"/>
  <c r="C10" i="33"/>
  <c r="C11" i="33" s="1"/>
  <c r="C7" i="28"/>
  <c r="C8" i="28" s="1"/>
  <c r="C8" i="19"/>
  <c r="C155" i="6"/>
  <c r="C156" i="6" s="1"/>
  <c r="C6" i="36"/>
  <c r="C151" i="6"/>
  <c r="C152" i="6" s="1"/>
  <c r="C119" i="6"/>
  <c r="C120" i="6" s="1"/>
  <c r="C74" i="6"/>
  <c r="C142" i="6"/>
  <c r="C143" i="6" s="1"/>
  <c r="C68" i="6"/>
  <c r="C129" i="6"/>
  <c r="C130" i="6" s="1"/>
  <c r="C74" i="4"/>
  <c r="C71" i="4" s="1"/>
  <c r="C6" i="42"/>
  <c r="C37" i="4"/>
  <c r="C5" i="34"/>
  <c r="C8" i="15"/>
  <c r="C7" i="17"/>
  <c r="C8" i="17" s="1"/>
  <c r="C6" i="9"/>
  <c r="C7" i="16"/>
  <c r="C63" i="6"/>
  <c r="C16" i="6"/>
  <c r="C58" i="6"/>
  <c r="C53" i="6"/>
  <c r="E6" i="40"/>
  <c r="E7" i="15"/>
  <c r="E6" i="17"/>
  <c r="E52" i="6"/>
  <c r="E62" i="6"/>
  <c r="E6" i="41"/>
  <c r="E10" i="33"/>
  <c r="E7" i="28"/>
  <c r="E8" i="28" s="1"/>
  <c r="E8" i="19"/>
  <c r="E6" i="36"/>
  <c r="E142" i="6"/>
  <c r="E14" i="33"/>
  <c r="E15" i="33" s="1"/>
  <c r="E7" i="30"/>
  <c r="E8" i="30" s="1"/>
  <c r="E7" i="18"/>
  <c r="E151" i="6"/>
  <c r="E152" i="6" s="1"/>
  <c r="E10" i="32"/>
  <c r="E11" i="32" s="1"/>
  <c r="E155" i="6"/>
  <c r="E156" i="6" s="1"/>
  <c r="E129" i="6"/>
  <c r="E130" i="6" s="1"/>
  <c r="E68" i="6"/>
  <c r="E119" i="6"/>
  <c r="E120" i="6" s="1"/>
  <c r="E74" i="6"/>
  <c r="D47" i="5"/>
  <c r="C6" i="40"/>
  <c r="G52" i="6"/>
  <c r="C52" i="6"/>
  <c r="F62" i="6"/>
  <c r="F68" i="6"/>
  <c r="C67" i="6"/>
  <c r="D74" i="6"/>
  <c r="D119" i="6"/>
  <c r="D120" i="6" s="1"/>
  <c r="F129" i="6"/>
  <c r="F130" i="6" s="1"/>
  <c r="F151" i="6"/>
  <c r="F152" i="6" s="1"/>
  <c r="E11" i="33"/>
  <c r="F14" i="33"/>
  <c r="F15" i="33" s="1"/>
  <c r="D6" i="41"/>
  <c r="D6" i="40"/>
  <c r="D7" i="15"/>
  <c r="D6" i="17"/>
  <c r="G14" i="33"/>
  <c r="G15" i="33" s="1"/>
  <c r="G7" i="30"/>
  <c r="G8" i="30" s="1"/>
  <c r="G7" i="18"/>
  <c r="G10" i="32"/>
  <c r="G11" i="32" s="1"/>
  <c r="G6" i="41"/>
  <c r="G10" i="33"/>
  <c r="G11" i="33" s="1"/>
  <c r="G7" i="28"/>
  <c r="G8" i="28" s="1"/>
  <c r="G8" i="19"/>
  <c r="G155" i="6"/>
  <c r="G156" i="6" s="1"/>
  <c r="F52" i="6"/>
  <c r="G74" i="6"/>
  <c r="G119" i="6"/>
  <c r="G120" i="6" s="1"/>
  <c r="G142" i="6"/>
  <c r="G143" i="6" s="1"/>
  <c r="G7" i="15"/>
  <c r="D8" i="19"/>
  <c r="G6" i="36"/>
  <c r="D6" i="36"/>
  <c r="D14" i="33"/>
  <c r="D15" i="33" s="1"/>
  <c r="D7" i="30"/>
  <c r="D8" i="30" s="1"/>
  <c r="D7" i="18"/>
  <c r="D151" i="6"/>
  <c r="D152" i="6" s="1"/>
  <c r="D10" i="32"/>
  <c r="D11" i="32" s="1"/>
  <c r="C6" i="43"/>
  <c r="C6" i="19"/>
  <c r="C5" i="36"/>
  <c r="F6" i="40"/>
  <c r="F7" i="15"/>
  <c r="F10" i="32"/>
  <c r="F11" i="32" s="1"/>
  <c r="F6" i="41"/>
  <c r="F10" i="33"/>
  <c r="F11" i="33" s="1"/>
  <c r="F7" i="28"/>
  <c r="F8" i="28" s="1"/>
  <c r="F8" i="19"/>
  <c r="F155" i="6"/>
  <c r="F156" i="6" s="1"/>
  <c r="F6" i="36"/>
  <c r="F142" i="6"/>
  <c r="F143" i="6" s="1"/>
  <c r="F144" i="6" s="1"/>
  <c r="D35" i="5"/>
  <c r="D62" i="6"/>
  <c r="D68" i="6"/>
  <c r="F74" i="6"/>
  <c r="F119" i="6"/>
  <c r="F120" i="6" s="1"/>
  <c r="D129" i="6"/>
  <c r="D130" i="6" s="1"/>
  <c r="D142" i="6"/>
  <c r="D143" i="6" s="1"/>
  <c r="E143" i="6"/>
  <c r="E144" i="6" s="1"/>
  <c r="G152" i="6"/>
  <c r="D155" i="6"/>
  <c r="D156" i="6" s="1"/>
  <c r="C7" i="15"/>
  <c r="F7" i="18"/>
  <c r="D7" i="28"/>
  <c r="D8" i="28" s="1"/>
  <c r="G6" i="40"/>
  <c r="E25" i="46"/>
  <c r="K38" i="3" l="1"/>
  <c r="K41" i="3"/>
  <c r="L34" i="3"/>
  <c r="L37" i="3"/>
  <c r="J42" i="3"/>
  <c r="J45" i="3"/>
  <c r="I45" i="3"/>
  <c r="I42" i="3"/>
  <c r="J44" i="4"/>
  <c r="I45" i="4"/>
  <c r="H41" i="3"/>
  <c r="H38" i="3"/>
  <c r="I54" i="4"/>
  <c r="I55" i="4" s="1"/>
  <c r="I37" i="4"/>
  <c r="I38" i="4" s="1"/>
  <c r="L69" i="4"/>
  <c r="L68" i="4" s="1"/>
  <c r="K68" i="4"/>
  <c r="J62" i="4"/>
  <c r="K63" i="4"/>
  <c r="J56" i="4"/>
  <c r="K57" i="4"/>
  <c r="K43" i="4"/>
  <c r="J42" i="4"/>
  <c r="J40" i="4"/>
  <c r="J46" i="4" s="1"/>
  <c r="K41" i="4"/>
  <c r="K36" i="4"/>
  <c r="J35" i="4"/>
  <c r="K26" i="4"/>
  <c r="J25" i="4"/>
  <c r="J33" i="4" s="1"/>
  <c r="J34" i="4" s="1"/>
  <c r="J21" i="4"/>
  <c r="K22" i="4"/>
  <c r="J43" i="3"/>
  <c r="K44" i="3"/>
  <c r="J21" i="3"/>
  <c r="K22" i="3"/>
  <c r="J19" i="3"/>
  <c r="K20" i="3"/>
  <c r="K18" i="3"/>
  <c r="J17" i="3"/>
  <c r="L5" i="3"/>
  <c r="L6" i="3" s="1"/>
  <c r="K6" i="3"/>
  <c r="G153" i="6"/>
  <c r="G12" i="32"/>
  <c r="F153" i="6"/>
  <c r="E12" i="33"/>
  <c r="E16" i="33" s="1"/>
  <c r="G144" i="6"/>
  <c r="D27" i="3"/>
  <c r="D16" i="3"/>
  <c r="D12" i="33"/>
  <c r="D16" i="33" s="1"/>
  <c r="D6" i="39"/>
  <c r="F12" i="32"/>
  <c r="C144" i="6"/>
  <c r="C12" i="33"/>
  <c r="C16" i="33" s="1"/>
  <c r="F12" i="33"/>
  <c r="F16" i="33" s="1"/>
  <c r="G12" i="33"/>
  <c r="G16" i="33" s="1"/>
  <c r="D6" i="44"/>
  <c r="D153" i="6"/>
  <c r="D157" i="6" s="1"/>
  <c r="E153" i="6"/>
  <c r="E157" i="6" s="1"/>
  <c r="C153" i="6"/>
  <c r="C157" i="6" s="1"/>
  <c r="E12" i="32"/>
  <c r="C12" i="32"/>
  <c r="G6" i="44"/>
  <c r="G6" i="39"/>
  <c r="G27" i="3"/>
  <c r="C6" i="44"/>
  <c r="C6" i="39"/>
  <c r="C27" i="3"/>
  <c r="E6" i="39"/>
  <c r="E6" i="44"/>
  <c r="E27" i="3"/>
  <c r="D144" i="6"/>
  <c r="D12" i="32"/>
  <c r="F6" i="44"/>
  <c r="F6" i="39"/>
  <c r="F27" i="3"/>
  <c r="C73" i="4"/>
  <c r="C67" i="4"/>
  <c r="C69" i="4"/>
  <c r="C63" i="4"/>
  <c r="C65" i="4"/>
  <c r="C59" i="4"/>
  <c r="C61" i="4"/>
  <c r="C55" i="4"/>
  <c r="C57" i="4"/>
  <c r="C51" i="4"/>
  <c r="C53" i="4"/>
  <c r="C45" i="4"/>
  <c r="C49" i="4"/>
  <c r="D54" i="4"/>
  <c r="E54" i="4"/>
  <c r="C47" i="4"/>
  <c r="C41" i="4"/>
  <c r="C43" i="4"/>
  <c r="C38" i="4"/>
  <c r="C34" i="4"/>
  <c r="C36" i="4"/>
  <c r="C30" i="4"/>
  <c r="C32" i="4"/>
  <c r="C26" i="4"/>
  <c r="C28" i="4"/>
  <c r="C22" i="4"/>
  <c r="C24" i="4"/>
  <c r="C18" i="4"/>
  <c r="C20" i="4"/>
  <c r="C14" i="4"/>
  <c r="C16" i="4"/>
  <c r="C9" i="19"/>
  <c r="F157" i="6"/>
  <c r="C69" i="6"/>
  <c r="C64" i="6"/>
  <c r="C10" i="4"/>
  <c r="C12" i="4"/>
  <c r="C6" i="4"/>
  <c r="C8" i="4"/>
  <c r="C75" i="6"/>
  <c r="G44" i="4"/>
  <c r="F46" i="4"/>
  <c r="G157" i="6"/>
  <c r="C5" i="42"/>
  <c r="C7" i="24"/>
  <c r="C8" i="24" s="1"/>
  <c r="C7" i="14"/>
  <c r="C99" i="6"/>
  <c r="C100" i="6" s="1"/>
  <c r="C47" i="6"/>
  <c r="C5" i="43"/>
  <c r="C5" i="41"/>
  <c r="C6" i="34"/>
  <c r="C5" i="40"/>
  <c r="E26" i="46"/>
  <c r="E30" i="46" s="1"/>
  <c r="F25" i="46"/>
  <c r="I5" i="5" l="1"/>
  <c r="I27" i="5" s="1"/>
  <c r="I48" i="5" s="1"/>
  <c r="I46" i="3"/>
  <c r="I49" i="3"/>
  <c r="L38" i="3"/>
  <c r="L41" i="3"/>
  <c r="J49" i="3"/>
  <c r="J5" i="5"/>
  <c r="J27" i="5" s="1"/>
  <c r="J48" i="5" s="1"/>
  <c r="J46" i="3"/>
  <c r="K42" i="3"/>
  <c r="K45" i="3"/>
  <c r="H45" i="3"/>
  <c r="H42" i="3"/>
  <c r="K44" i="4"/>
  <c r="J45" i="4"/>
  <c r="J54" i="4"/>
  <c r="J55" i="4" s="1"/>
  <c r="J47" i="4"/>
  <c r="J37" i="4"/>
  <c r="J38" i="4" s="1"/>
  <c r="L63" i="4"/>
  <c r="L62" i="4" s="1"/>
  <c r="K62" i="4"/>
  <c r="L57" i="4"/>
  <c r="L56" i="4" s="1"/>
  <c r="K56" i="4"/>
  <c r="L43" i="4"/>
  <c r="L42" i="4" s="1"/>
  <c r="K42" i="4"/>
  <c r="L41" i="4"/>
  <c r="L40" i="4" s="1"/>
  <c r="K40" i="4"/>
  <c r="K46" i="4" s="1"/>
  <c r="L36" i="4"/>
  <c r="L35" i="4" s="1"/>
  <c r="K35" i="4"/>
  <c r="L26" i="4"/>
  <c r="L25" i="4" s="1"/>
  <c r="L33" i="4" s="1"/>
  <c r="L34" i="4" s="1"/>
  <c r="K25" i="4"/>
  <c r="K33" i="4" s="1"/>
  <c r="K34" i="4" s="1"/>
  <c r="L22" i="4"/>
  <c r="L21" i="4" s="1"/>
  <c r="L37" i="4" s="1"/>
  <c r="L38" i="4" s="1"/>
  <c r="K21" i="4"/>
  <c r="L44" i="3"/>
  <c r="L43" i="3" s="1"/>
  <c r="K43" i="3"/>
  <c r="L22" i="3"/>
  <c r="L21" i="3" s="1"/>
  <c r="K21" i="3"/>
  <c r="L20" i="3"/>
  <c r="L19" i="3" s="1"/>
  <c r="K19" i="3"/>
  <c r="L18" i="3"/>
  <c r="L17" i="3" s="1"/>
  <c r="K17" i="3"/>
  <c r="G29" i="3"/>
  <c r="G30" i="3" s="1"/>
  <c r="G28" i="3"/>
  <c r="F29" i="3"/>
  <c r="F30" i="3" s="1"/>
  <c r="F28" i="3"/>
  <c r="C29" i="3"/>
  <c r="C30" i="3" s="1"/>
  <c r="C28" i="3"/>
  <c r="D29" i="3"/>
  <c r="D33" i="3" s="1"/>
  <c r="D28" i="3"/>
  <c r="E29" i="3"/>
  <c r="E33" i="3" s="1"/>
  <c r="E34" i="3" s="1"/>
  <c r="E28" i="3"/>
  <c r="F5" i="35"/>
  <c r="C5" i="35"/>
  <c r="C33" i="3"/>
  <c r="C34" i="3" s="1"/>
  <c r="G33" i="3"/>
  <c r="G34" i="3" s="1"/>
  <c r="G5" i="35"/>
  <c r="E6" i="42"/>
  <c r="D6" i="42"/>
  <c r="F54" i="4"/>
  <c r="G46" i="4"/>
  <c r="F26" i="46"/>
  <c r="F30" i="46" s="1"/>
  <c r="G25" i="46"/>
  <c r="G26" i="46" s="1"/>
  <c r="G30" i="46" s="1"/>
  <c r="I55" i="3" l="1"/>
  <c r="I56" i="3" s="1"/>
  <c r="I50" i="3"/>
  <c r="K46" i="3"/>
  <c r="K49" i="3"/>
  <c r="K5" i="5"/>
  <c r="K27" i="5" s="1"/>
  <c r="K48" i="5" s="1"/>
  <c r="J50" i="3"/>
  <c r="J55" i="3"/>
  <c r="J56" i="3" s="1"/>
  <c r="L45" i="3"/>
  <c r="L42" i="3"/>
  <c r="L44" i="4"/>
  <c r="L45" i="4" s="1"/>
  <c r="K45" i="4"/>
  <c r="H5" i="5"/>
  <c r="H27" i="5" s="1"/>
  <c r="H48" i="5" s="1"/>
  <c r="H70" i="4" s="1"/>
  <c r="H49" i="3"/>
  <c r="H46" i="3"/>
  <c r="K47" i="4"/>
  <c r="K54" i="4"/>
  <c r="K55" i="4" s="1"/>
  <c r="L46" i="4"/>
  <c r="K37" i="4"/>
  <c r="K38" i="4" s="1"/>
  <c r="F33" i="3"/>
  <c r="F34" i="3" s="1"/>
  <c r="D6" i="20"/>
  <c r="D8" i="20" s="1"/>
  <c r="D34" i="3"/>
  <c r="D5" i="35"/>
  <c r="D30" i="3"/>
  <c r="E5" i="35"/>
  <c r="E30" i="3"/>
  <c r="D51" i="6"/>
  <c r="D54" i="6" s="1"/>
  <c r="D37" i="3"/>
  <c r="D78" i="6"/>
  <c r="D80" i="6" s="1"/>
  <c r="D6" i="35"/>
  <c r="D6" i="15"/>
  <c r="D9" i="15" s="1"/>
  <c r="C6" i="35"/>
  <c r="C6" i="15"/>
  <c r="C9" i="15" s="1"/>
  <c r="C51" i="6"/>
  <c r="C54" i="6" s="1"/>
  <c r="C6" i="20"/>
  <c r="C8" i="20" s="1"/>
  <c r="C78" i="6"/>
  <c r="C80" i="6" s="1"/>
  <c r="C37" i="3"/>
  <c r="F6" i="15"/>
  <c r="F9" i="15" s="1"/>
  <c r="F6" i="20"/>
  <c r="F8" i="20" s="1"/>
  <c r="F78" i="6"/>
  <c r="F80" i="6" s="1"/>
  <c r="F51" i="6"/>
  <c r="F54" i="6" s="1"/>
  <c r="F37" i="3"/>
  <c r="F6" i="35"/>
  <c r="G6" i="35"/>
  <c r="G6" i="15"/>
  <c r="G9" i="15" s="1"/>
  <c r="G51" i="6"/>
  <c r="G54" i="6" s="1"/>
  <c r="G37" i="3"/>
  <c r="G6" i="20"/>
  <c r="G8" i="20" s="1"/>
  <c r="G78" i="6"/>
  <c r="G80" i="6" s="1"/>
  <c r="E6" i="15"/>
  <c r="E9" i="15" s="1"/>
  <c r="E51" i="6"/>
  <c r="E54" i="6" s="1"/>
  <c r="E6" i="20"/>
  <c r="E8" i="20" s="1"/>
  <c r="E6" i="35"/>
  <c r="E78" i="6"/>
  <c r="E80" i="6" s="1"/>
  <c r="E37" i="3"/>
  <c r="F6" i="42"/>
  <c r="G54" i="4"/>
  <c r="L5" i="5" l="1"/>
  <c r="L27" i="5" s="1"/>
  <c r="L48" i="5" s="1"/>
  <c r="L46" i="3"/>
  <c r="L49" i="3"/>
  <c r="K50" i="3"/>
  <c r="K55" i="3"/>
  <c r="K56" i="3" s="1"/>
  <c r="I70" i="4"/>
  <c r="H71" i="4"/>
  <c r="H72" i="4"/>
  <c r="H73" i="4" s="1"/>
  <c r="H55" i="3"/>
  <c r="H56" i="3" s="1"/>
  <c r="H50" i="3"/>
  <c r="L47" i="4"/>
  <c r="L54" i="4"/>
  <c r="L55" i="4" s="1"/>
  <c r="G41" i="3"/>
  <c r="G38" i="3"/>
  <c r="F41" i="3"/>
  <c r="F38" i="3"/>
  <c r="E41" i="3"/>
  <c r="E38" i="3"/>
  <c r="C41" i="3"/>
  <c r="C38" i="3"/>
  <c r="D41" i="3"/>
  <c r="D38" i="3"/>
  <c r="G6" i="42"/>
  <c r="L50" i="3" l="1"/>
  <c r="L55" i="3"/>
  <c r="L56" i="3" s="1"/>
  <c r="J70" i="4"/>
  <c r="I71" i="4"/>
  <c r="I72" i="4"/>
  <c r="I73" i="4" s="1"/>
  <c r="C45" i="3"/>
  <c r="C42" i="3"/>
  <c r="F45" i="3"/>
  <c r="F42" i="3"/>
  <c r="D45" i="3"/>
  <c r="D46" i="3" s="1"/>
  <c r="D42" i="3"/>
  <c r="E45" i="3"/>
  <c r="E46" i="3" s="1"/>
  <c r="E42" i="3"/>
  <c r="G45" i="3"/>
  <c r="G46" i="3" s="1"/>
  <c r="G42" i="3"/>
  <c r="D49" i="3"/>
  <c r="D50" i="3" s="1"/>
  <c r="D5" i="5"/>
  <c r="D27" i="5" s="1"/>
  <c r="D48" i="5" s="1"/>
  <c r="K70" i="4" l="1"/>
  <c r="J71" i="4"/>
  <c r="J72" i="4"/>
  <c r="J73" i="4" s="1"/>
  <c r="F5" i="5"/>
  <c r="F27" i="5" s="1"/>
  <c r="F48" i="5" s="1"/>
  <c r="F46" i="3"/>
  <c r="C49" i="3"/>
  <c r="C46" i="3"/>
  <c r="E5" i="5"/>
  <c r="E27" i="5" s="1"/>
  <c r="E48" i="5" s="1"/>
  <c r="E49" i="3"/>
  <c r="E50" i="3" s="1"/>
  <c r="F49" i="3"/>
  <c r="G49" i="3"/>
  <c r="G50" i="3" s="1"/>
  <c r="G5" i="5"/>
  <c r="G27" i="5" s="1"/>
  <c r="G48" i="5" s="1"/>
  <c r="C6" i="14"/>
  <c r="C8" i="14" s="1"/>
  <c r="C24" i="6"/>
  <c r="C6" i="6"/>
  <c r="C46" i="6"/>
  <c r="C48" i="6" s="1"/>
  <c r="F6" i="14"/>
  <c r="F6" i="6"/>
  <c r="F61" i="3"/>
  <c r="F22" i="6" s="1"/>
  <c r="F23" i="6" s="1"/>
  <c r="F9" i="10"/>
  <c r="D70" i="4"/>
  <c r="D38" i="46"/>
  <c r="D6" i="16"/>
  <c r="D6" i="45"/>
  <c r="D55" i="3"/>
  <c r="D9" i="10"/>
  <c r="D6" i="7"/>
  <c r="D6" i="14"/>
  <c r="D24" i="6"/>
  <c r="D61" i="3"/>
  <c r="D57" i="6"/>
  <c r="D46" i="6"/>
  <c r="D6" i="6"/>
  <c r="F7" i="7"/>
  <c r="L70" i="4" l="1"/>
  <c r="K71" i="4"/>
  <c r="K72" i="4"/>
  <c r="K73" i="4" s="1"/>
  <c r="F7" i="8"/>
  <c r="F8" i="8" s="1"/>
  <c r="F31" i="6"/>
  <c r="F32" i="6" s="1"/>
  <c r="F33" i="6" s="1"/>
  <c r="F55" i="3"/>
  <c r="F5" i="45" s="1"/>
  <c r="F50" i="3"/>
  <c r="C6" i="45"/>
  <c r="C50" i="3"/>
  <c r="C6" i="16"/>
  <c r="C8" i="16" s="1"/>
  <c r="C6" i="7"/>
  <c r="C55" i="3"/>
  <c r="C5" i="45" s="1"/>
  <c r="C9" i="10"/>
  <c r="C57" i="6"/>
  <c r="C59" i="6" s="1"/>
  <c r="C61" i="3"/>
  <c r="F7" i="10"/>
  <c r="F8" i="10" s="1"/>
  <c r="F7" i="11"/>
  <c r="F8" i="11" s="1"/>
  <c r="F9" i="11" s="1"/>
  <c r="F7" i="9"/>
  <c r="F7" i="6"/>
  <c r="F8" i="6" s="1"/>
  <c r="F12" i="6"/>
  <c r="F13" i="6" s="1"/>
  <c r="F46" i="6"/>
  <c r="F57" i="6"/>
  <c r="F10" i="10"/>
  <c r="F11" i="10" s="1"/>
  <c r="F25" i="6"/>
  <c r="F17" i="6"/>
  <c r="F24" i="6"/>
  <c r="F6" i="7"/>
  <c r="F8" i="7" s="1"/>
  <c r="F6" i="16"/>
  <c r="F6" i="45"/>
  <c r="E9" i="10"/>
  <c r="E6" i="7"/>
  <c r="E6" i="14"/>
  <c r="E6" i="45"/>
  <c r="E57" i="6"/>
  <c r="E46" i="6"/>
  <c r="E6" i="16"/>
  <c r="E24" i="6"/>
  <c r="E55" i="3"/>
  <c r="E5" i="45" s="1"/>
  <c r="E61" i="3"/>
  <c r="E6" i="6"/>
  <c r="G6" i="45"/>
  <c r="G57" i="6"/>
  <c r="G9" i="10"/>
  <c r="G24" i="6"/>
  <c r="G61" i="3"/>
  <c r="G6" i="6"/>
  <c r="G6" i="7"/>
  <c r="G6" i="14"/>
  <c r="G46" i="6"/>
  <c r="G55" i="3"/>
  <c r="G5" i="45" s="1"/>
  <c r="G6" i="16"/>
  <c r="D10" i="10"/>
  <c r="D11" i="10" s="1"/>
  <c r="D22" i="6"/>
  <c r="D23" i="6" s="1"/>
  <c r="D25" i="6"/>
  <c r="D7" i="8"/>
  <c r="D8" i="8" s="1"/>
  <c r="D7" i="9"/>
  <c r="D12" i="6"/>
  <c r="D13" i="6" s="1"/>
  <c r="D7" i="7"/>
  <c r="D8" i="7" s="1"/>
  <c r="D7" i="10"/>
  <c r="D8" i="10" s="1"/>
  <c r="D7" i="11"/>
  <c r="D8" i="11" s="1"/>
  <c r="D9" i="11" s="1"/>
  <c r="D17" i="6"/>
  <c r="D31" i="6"/>
  <c r="D32" i="6" s="1"/>
  <c r="D33" i="6" s="1"/>
  <c r="D7" i="6"/>
  <c r="D8" i="6" s="1"/>
  <c r="D39" i="46"/>
  <c r="D40" i="46" s="1"/>
  <c r="E38" i="46"/>
  <c r="D26" i="6"/>
  <c r="D5" i="45"/>
  <c r="D8" i="46"/>
  <c r="D11" i="4"/>
  <c r="D6" i="23"/>
  <c r="D8" i="23" s="1"/>
  <c r="D6" i="22"/>
  <c r="D8" i="22" s="1"/>
  <c r="D93" i="6"/>
  <c r="D95" i="6" s="1"/>
  <c r="D72" i="4"/>
  <c r="E70" i="4"/>
  <c r="D88" i="6"/>
  <c r="D90" i="6" s="1"/>
  <c r="L71" i="4" l="1"/>
  <c r="L72" i="4"/>
  <c r="L73" i="4" s="1"/>
  <c r="F12" i="10"/>
  <c r="C25" i="6"/>
  <c r="C26" i="6" s="1"/>
  <c r="C17" i="6"/>
  <c r="C18" i="6" s="1"/>
  <c r="C7" i="7"/>
  <c r="C8" i="7" s="1"/>
  <c r="C12" i="6"/>
  <c r="C13" i="6" s="1"/>
  <c r="C7" i="6"/>
  <c r="C8" i="6" s="1"/>
  <c r="C7" i="8"/>
  <c r="C8" i="8" s="1"/>
  <c r="C22" i="6"/>
  <c r="C23" i="6" s="1"/>
  <c r="C7" i="11"/>
  <c r="C8" i="11" s="1"/>
  <c r="C9" i="11" s="1"/>
  <c r="C10" i="10"/>
  <c r="C11" i="10" s="1"/>
  <c r="C7" i="9"/>
  <c r="C8" i="9" s="1"/>
  <c r="C31" i="6"/>
  <c r="C32" i="6" s="1"/>
  <c r="C33" i="6" s="1"/>
  <c r="C7" i="10"/>
  <c r="C8" i="10" s="1"/>
  <c r="D12" i="10"/>
  <c r="F26" i="6"/>
  <c r="F27" i="6" s="1"/>
  <c r="G7" i="9"/>
  <c r="G7" i="8"/>
  <c r="G8" i="8" s="1"/>
  <c r="G12" i="6"/>
  <c r="G13" i="6" s="1"/>
  <c r="G25" i="6"/>
  <c r="G26" i="6" s="1"/>
  <c r="G7" i="11"/>
  <c r="G8" i="11" s="1"/>
  <c r="G9" i="11" s="1"/>
  <c r="G7" i="6"/>
  <c r="G8" i="6" s="1"/>
  <c r="G17" i="6"/>
  <c r="G7" i="7"/>
  <c r="G8" i="7" s="1"/>
  <c r="G22" i="6"/>
  <c r="G23" i="6" s="1"/>
  <c r="G27" i="6" s="1"/>
  <c r="G10" i="10"/>
  <c r="G11" i="10" s="1"/>
  <c r="G7" i="10"/>
  <c r="G8" i="10" s="1"/>
  <c r="G31" i="6"/>
  <c r="G32" i="6" s="1"/>
  <c r="G33" i="6" s="1"/>
  <c r="E7" i="7"/>
  <c r="E8" i="7" s="1"/>
  <c r="E7" i="9"/>
  <c r="E12" i="6"/>
  <c r="E13" i="6" s="1"/>
  <c r="E31" i="6"/>
  <c r="E32" i="6" s="1"/>
  <c r="E33" i="6" s="1"/>
  <c r="E25" i="6"/>
  <c r="E26" i="6" s="1"/>
  <c r="E7" i="8"/>
  <c r="E8" i="8" s="1"/>
  <c r="E7" i="6"/>
  <c r="E8" i="6" s="1"/>
  <c r="E17" i="6"/>
  <c r="E22" i="6"/>
  <c r="E23" i="6" s="1"/>
  <c r="E27" i="6" s="1"/>
  <c r="E7" i="11"/>
  <c r="E8" i="11" s="1"/>
  <c r="E9" i="11" s="1"/>
  <c r="E10" i="10"/>
  <c r="E11" i="10" s="1"/>
  <c r="E7" i="10"/>
  <c r="E8" i="10" s="1"/>
  <c r="F70" i="4"/>
  <c r="E93" i="6"/>
  <c r="E95" i="6" s="1"/>
  <c r="E72" i="4"/>
  <c r="E88" i="6"/>
  <c r="E90" i="6" s="1"/>
  <c r="E6" i="22"/>
  <c r="E8" i="22" s="1"/>
  <c r="E6" i="23"/>
  <c r="E8" i="23" s="1"/>
  <c r="D6" i="18"/>
  <c r="D8" i="18" s="1"/>
  <c r="D6" i="43"/>
  <c r="D67" i="6"/>
  <c r="D69" i="6" s="1"/>
  <c r="D6" i="19"/>
  <c r="D9" i="19" s="1"/>
  <c r="D5" i="36"/>
  <c r="D74" i="4"/>
  <c r="D73" i="4" s="1"/>
  <c r="D72" i="6"/>
  <c r="D75" i="6" s="1"/>
  <c r="E11" i="4"/>
  <c r="D13" i="4"/>
  <c r="F38" i="46"/>
  <c r="E39" i="46"/>
  <c r="E40" i="46" s="1"/>
  <c r="D27" i="6"/>
  <c r="E8" i="46"/>
  <c r="D9" i="46"/>
  <c r="D21" i="46" s="1"/>
  <c r="C27" i="6" l="1"/>
  <c r="C12" i="10"/>
  <c r="G12" i="10"/>
  <c r="E12" i="10"/>
  <c r="E9" i="46"/>
  <c r="E21" i="46" s="1"/>
  <c r="F8" i="46"/>
  <c r="G38" i="46"/>
  <c r="G39" i="46" s="1"/>
  <c r="G40" i="46" s="1"/>
  <c r="F39" i="46"/>
  <c r="F40" i="46" s="1"/>
  <c r="D12" i="4"/>
  <c r="D61" i="4"/>
  <c r="D6" i="4"/>
  <c r="D47" i="4"/>
  <c r="D16" i="4"/>
  <c r="D55" i="4"/>
  <c r="D26" i="4"/>
  <c r="D47" i="6"/>
  <c r="D48" i="6" s="1"/>
  <c r="D51" i="4"/>
  <c r="D20" i="4"/>
  <c r="D71" i="4"/>
  <c r="D53" i="4"/>
  <c r="D7" i="24"/>
  <c r="D8" i="24" s="1"/>
  <c r="D41" i="4"/>
  <c r="D8" i="4"/>
  <c r="D49" i="4"/>
  <c r="D18" i="4"/>
  <c r="D67" i="4"/>
  <c r="D45" i="4"/>
  <c r="D7" i="14"/>
  <c r="D8" i="14" s="1"/>
  <c r="D75" i="4"/>
  <c r="D30" i="4"/>
  <c r="D99" i="6"/>
  <c r="D100" i="6" s="1"/>
  <c r="D32" i="4"/>
  <c r="D5" i="43"/>
  <c r="D43" i="4"/>
  <c r="D10" i="4"/>
  <c r="D59" i="4"/>
  <c r="D36" i="4"/>
  <c r="D69" i="4"/>
  <c r="D22" i="4"/>
  <c r="D63" i="4"/>
  <c r="D24" i="4"/>
  <c r="D65" i="4"/>
  <c r="D34" i="4"/>
  <c r="D5" i="42"/>
  <c r="D57" i="4"/>
  <c r="D28" i="4"/>
  <c r="D37" i="4"/>
  <c r="D53" i="6"/>
  <c r="D7" i="17"/>
  <c r="D8" i="17" s="1"/>
  <c r="D14" i="4"/>
  <c r="D6" i="9"/>
  <c r="D8" i="9" s="1"/>
  <c r="D7" i="16"/>
  <c r="D8" i="16" s="1"/>
  <c r="D16" i="6"/>
  <c r="D18" i="6" s="1"/>
  <c r="D63" i="6"/>
  <c r="D64" i="6" s="1"/>
  <c r="D58" i="6"/>
  <c r="D59" i="6" s="1"/>
  <c r="D8" i="15"/>
  <c r="D5" i="34"/>
  <c r="E72" i="6"/>
  <c r="E75" i="6" s="1"/>
  <c r="E6" i="19"/>
  <c r="E9" i="19" s="1"/>
  <c r="E6" i="18"/>
  <c r="E8" i="18" s="1"/>
  <c r="E5" i="36"/>
  <c r="E6" i="43"/>
  <c r="E67" i="6"/>
  <c r="E69" i="6" s="1"/>
  <c r="E74" i="4"/>
  <c r="E13" i="4"/>
  <c r="F11" i="4"/>
  <c r="F72" i="4"/>
  <c r="G70" i="4"/>
  <c r="F93" i="6"/>
  <c r="F95" i="6" s="1"/>
  <c r="F88" i="6"/>
  <c r="F90" i="6" s="1"/>
  <c r="F6" i="23"/>
  <c r="F8" i="23" s="1"/>
  <c r="F6" i="22"/>
  <c r="F8" i="22" s="1"/>
  <c r="G93" i="6" l="1"/>
  <c r="G95" i="6" s="1"/>
  <c r="G6" i="22"/>
  <c r="G8" i="22" s="1"/>
  <c r="G6" i="23"/>
  <c r="G8" i="23" s="1"/>
  <c r="G72" i="4"/>
  <c r="G88" i="6"/>
  <c r="G90" i="6" s="1"/>
  <c r="E73" i="4"/>
  <c r="E57" i="4"/>
  <c r="E24" i="4"/>
  <c r="E99" i="6"/>
  <c r="E100" i="6" s="1"/>
  <c r="E59" i="4"/>
  <c r="E26" i="4"/>
  <c r="E61" i="4"/>
  <c r="E28" i="4"/>
  <c r="E47" i="4"/>
  <c r="E5" i="42"/>
  <c r="E71" i="4"/>
  <c r="E49" i="4"/>
  <c r="E16" i="4"/>
  <c r="E47" i="6"/>
  <c r="E48" i="6" s="1"/>
  <c r="E51" i="4"/>
  <c r="E18" i="4"/>
  <c r="E53" i="4"/>
  <c r="E20" i="4"/>
  <c r="E30" i="4"/>
  <c r="E7" i="14"/>
  <c r="E8" i="14" s="1"/>
  <c r="E75" i="4"/>
  <c r="E41" i="4"/>
  <c r="E8" i="4"/>
  <c r="E5" i="43"/>
  <c r="E43" i="4"/>
  <c r="E10" i="4"/>
  <c r="E45" i="4"/>
  <c r="E63" i="4"/>
  <c r="E22" i="4"/>
  <c r="E12" i="4"/>
  <c r="E65" i="4"/>
  <c r="E32" i="4"/>
  <c r="E7" i="24"/>
  <c r="E8" i="24" s="1"/>
  <c r="E67" i="4"/>
  <c r="E34" i="4"/>
  <c r="E69" i="4"/>
  <c r="E36" i="4"/>
  <c r="E55" i="4"/>
  <c r="E6" i="4"/>
  <c r="F74" i="4"/>
  <c r="F73" i="4" s="1"/>
  <c r="F6" i="18"/>
  <c r="F8" i="18" s="1"/>
  <c r="F6" i="19"/>
  <c r="F9" i="19" s="1"/>
  <c r="F72" i="6"/>
  <c r="F75" i="6" s="1"/>
  <c r="F5" i="36"/>
  <c r="F6" i="43"/>
  <c r="F67" i="6"/>
  <c r="F69" i="6" s="1"/>
  <c r="D5" i="40"/>
  <c r="D38" i="4"/>
  <c r="D5" i="41"/>
  <c r="D6" i="34"/>
  <c r="F13" i="4"/>
  <c r="F12" i="4"/>
  <c r="G11" i="4"/>
  <c r="G8" i="46"/>
  <c r="G9" i="46" s="1"/>
  <c r="G21" i="46" s="1"/>
  <c r="F9" i="46"/>
  <c r="F21" i="46" s="1"/>
  <c r="E7" i="16"/>
  <c r="E8" i="16" s="1"/>
  <c r="E8" i="15"/>
  <c r="E58" i="6"/>
  <c r="E59" i="6" s="1"/>
  <c r="E7" i="17"/>
  <c r="E8" i="17" s="1"/>
  <c r="E6" i="9"/>
  <c r="E8" i="9" s="1"/>
  <c r="E53" i="6"/>
  <c r="E5" i="34"/>
  <c r="E63" i="6"/>
  <c r="E64" i="6" s="1"/>
  <c r="E37" i="4"/>
  <c r="E16" i="6"/>
  <c r="E18" i="6" s="1"/>
  <c r="E14" i="4"/>
  <c r="G6" i="18" l="1"/>
  <c r="G8" i="18" s="1"/>
  <c r="G5" i="36"/>
  <c r="G67" i="6"/>
  <c r="G69" i="6" s="1"/>
  <c r="G6" i="19"/>
  <c r="G9" i="19" s="1"/>
  <c r="G74" i="4"/>
  <c r="G12" i="4" s="1"/>
  <c r="G6" i="43"/>
  <c r="G72" i="6"/>
  <c r="G75" i="6" s="1"/>
  <c r="G13" i="4"/>
  <c r="E6" i="34"/>
  <c r="E5" i="40"/>
  <c r="E5" i="41"/>
  <c r="E38" i="4"/>
  <c r="F7" i="16"/>
  <c r="F8" i="16" s="1"/>
  <c r="F7" i="17"/>
  <c r="F8" i="17" s="1"/>
  <c r="F5" i="34"/>
  <c r="F8" i="15"/>
  <c r="F58" i="6"/>
  <c r="F59" i="6" s="1"/>
  <c r="F6" i="9"/>
  <c r="F8" i="9" s="1"/>
  <c r="F14" i="4"/>
  <c r="F37" i="4"/>
  <c r="F53" i="6"/>
  <c r="F63" i="6"/>
  <c r="F64" i="6" s="1"/>
  <c r="F16" i="6"/>
  <c r="F18" i="6" s="1"/>
  <c r="F71" i="4"/>
  <c r="F57" i="4"/>
  <c r="F24" i="4"/>
  <c r="F99" i="6"/>
  <c r="F100" i="6" s="1"/>
  <c r="F67" i="4"/>
  <c r="F53" i="4"/>
  <c r="F75" i="4"/>
  <c r="F49" i="4"/>
  <c r="F16" i="4"/>
  <c r="F18" i="4"/>
  <c r="F59" i="4"/>
  <c r="F26" i="4"/>
  <c r="F6" i="4"/>
  <c r="F45" i="4"/>
  <c r="F63" i="4"/>
  <c r="F5" i="42"/>
  <c r="F41" i="4"/>
  <c r="F8" i="4"/>
  <c r="F7" i="14"/>
  <c r="F8" i="14" s="1"/>
  <c r="F51" i="4"/>
  <c r="F10" i="4"/>
  <c r="F69" i="4"/>
  <c r="F36" i="4"/>
  <c r="F55" i="4"/>
  <c r="F34" i="4"/>
  <c r="F22" i="4"/>
  <c r="F65" i="4"/>
  <c r="F32" i="4"/>
  <c r="F7" i="24"/>
  <c r="F8" i="24" s="1"/>
  <c r="F20" i="4"/>
  <c r="F43" i="4"/>
  <c r="F47" i="6"/>
  <c r="F48" i="6" s="1"/>
  <c r="F61" i="4"/>
  <c r="F28" i="4"/>
  <c r="F47" i="4"/>
  <c r="F5" i="43"/>
  <c r="F30" i="4"/>
  <c r="G73" i="4" l="1"/>
  <c r="F5" i="40"/>
  <c r="F6" i="34"/>
  <c r="F5" i="41"/>
  <c r="F38" i="4"/>
  <c r="G37" i="4"/>
  <c r="G16" i="6"/>
  <c r="G18" i="6" s="1"/>
  <c r="G8" i="15"/>
  <c r="G14" i="4"/>
  <c r="G7" i="17"/>
  <c r="G8" i="17" s="1"/>
  <c r="G5" i="34"/>
  <c r="G63" i="6"/>
  <c r="G64" i="6" s="1"/>
  <c r="G6" i="9"/>
  <c r="G8" i="9" s="1"/>
  <c r="G53" i="6"/>
  <c r="G7" i="16"/>
  <c r="G8" i="16" s="1"/>
  <c r="G58" i="6"/>
  <c r="G59" i="6" s="1"/>
  <c r="G24" i="4"/>
  <c r="G59" i="4"/>
  <c r="G10" i="4"/>
  <c r="G45" i="4"/>
  <c r="G7" i="24"/>
  <c r="G8" i="24" s="1"/>
  <c r="G63" i="4"/>
  <c r="G22" i="4"/>
  <c r="G32" i="4"/>
  <c r="G65" i="4"/>
  <c r="G8" i="4"/>
  <c r="G51" i="4"/>
  <c r="G69" i="4"/>
  <c r="G36" i="4"/>
  <c r="G5" i="43"/>
  <c r="G55" i="4"/>
  <c r="G6" i="4"/>
  <c r="G16" i="4"/>
  <c r="G57" i="4"/>
  <c r="G61" i="4"/>
  <c r="G26" i="4"/>
  <c r="G47" i="4"/>
  <c r="G99" i="6"/>
  <c r="G100" i="6" s="1"/>
  <c r="G71" i="4"/>
  <c r="G5" i="42"/>
  <c r="G43" i="4"/>
  <c r="G28" i="4"/>
  <c r="G7" i="14"/>
  <c r="G8" i="14" s="1"/>
  <c r="G75" i="4"/>
  <c r="G41" i="4"/>
  <c r="G67" i="4"/>
  <c r="G34" i="4"/>
  <c r="G53" i="4"/>
  <c r="G20" i="4"/>
  <c r="G47" i="6"/>
  <c r="G48" i="6" s="1"/>
  <c r="G30" i="4"/>
  <c r="G49" i="4"/>
  <c r="G18" i="4"/>
  <c r="G6" i="34" l="1"/>
  <c r="G38" i="4"/>
  <c r="G5" i="40"/>
  <c r="G5" i="41"/>
</calcChain>
</file>

<file path=xl/sharedStrings.xml><?xml version="1.0" encoding="utf-8"?>
<sst xmlns="http://schemas.openxmlformats.org/spreadsheetml/2006/main" count="720" uniqueCount="288">
  <si>
    <t>Balance Sheet of Hindalco Industries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</si>
  <si>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</si>
  <si>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</si>
  <si>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</si>
  <si>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</si>
  <si>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</si>
  <si>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</si>
  <si>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</si>
  <si>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</si>
  <si>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</si>
  <si>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</si>
  <si>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</si>
  <si>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</si>
  <si>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</si>
  <si>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</si>
  <si>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</si>
  <si>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</si>
  <si>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</si>
  <si>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</si>
  <si>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</si>
  <si>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</si>
  <si>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</si>
  <si>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</si>
  <si>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</si>
  <si>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</si>
  <si>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</si>
  <si>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</si>
  <si>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</si>
  <si>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</si>
  <si>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</si>
  <si>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</si>
  <si>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</si>
  <si>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</si>
  <si>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</si>
  <si>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</si>
  <si>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</si>
  <si>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</si>
  <si>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</si>
  <si>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</si>
  <si>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</si>
  <si>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</si>
  <si>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</si>
  <si>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</si>
  <si>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</si>
  <si>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</si>
  <si>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</si>
  <si>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</si>
  <si>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</si>
  <si>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</si>
  <si>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</si>
  <si>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</si>
  <si>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</si>
  <si>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</si>
  <si>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</si>
  <si>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</si>
  <si>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Hindalco Industries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</si>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</sst>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0" fontId="1" fillId="8" borderId="0" xfId="0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2" fillId="8" borderId="0" xfId="0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E39-44E7-99E2-89BC95EAA1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17</c:v>
                </c:pt>
                <c:pt idx="3">
                  <c:v>16</c:v>
                </c:pt>
                <c:pt idx="4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39-44E7-99E2-89BC95EAA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9936"/>
        <c:axId val="449423376"/>
      </c:lineChart>
      <c:catAx>
        <c:axId val="44942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376"/>
        <c:crosses val="autoZero"/>
        <c:auto val="0"/>
        <c:lblAlgn val="ctr"/>
        <c:lblOffset val="100"/>
        <c:noMultiLvlLbl val="0"/>
      </c:catAx>
      <c:valAx>
        <c:axId val="44942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99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9B-4D72-B221-5D0262628AB5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A9B-4D72-B221-5D0262628AB5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9B-4D72-B221-5D0262628A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9B-4D72-B221-5D0262628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098488"/>
        <c:axId val="441105376"/>
      </c:lineChart>
      <c:catAx>
        <c:axId val="44109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5376"/>
        <c:crosses val="autoZero"/>
        <c:auto val="0"/>
        <c:lblAlgn val="ctr"/>
        <c:lblOffset val="100"/>
        <c:noMultiLvlLbl val="0"/>
      </c:catAx>
      <c:valAx>
        <c:axId val="441105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10984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142-4FD2-87BC-82FAC0FE39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1.01</c:v>
                </c:pt>
                <c:pt idx="1">
                  <c:v>0.95</c:v>
                </c:pt>
                <c:pt idx="2">
                  <c:v>1.1499999999999999</c:v>
                </c:pt>
                <c:pt idx="3">
                  <c:v>1.06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2-4FD2-87BC-82FAC0FE3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6032"/>
        <c:axId val="441100784"/>
      </c:lineChart>
      <c:catAx>
        <c:axId val="44110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0784"/>
        <c:crosses val="autoZero"/>
        <c:auto val="0"/>
        <c:lblAlgn val="ctr"/>
        <c:lblOffset val="100"/>
        <c:noMultiLvlLbl val="0"/>
      </c:catAx>
      <c:valAx>
        <c:axId val="44110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6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09D-4240-953D-04DA9D2208F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09D-4240-953D-04DA9D2208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1.32</c:v>
                </c:pt>
                <c:pt idx="1">
                  <c:v>2.0699999999999998</c:v>
                </c:pt>
                <c:pt idx="2">
                  <c:v>2.4700000000000002</c:v>
                </c:pt>
                <c:pt idx="3">
                  <c:v>1.89</c:v>
                </c:pt>
                <c:pt idx="4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9D-4240-953D-04DA9D220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787408"/>
        <c:axId val="624788392"/>
      </c:lineChart>
      <c:catAx>
        <c:axId val="62478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8392"/>
        <c:crosses val="autoZero"/>
        <c:auto val="0"/>
        <c:lblAlgn val="ctr"/>
        <c:lblOffset val="100"/>
        <c:noMultiLvlLbl val="0"/>
      </c:catAx>
      <c:valAx>
        <c:axId val="624788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787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A4-4B11-82AC-02116CA19F25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DA4-4B11-82AC-02116CA19F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0.75</c:v>
                </c:pt>
                <c:pt idx="1">
                  <c:v>1.49</c:v>
                </c:pt>
                <c:pt idx="2">
                  <c:v>1.91</c:v>
                </c:pt>
                <c:pt idx="3">
                  <c:v>1.31</c:v>
                </c:pt>
                <c:pt idx="4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DA4-4B11-82AC-02116CA19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0568"/>
        <c:axId val="553939984"/>
      </c:lineChart>
      <c:catAx>
        <c:axId val="63206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939984"/>
        <c:crosses val="autoZero"/>
        <c:auto val="0"/>
        <c:lblAlgn val="ctr"/>
        <c:lblOffset val="100"/>
        <c:noMultiLvlLbl val="0"/>
      </c:catAx>
      <c:valAx>
        <c:axId val="55393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060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ECE-4288-858E-399868B8F38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ECE-4288-858E-399868B8F38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CE-4288-858E-399868B8F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2</c:v>
                </c:pt>
                <c:pt idx="1">
                  <c:v>3.09</c:v>
                </c:pt>
                <c:pt idx="2">
                  <c:v>2.31</c:v>
                </c:pt>
                <c:pt idx="3">
                  <c:v>2.73</c:v>
                </c:pt>
                <c:pt idx="4">
                  <c:v>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CE-4288-858E-399868B8F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017920"/>
        <c:axId val="558018904"/>
      </c:lineChart>
      <c:catAx>
        <c:axId val="558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8904"/>
        <c:crosses val="autoZero"/>
        <c:auto val="0"/>
        <c:lblAlgn val="ctr"/>
        <c:lblOffset val="100"/>
        <c:noMultiLvlLbl val="0"/>
      </c:catAx>
      <c:valAx>
        <c:axId val="558018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17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50-4F8F-8DD6-DAE9D88B6A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0.69</c:v>
                </c:pt>
                <c:pt idx="1">
                  <c:v>0.68</c:v>
                </c:pt>
                <c:pt idx="2">
                  <c:v>0.66</c:v>
                </c:pt>
                <c:pt idx="3">
                  <c:v>0.66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50-4F8F-8DD6-DAE9D88B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013656"/>
        <c:axId val="558015952"/>
      </c:lineChart>
      <c:catAx>
        <c:axId val="55801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5952"/>
        <c:crosses val="autoZero"/>
        <c:auto val="0"/>
        <c:lblAlgn val="ctr"/>
        <c:lblOffset val="100"/>
        <c:noMultiLvlLbl val="0"/>
      </c:catAx>
      <c:valAx>
        <c:axId val="558015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13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3F-480A-9A33-388B0F8C5DDA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3F-480A-9A33-388B0F8C5D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37</c:v>
                </c:pt>
                <c:pt idx="1">
                  <c:v>148.19999999999999</c:v>
                </c:pt>
                <c:pt idx="2">
                  <c:v>262.5</c:v>
                </c:pt>
                <c:pt idx="3">
                  <c:v>202.5</c:v>
                </c:pt>
                <c:pt idx="4">
                  <c:v>170.91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3F-480A-9A33-388B0F8C5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4392"/>
        <c:axId val="441100128"/>
      </c:lineChart>
      <c:catAx>
        <c:axId val="44110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0128"/>
        <c:crosses val="autoZero"/>
        <c:auto val="0"/>
        <c:lblAlgn val="ctr"/>
        <c:lblOffset val="100"/>
        <c:noMultiLvlLbl val="0"/>
      </c:catAx>
      <c:valAx>
        <c:axId val="441100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4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9E8-4B71-BF41-8E2548E6553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9E8-4B71-BF41-8E2548E6553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9E8-4B71-BF41-8E2548E655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8057.76</c:v>
                </c:pt>
                <c:pt idx="1">
                  <c:v>35602.89</c:v>
                </c:pt>
                <c:pt idx="2">
                  <c:v>55899.59</c:v>
                </c:pt>
                <c:pt idx="3">
                  <c:v>47864.6</c:v>
                </c:pt>
                <c:pt idx="4">
                  <c:v>58688.6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8-4B71-BF41-8E2548E65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576"/>
        <c:axId val="449432232"/>
      </c:lineChart>
      <c:catAx>
        <c:axId val="44943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232"/>
        <c:crosses val="autoZero"/>
        <c:auto val="0"/>
        <c:lblAlgn val="ctr"/>
        <c:lblOffset val="100"/>
        <c:noMultiLvlLbl val="0"/>
      </c:catAx>
      <c:valAx>
        <c:axId val="44943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973-4DB8-865F-C4798944CF1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973-4DB8-865F-C4798944CF1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973-4DB8-865F-C4798944CF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0.78</c:v>
                </c:pt>
                <c:pt idx="1">
                  <c:v>0.84</c:v>
                </c:pt>
                <c:pt idx="2">
                  <c:v>0.67</c:v>
                </c:pt>
                <c:pt idx="3">
                  <c:v>0.69</c:v>
                </c:pt>
                <c:pt idx="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73-4DB8-865F-C4798944C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1768"/>
        <c:axId val="441103408"/>
      </c:lineChart>
      <c:catAx>
        <c:axId val="44110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3408"/>
        <c:crosses val="autoZero"/>
        <c:auto val="0"/>
        <c:lblAlgn val="ctr"/>
        <c:lblOffset val="100"/>
        <c:noMultiLvlLbl val="0"/>
      </c:catAx>
      <c:valAx>
        <c:axId val="441103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1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C0-47A4-8442-14697137FDC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C0-47A4-8442-14697137FD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5.33</c:v>
                </c:pt>
                <c:pt idx="1">
                  <c:v>5.85</c:v>
                </c:pt>
                <c:pt idx="2">
                  <c:v>5.23</c:v>
                </c:pt>
                <c:pt idx="3">
                  <c:v>4.2699999999999996</c:v>
                </c:pt>
                <c:pt idx="4">
                  <c:v>4.3899999999999997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0-47A4-8442-14697137F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649848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848"/>
        <c:crosses val="autoZero"/>
        <c:auto val="0"/>
        <c:lblAlgn val="ctr"/>
        <c:lblOffset val="100"/>
        <c:noMultiLvlLbl val="0"/>
      </c:catAx>
      <c:valAx>
        <c:axId val="553649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88-400F-B009-7743950B1B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1.27</c:v>
                </c:pt>
                <c:pt idx="2">
                  <c:v>1.49</c:v>
                </c:pt>
                <c:pt idx="3">
                  <c:v>1.1000000000000001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88-400F-B009-7743950B1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4360"/>
        <c:axId val="449426000"/>
      </c:lineChart>
      <c:catAx>
        <c:axId val="44942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000"/>
        <c:crosses val="autoZero"/>
        <c:auto val="0"/>
        <c:lblAlgn val="ctr"/>
        <c:lblOffset val="100"/>
        <c:noMultiLvlLbl val="0"/>
      </c:catAx>
      <c:valAx>
        <c:axId val="449426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43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540-414E-80C5-E6B3CBABA5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11.57</c:v>
                </c:pt>
                <c:pt idx="1">
                  <c:v>11.32</c:v>
                </c:pt>
                <c:pt idx="2">
                  <c:v>12.54</c:v>
                </c:pt>
                <c:pt idx="3">
                  <c:v>10.11</c:v>
                </c:pt>
                <c:pt idx="4">
                  <c:v>9.26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40-414E-80C5-E6B3CBABA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4528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4528"/>
        <c:crosses val="autoZero"/>
        <c:auto val="0"/>
        <c:lblAlgn val="ctr"/>
        <c:lblOffset val="100"/>
        <c:noMultiLvlLbl val="0"/>
      </c:catAx>
      <c:valAx>
        <c:axId val="449434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D8E-4D2D-A99E-72B774B3A4E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D8E-4D2D-A99E-72B774B3A4E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D8E-4D2D-A99E-72B774B3A4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1.8</c:v>
                </c:pt>
                <c:pt idx="1">
                  <c:v>2.02</c:v>
                </c:pt>
                <c:pt idx="2">
                  <c:v>1.77</c:v>
                </c:pt>
                <c:pt idx="3">
                  <c:v>1.85</c:v>
                </c:pt>
                <c:pt idx="4">
                  <c:v>2.2200000000000002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E-4D2D-A99E-72B774B3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4943584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5840"/>
        <c:crosses val="autoZero"/>
        <c:auto val="0"/>
        <c:lblAlgn val="ctr"/>
        <c:lblOffset val="100"/>
        <c:noMultiLvlLbl val="0"/>
      </c:catAx>
      <c:valAx>
        <c:axId val="449435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82C-4121-B39E-43A88F7A551A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82C-4121-B39E-43A88F7A55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2.1</c:v>
                </c:pt>
                <c:pt idx="1">
                  <c:v>2.2799999999999998</c:v>
                </c:pt>
                <c:pt idx="2">
                  <c:v>1.97</c:v>
                </c:pt>
                <c:pt idx="3">
                  <c:v>1.61</c:v>
                </c:pt>
                <c:pt idx="4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C-4121-B39E-43A88F7A5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576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EE5-44E2-A16C-4C6677FE7E3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E5-44E2-A16C-4C6677FE7E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68.540000000000006</c:v>
                </c:pt>
                <c:pt idx="1">
                  <c:v>62.44</c:v>
                </c:pt>
                <c:pt idx="2">
                  <c:v>69.75</c:v>
                </c:pt>
                <c:pt idx="3">
                  <c:v>85.44</c:v>
                </c:pt>
                <c:pt idx="4">
                  <c:v>83.24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5-44E2-A16C-4C6677FE7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1768"/>
        <c:axId val="439593736"/>
      </c:lineChart>
      <c:catAx>
        <c:axId val="43959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3736"/>
        <c:crosses val="autoZero"/>
        <c:auto val="0"/>
        <c:lblAlgn val="ctr"/>
        <c:lblOffset val="100"/>
        <c:noMultiLvlLbl val="0"/>
      </c:catAx>
      <c:valAx>
        <c:axId val="439593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1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D6-4E12-ACCE-816A2B99AEEA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2D6-4E12-ACCE-816A2B99AE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173.7</c:v>
                </c:pt>
                <c:pt idx="1">
                  <c:v>159.88</c:v>
                </c:pt>
                <c:pt idx="2">
                  <c:v>185.18</c:v>
                </c:pt>
                <c:pt idx="3">
                  <c:v>226.97</c:v>
                </c:pt>
                <c:pt idx="4">
                  <c:v>221.31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D6-4E12-ACCE-816A2B99A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912"/>
        <c:axId val="553815896"/>
      </c:lineChart>
      <c:catAx>
        <c:axId val="553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896"/>
        <c:crosses val="autoZero"/>
        <c:auto val="0"/>
        <c:lblAlgn val="ctr"/>
        <c:lblOffset val="100"/>
        <c:noMultiLvlLbl val="0"/>
      </c:catAx>
      <c:valAx>
        <c:axId val="553815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9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46D-4CBD-9DB8-B392ADFDD90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46D-4CBD-9DB8-B392ADFDD90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46D-4CBD-9DB8-B392ADFDD90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31.56</c:v>
                </c:pt>
                <c:pt idx="1">
                  <c:v>32.24</c:v>
                </c:pt>
                <c:pt idx="2">
                  <c:v>29.12</c:v>
                </c:pt>
                <c:pt idx="3">
                  <c:v>36.1</c:v>
                </c:pt>
                <c:pt idx="4">
                  <c:v>39.44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6D-4CBD-9DB8-B392ADFDD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832313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7DA-450D-B36C-885B78B14D7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7DA-450D-B36C-885B78B14D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242.24</c:v>
                </c:pt>
                <c:pt idx="1">
                  <c:v>222.32</c:v>
                </c:pt>
                <c:pt idx="2">
                  <c:v>254.93</c:v>
                </c:pt>
                <c:pt idx="3">
                  <c:v>312.41000000000003</c:v>
                </c:pt>
                <c:pt idx="4">
                  <c:v>304.55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DA-450D-B36C-885B78B14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3216"/>
        <c:axId val="449430920"/>
      </c:lineChart>
      <c:catAx>
        <c:axId val="4494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920"/>
        <c:crosses val="autoZero"/>
        <c:auto val="0"/>
        <c:lblAlgn val="ctr"/>
        <c:lblOffset val="100"/>
        <c:noMultiLvlLbl val="0"/>
      </c:catAx>
      <c:valAx>
        <c:axId val="449430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32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F82-4B4C-A720-EFFFD095FA6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82-4B4C-A720-EFFFD095FA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-68.540000000000006</c:v>
                </c:pt>
                <c:pt idx="1">
                  <c:v>-62.44</c:v>
                </c:pt>
                <c:pt idx="2">
                  <c:v>-69.75</c:v>
                </c:pt>
                <c:pt idx="3">
                  <c:v>-85.44</c:v>
                </c:pt>
                <c:pt idx="4">
                  <c:v>-83.24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2-4B4C-A720-EFFFD095F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3408"/>
        <c:axId val="439592424"/>
      </c:lineChart>
      <c:catAx>
        <c:axId val="4395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2424"/>
        <c:crosses val="autoZero"/>
        <c:auto val="0"/>
        <c:lblAlgn val="ctr"/>
        <c:lblOffset val="100"/>
        <c:noMultiLvlLbl val="0"/>
      </c:catAx>
      <c:valAx>
        <c:axId val="439592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39593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54847.83</c:v>
                </c:pt>
                <c:pt idx="1">
                  <c:v>59843.988687078891</c:v>
                </c:pt>
                <c:pt idx="2">
                  <c:v>62570.608811716083</c:v>
                </c:pt>
                <c:pt idx="3">
                  <c:v>65586.618139319529</c:v>
                </c:pt>
                <c:pt idx="4">
                  <c:v>72297.62396319845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EE-464C-9DB5-A2F53B365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647552"/>
        <c:axId val="55364820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154973.9486870789</c:v>
                </c:pt>
                <c:pt idx="2">
                  <c:v>173781.60881171608</c:v>
                </c:pt>
                <c:pt idx="3">
                  <c:v>188752.61813931953</c:v>
                </c:pt>
                <c:pt idx="4">
                  <c:v>217168.62396319845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4C-9DB5-A2F53B365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7552"/>
        <c:axId val="553648208"/>
      </c:lineChart>
      <c:catAx>
        <c:axId val="5536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208"/>
        <c:crosses val="autoZero"/>
        <c:auto val="1"/>
        <c:lblAlgn val="ctr"/>
        <c:lblOffset val="100"/>
        <c:noMultiLvlLbl val="0"/>
      </c:catAx>
      <c:valAx>
        <c:axId val="55364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5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12315.37405978945</c:v>
                </c:pt>
                <c:pt idx="1">
                  <c:v>16462.638687078885</c:v>
                </c:pt>
                <c:pt idx="2">
                  <c:v>14779.010124637192</c:v>
                </c:pt>
                <c:pt idx="3">
                  <c:v>16819.009327603446</c:v>
                </c:pt>
                <c:pt idx="4">
                  <c:v>21999.005823878921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4A-440B-9F48-6008A1F8765D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7809.1340597894505</c:v>
                </c:pt>
                <c:pt idx="1">
                  <c:v>11685.658687078885</c:v>
                </c:pt>
                <c:pt idx="2">
                  <c:v>9688.0101246371923</c:v>
                </c:pt>
                <c:pt idx="3">
                  <c:v>10191.009327603446</c:v>
                </c:pt>
                <c:pt idx="4">
                  <c:v>15270.005823878921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4A-440B-9F48-6008A1F87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16936"/>
        <c:axId val="558020216"/>
      </c:barChart>
      <c:catAx>
        <c:axId val="55801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20216"/>
        <c:crosses val="autoZero"/>
        <c:auto val="1"/>
        <c:lblAlgn val="ctr"/>
        <c:lblOffset val="100"/>
        <c:noMultiLvlLbl val="0"/>
      </c:catAx>
      <c:valAx>
        <c:axId val="558020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69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644-4099-9CE2-0E68FB53E9C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644-4099-9CE2-0E68FB53E9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411.54</c:v>
                </c:pt>
                <c:pt idx="1">
                  <c:v>281.25</c:v>
                </c:pt>
                <c:pt idx="2">
                  <c:v>348.75</c:v>
                </c:pt>
                <c:pt idx="3">
                  <c:v>324.08</c:v>
                </c:pt>
                <c:pt idx="4">
                  <c:v>667.93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44-4099-9CE2-0E68FB53E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786424"/>
        <c:axId val="624788064"/>
      </c:lineChart>
      <c:catAx>
        <c:axId val="624786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8064"/>
        <c:crosses val="autoZero"/>
        <c:auto val="0"/>
        <c:lblAlgn val="ctr"/>
        <c:lblOffset val="100"/>
        <c:noMultiLvlLbl val="0"/>
      </c:catAx>
      <c:valAx>
        <c:axId val="624788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786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49894.59</c:v>
                </c:pt>
                <c:pt idx="1">
                  <c:v>79479.678687078878</c:v>
                </c:pt>
                <c:pt idx="2">
                  <c:v>97531.588811716065</c:v>
                </c:pt>
                <c:pt idx="3">
                  <c:v>101150.59813931951</c:v>
                </c:pt>
                <c:pt idx="4">
                  <c:v>138420.60396319843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1C-422C-9C5D-33ECC73B2C7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37827.229999999996</c:v>
                </c:pt>
                <c:pt idx="1">
                  <c:v>38409.67</c:v>
                </c:pt>
                <c:pt idx="2">
                  <c:v>39434</c:v>
                </c:pt>
                <c:pt idx="3">
                  <c:v>53649</c:v>
                </c:pt>
                <c:pt idx="4">
                  <c:v>75994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1C-422C-9C5D-33ECC73B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89144"/>
        <c:axId val="439589472"/>
      </c:barChart>
      <c:catAx>
        <c:axId val="43958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89472"/>
        <c:crosses val="autoZero"/>
        <c:auto val="1"/>
        <c:lblAlgn val="ctr"/>
        <c:lblOffset val="100"/>
        <c:noMultiLvlLbl val="0"/>
      </c:catAx>
      <c:valAx>
        <c:axId val="439589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891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7081.05</c:v>
                </c:pt>
                <c:pt idx="1">
                  <c:v>7440.11</c:v>
                </c:pt>
                <c:pt idx="2">
                  <c:v>8337</c:v>
                </c:pt>
                <c:pt idx="3">
                  <c:v>8146</c:v>
                </c:pt>
                <c:pt idx="4">
                  <c:v>6848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B3-4241-847F-E20806C5F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04792"/>
        <c:axId val="6275057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1872.44</c:v>
                </c:pt>
                <c:pt idx="1">
                  <c:v>1978.08</c:v>
                </c:pt>
                <c:pt idx="2">
                  <c:v>2211</c:v>
                </c:pt>
                <c:pt idx="3">
                  <c:v>2610</c:v>
                </c:pt>
                <c:pt idx="4">
                  <c:v>2841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B3-4241-847F-E20806C5F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00856"/>
        <c:axId val="627501512"/>
      </c:lineChart>
      <c:catAx>
        <c:axId val="62750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7505776"/>
        <c:crosses val="autoZero"/>
        <c:auto val="1"/>
        <c:lblAlgn val="ctr"/>
        <c:lblOffset val="100"/>
        <c:noMultiLvlLbl val="0"/>
      </c:catAx>
      <c:valAx>
        <c:axId val="627505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4792"/>
        <c:crosses val="autoZero"/>
        <c:crossBetween val="between"/>
      </c:valAx>
      <c:valAx>
        <c:axId val="6275015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500856"/>
        <c:crosses val="max"/>
        <c:crossBetween val="between"/>
      </c:valAx>
      <c:catAx>
        <c:axId val="627500856"/>
        <c:scaling>
          <c:orientation val="minMax"/>
        </c:scaling>
        <c:delete val="1"/>
        <c:axPos val="b"/>
        <c:majorTickMark val="out"/>
        <c:minorTickMark val="none"/>
        <c:tickLblPos val="nextTo"/>
        <c:crossAx val="62750151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79486.399999999994</c:v>
                </c:pt>
                <c:pt idx="1">
                  <c:v>87686.82</c:v>
                </c:pt>
                <c:pt idx="2">
                  <c:v>77727</c:v>
                </c:pt>
                <c:pt idx="3">
                  <c:v>86276</c:v>
                </c:pt>
                <c:pt idx="4">
                  <c:v>125335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77-4DAA-9248-E93F7FF78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498560"/>
        <c:axId val="62749888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77-4DAA-9248-E93F7FF78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11024"/>
        <c:axId val="627508072"/>
      </c:lineChart>
      <c:catAx>
        <c:axId val="6274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7498888"/>
        <c:crosses val="autoZero"/>
        <c:auto val="1"/>
        <c:lblAlgn val="ctr"/>
        <c:lblOffset val="100"/>
        <c:noMultiLvlLbl val="0"/>
      </c:catAx>
      <c:valAx>
        <c:axId val="627498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498560"/>
        <c:crosses val="autoZero"/>
        <c:crossBetween val="between"/>
      </c:valAx>
      <c:valAx>
        <c:axId val="6275080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511024"/>
        <c:crosses val="max"/>
        <c:crossBetween val="between"/>
      </c:valAx>
      <c:catAx>
        <c:axId val="627511024"/>
        <c:scaling>
          <c:orientation val="minMax"/>
        </c:scaling>
        <c:delete val="1"/>
        <c:axPos val="b"/>
        <c:majorTickMark val="out"/>
        <c:minorTickMark val="none"/>
        <c:tickLblPos val="nextTo"/>
        <c:crossAx val="62750807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115195.63</c:v>
                </c:pt>
                <c:pt idx="1">
                  <c:v>129745.57</c:v>
                </c:pt>
                <c:pt idx="2">
                  <c:v>117140</c:v>
                </c:pt>
                <c:pt idx="3">
                  <c:v>131009</c:v>
                </c:pt>
                <c:pt idx="4">
                  <c:v>195059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F1-4A71-9C84-8ECAE7F3CF2F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115664.30405978944</c:v>
                </c:pt>
                <c:pt idx="1">
                  <c:v>130873.68868707889</c:v>
                </c:pt>
                <c:pt idx="2">
                  <c:v>118327.01012463719</c:v>
                </c:pt>
                <c:pt idx="3">
                  <c:v>132232.00932760345</c:v>
                </c:pt>
                <c:pt idx="4">
                  <c:v>196196.00582387892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F1-4A71-9C84-8ECAE7F3C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509712"/>
        <c:axId val="627507744"/>
      </c:barChart>
      <c:catAx>
        <c:axId val="62750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7744"/>
        <c:crosses val="autoZero"/>
        <c:auto val="1"/>
        <c:lblAlgn val="ctr"/>
        <c:lblOffset val="100"/>
        <c:noMultiLvlLbl val="0"/>
      </c:catAx>
      <c:valAx>
        <c:axId val="627507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97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154973.9486870789</c:v>
                </c:pt>
                <c:pt idx="2">
                  <c:v>173781.60881171608</c:v>
                </c:pt>
                <c:pt idx="3">
                  <c:v>188752.61813931953</c:v>
                </c:pt>
                <c:pt idx="4">
                  <c:v>217168.62396319845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2A-4A5D-9103-4CA39207FAD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55139.630000000005</c:v>
                </c:pt>
                <c:pt idx="1">
                  <c:v>56710.81</c:v>
                </c:pt>
                <c:pt idx="2">
                  <c:v>71767</c:v>
                </c:pt>
                <c:pt idx="3">
                  <c:v>69507</c:v>
                </c:pt>
                <c:pt idx="4">
                  <c:v>68866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2A-4A5D-9103-4CA39207F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649192"/>
        <c:axId val="553595920"/>
      </c:barChart>
      <c:catAx>
        <c:axId val="55364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5920"/>
        <c:crosses val="autoZero"/>
        <c:auto val="1"/>
        <c:lblAlgn val="ctr"/>
        <c:lblOffset val="100"/>
        <c:noMultiLvlLbl val="0"/>
      </c:catAx>
      <c:valAx>
        <c:axId val="553595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154973.9486870789</c:v>
                </c:pt>
                <c:pt idx="2">
                  <c:v>173781.60881171608</c:v>
                </c:pt>
                <c:pt idx="3">
                  <c:v>188752.61813931953</c:v>
                </c:pt>
                <c:pt idx="4">
                  <c:v>217168.62396319845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2-458B-88D5-3BF97785FBB1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37827.229999999996</c:v>
                </c:pt>
                <c:pt idx="1">
                  <c:v>38409.67</c:v>
                </c:pt>
                <c:pt idx="2">
                  <c:v>39434</c:v>
                </c:pt>
                <c:pt idx="3">
                  <c:v>53649</c:v>
                </c:pt>
                <c:pt idx="4">
                  <c:v>75994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58B-88D5-3BF97785F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826584"/>
        <c:axId val="361825600"/>
      </c:barChart>
      <c:catAx>
        <c:axId val="36182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5600"/>
        <c:crosses val="autoZero"/>
        <c:auto val="1"/>
        <c:lblAlgn val="ctr"/>
        <c:lblOffset val="100"/>
        <c:noMultiLvlLbl val="0"/>
      </c:catAx>
      <c:valAx>
        <c:axId val="36182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65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147823.32999999999</c:v>
                </c:pt>
                <c:pt idx="1">
                  <c:v>154973.9486870789</c:v>
                </c:pt>
                <c:pt idx="2">
                  <c:v>173781.60881171608</c:v>
                </c:pt>
                <c:pt idx="3">
                  <c:v>188752.61813931953</c:v>
                </c:pt>
                <c:pt idx="4">
                  <c:v>217168.62396319845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07-4164-87C6-D1707E74552F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97928.739999999991</c:v>
                </c:pt>
                <c:pt idx="1">
                  <c:v>75494.27</c:v>
                </c:pt>
                <c:pt idx="2">
                  <c:v>76250.02</c:v>
                </c:pt>
                <c:pt idx="3">
                  <c:v>87602.02</c:v>
                </c:pt>
                <c:pt idx="4">
                  <c:v>78748.02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07-4164-87C6-D1707E745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8507624"/>
        <c:axId val="558512216"/>
      </c:barChart>
      <c:catAx>
        <c:axId val="55850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12216"/>
        <c:crosses val="autoZero"/>
        <c:auto val="1"/>
        <c:lblAlgn val="ctr"/>
        <c:lblOffset val="100"/>
        <c:noMultiLvlLbl val="0"/>
      </c:catAx>
      <c:valAx>
        <c:axId val="558512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076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147823.32999999999</c:v>
                </c:pt>
                <c:pt idx="1">
                  <c:v>154973.9486870789</c:v>
                </c:pt>
                <c:pt idx="2">
                  <c:v>173781.60881171608</c:v>
                </c:pt>
                <c:pt idx="3">
                  <c:v>188752.61813931953</c:v>
                </c:pt>
                <c:pt idx="4">
                  <c:v>217168.62396319845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7-4E31-A858-9301E89DA44A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49894.59</c:v>
                </c:pt>
                <c:pt idx="1">
                  <c:v>79479.678687078878</c:v>
                </c:pt>
                <c:pt idx="2">
                  <c:v>97531.588811716065</c:v>
                </c:pt>
                <c:pt idx="3">
                  <c:v>101150.59813931951</c:v>
                </c:pt>
                <c:pt idx="4">
                  <c:v>138420.60396319843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D7-4E31-A858-9301E89DA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2986928"/>
        <c:axId val="562987256"/>
      </c:barChart>
      <c:catAx>
        <c:axId val="56298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987256"/>
        <c:crosses val="autoZero"/>
        <c:auto val="1"/>
        <c:lblAlgn val="ctr"/>
        <c:lblOffset val="100"/>
        <c:noMultiLvlLbl val="0"/>
      </c:catAx>
      <c:valAx>
        <c:axId val="562987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9869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103348.93</c:v>
                </c:pt>
                <c:pt idx="1">
                  <c:v>114411.05</c:v>
                </c:pt>
                <c:pt idx="2">
                  <c:v>103548</c:v>
                </c:pt>
                <c:pt idx="3">
                  <c:v>115413</c:v>
                </c:pt>
                <c:pt idx="4">
                  <c:v>174197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E3-483A-97F0-F058F050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842952"/>
        <c:axId val="45283704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115664.30405978944</c:v>
                </c:pt>
                <c:pt idx="1">
                  <c:v>130873.68868707889</c:v>
                </c:pt>
                <c:pt idx="2">
                  <c:v>118327.01012463719</c:v>
                </c:pt>
                <c:pt idx="3">
                  <c:v>132232.00932760345</c:v>
                </c:pt>
                <c:pt idx="4">
                  <c:v>196196.00582387892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E3-483A-97F0-F058F050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470880"/>
        <c:axId val="452837704"/>
      </c:lineChart>
      <c:catAx>
        <c:axId val="45284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7048"/>
        <c:crosses val="autoZero"/>
        <c:auto val="1"/>
        <c:lblAlgn val="ctr"/>
        <c:lblOffset val="100"/>
        <c:noMultiLvlLbl val="0"/>
      </c:catAx>
      <c:valAx>
        <c:axId val="452837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42952"/>
        <c:crosses val="autoZero"/>
        <c:crossBetween val="between"/>
      </c:valAx>
      <c:valAx>
        <c:axId val="4528377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470880"/>
        <c:crosses val="max"/>
        <c:crossBetween val="between"/>
      </c:valAx>
      <c:catAx>
        <c:axId val="453470880"/>
        <c:scaling>
          <c:orientation val="minMax"/>
        </c:scaling>
        <c:delete val="1"/>
        <c:axPos val="b"/>
        <c:majorTickMark val="out"/>
        <c:minorTickMark val="none"/>
        <c:tickLblPos val="nextTo"/>
        <c:crossAx val="45283770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3304.6340597894505</c:v>
                </c:pt>
                <c:pt idx="1">
                  <c:v>4996.6586870788851</c:v>
                </c:pt>
                <c:pt idx="2">
                  <c:v>2727.0101246371923</c:v>
                </c:pt>
                <c:pt idx="3">
                  <c:v>3016.0093276034459</c:v>
                </c:pt>
                <c:pt idx="4">
                  <c:v>6711.0058238789206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2A-4F7F-A7BE-B01C4ACD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476456"/>
        <c:axId val="45347219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3598.3940597894507</c:v>
                </c:pt>
                <c:pt idx="1">
                  <c:v>5319.528687078885</c:v>
                </c:pt>
                <c:pt idx="2">
                  <c:v>3050.0101246371923</c:v>
                </c:pt>
                <c:pt idx="3">
                  <c:v>3238.0093276034459</c:v>
                </c:pt>
                <c:pt idx="4">
                  <c:v>6711.0058238789206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2A-4F7F-A7BE-B01C4ACD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836392"/>
        <c:axId val="453477440"/>
      </c:lineChart>
      <c:catAx>
        <c:axId val="45347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2192"/>
        <c:crosses val="autoZero"/>
        <c:auto val="1"/>
        <c:lblAlgn val="ctr"/>
        <c:lblOffset val="100"/>
        <c:noMultiLvlLbl val="0"/>
      </c:catAx>
      <c:valAx>
        <c:axId val="453472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6456"/>
        <c:crosses val="autoZero"/>
        <c:crossBetween val="between"/>
      </c:valAx>
      <c:valAx>
        <c:axId val="4534774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2836392"/>
        <c:crosses val="max"/>
        <c:crossBetween val="between"/>
      </c:valAx>
      <c:catAx>
        <c:axId val="452836392"/>
        <c:scaling>
          <c:orientation val="minMax"/>
        </c:scaling>
        <c:delete val="1"/>
        <c:axPos val="b"/>
        <c:majorTickMark val="out"/>
        <c:minorTickMark val="none"/>
        <c:tickLblPos val="nextTo"/>
        <c:crossAx val="453477440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8F2-4A7B-BA45-3BB04BA591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0.08</c:v>
                </c:pt>
                <c:pt idx="1">
                  <c:v>0.05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F2-4A7B-BA45-3BB04BA59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720"/>
        <c:axId val="449430264"/>
      </c:lineChart>
      <c:catAx>
        <c:axId val="44942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7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D8-44B1-8A93-9576127AFE7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5D8-44B1-8A93-9576127AFE7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5D8-44B1-8A93-9576127AFE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-1.2000000000000002</c:v>
                </c:pt>
                <c:pt idx="1">
                  <c:v>-0.27</c:v>
                </c:pt>
                <c:pt idx="2">
                  <c:v>-0.49</c:v>
                </c:pt>
                <c:pt idx="3">
                  <c:v>-0.10000000000000009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D8-44B1-8A93-9576127AF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1224"/>
        <c:axId val="632059256"/>
      </c:lineChart>
      <c:catAx>
        <c:axId val="63206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9256"/>
        <c:crosses val="autoZero"/>
        <c:auto val="0"/>
        <c:lblAlgn val="ctr"/>
        <c:lblOffset val="100"/>
        <c:noMultiLvlLbl val="0"/>
      </c:catAx>
      <c:valAx>
        <c:axId val="632059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32061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BBF-4695-9CE4-254C0993127D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BBF-4695-9CE4-254C0993127D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BBF-4695-9CE4-254C099312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35709.230000000003</c:v>
                </c:pt>
                <c:pt idx="1">
                  <c:v>42058.75</c:v>
                </c:pt>
                <c:pt idx="2">
                  <c:v>39413</c:v>
                </c:pt>
                <c:pt idx="3">
                  <c:v>44733</c:v>
                </c:pt>
                <c:pt idx="4">
                  <c:v>69724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BF-4695-9CE4-254C09931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49423048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048"/>
        <c:crosses val="autoZero"/>
        <c:auto val="0"/>
        <c:lblAlgn val="ctr"/>
        <c:lblOffset val="100"/>
        <c:noMultiLvlLbl val="0"/>
      </c:catAx>
      <c:valAx>
        <c:axId val="449423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6A-4560-871D-4C05818FAB4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16A-4560-871D-4C05818FAB4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16A-4560-871D-4C05818FAB4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11846.7</c:v>
                </c:pt>
                <c:pt idx="1">
                  <c:v>15334.52</c:v>
                </c:pt>
                <c:pt idx="2">
                  <c:v>13592</c:v>
                </c:pt>
                <c:pt idx="3">
                  <c:v>15596</c:v>
                </c:pt>
                <c:pt idx="4">
                  <c:v>20862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6A-4560-871D-4C05818FA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712"/>
        <c:axId val="364049320"/>
      </c:lineChart>
      <c:catAx>
        <c:axId val="3640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320"/>
        <c:crosses val="autoZero"/>
        <c:auto val="0"/>
        <c:lblAlgn val="ctr"/>
        <c:lblOffset val="100"/>
        <c:noMultiLvlLbl val="0"/>
      </c:catAx>
      <c:valAx>
        <c:axId val="364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5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AD8-4FFE-82B8-52D3E1803DB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AD8-4FFE-82B8-52D3E1803DB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AD8-4FFE-82B8-52D3E1803D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D8-4FFE-82B8-52D3E1803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8544"/>
        <c:axId val="104319400"/>
      </c:lineChart>
      <c:catAx>
        <c:axId val="4407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07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9A4-428A-995A-70672A0D703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9A4-428A-995A-70672A0D703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9A4-428A-995A-70672A0D70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0.1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A4-428A-995A-70672A0D7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439793120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3120"/>
        <c:crosses val="autoZero"/>
        <c:auto val="0"/>
        <c:lblAlgn val="ctr"/>
        <c:lblOffset val="100"/>
        <c:noMultiLvlLbl val="0"/>
      </c:catAx>
      <c:valAx>
        <c:axId val="439793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03BCA-CC83-D82C-01E1-21D1749FA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97C055-C10B-3C63-4D26-C9AD26A7A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03674C-9B70-AFE2-2587-D9E615378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17F9B3-31E8-E4B4-2323-10EDABF37C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EC2DFC-0E59-EB25-BF81-B9A29C51FC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0ABE5A-0611-0076-F191-A61AC395B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A68266-B4D7-CA17-1EBD-B9F775797A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19EDF7-522A-1EF2-E979-03B014D072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27BB6A-F962-770F-E55A-4EB7DFB87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33E9C7-3B9C-4DE5-C165-4184AEB657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DAFFF3-33D6-BA3B-9711-66D9B1CD82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B098CD-D2C6-6048-E539-35E916B92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EAACA6-CD4D-12B3-58F4-BAEA2D8D0F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DF0880-F033-0D2B-3680-76EA46DAF8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53F58-E9FD-6FCD-FFEB-7B30E5F20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C89318-27BE-037A-7783-A944B69FE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51D5A8-2BED-A6FB-6E7C-2504729017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1D8353-7B5E-0C14-7956-99F421C3D7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674E3F-2E88-78E9-BB00-72DA2DE46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271960-2F91-5715-52A9-68C5254F4D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D857C25B-2618-F6BD-6882-6B810B774A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E6B8DDB-8301-E7A4-0F3C-EC9A38E65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7C6D84-E59A-259C-7269-41C7A6E38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F38833CD-A0A1-34B4-85FE-A769E46388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9C03C710-9FE5-798A-ED03-5B1F403BC0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CDE1EF5-C707-6498-A03B-080B145920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205BA693-3C9E-5850-6415-0FDB27F02E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8148DE5B-1E73-B223-3E0D-BE5D45B05C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D497692E-4D2F-747D-486C-785824FCE7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84130F0D-52B1-1B53-2FDC-7AE7E70ED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8571A41-9F14-32C8-18E6-85FC415DC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6E1BE338-83DC-D6BA-FBAB-08B8C8A49B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98210E22-956A-13A2-285B-B525AAD4CF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1159FD-EF85-0FB2-60A9-7D7B76CC4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7FDF39-15B4-E054-8FC5-C5E72913C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6E6596-314F-F49B-BA5B-36CAB59944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E536CB-02D6-0838-3823-ECA71FFE1B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AEE2F3-FB8C-0A64-315D-D79A78E026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4AF639-3358-2770-8ED8-2F92A74710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3EC8F-6D1D-477A-8274-7CC53A83C5D0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>
        <v>222.89</v>
      </c>
      <c r="D6">
        <v>222.39</v>
      </c>
      <c r="E6">
        <v>222</v>
      </c>
      <c r="F6">
        <v>222</v>
      </c>
      <c r="G6">
        <v>222</v>
      </c>
      <c r="H6" t="s">
        <v>1</v>
      </c>
    </row>
    <row r="7" spans="1:15" x14ac:dyDescent="0.25">
      <c r="B7" t="s">
        <v>6</v>
      </c>
      <c r="C7">
        <v>222.89</v>
      </c>
      <c r="D7">
        <v>222.39</v>
      </c>
      <c r="E7">
        <v>222</v>
      </c>
      <c r="F7">
        <v>222</v>
      </c>
      <c r="G7">
        <v>222</v>
      </c>
      <c r="H7" t="s">
        <v>1</v>
      </c>
    </row>
    <row r="8" spans="1:15" x14ac:dyDescent="0.25">
      <c r="A8" t="s">
        <v>90</v>
      </c>
      <c r="B8" t="s">
        <v>7</v>
      </c>
      <c r="C8" s="2">
        <v>54624.94</v>
      </c>
      <c r="D8" s="2">
        <v>57275.45</v>
      </c>
      <c r="E8" s="2">
        <v>58047</v>
      </c>
      <c r="F8" s="2">
        <v>66253</v>
      </c>
      <c r="G8" s="2">
        <v>77969</v>
      </c>
      <c r="H8" t="s">
        <v>1</v>
      </c>
    </row>
    <row r="9" spans="1:15" x14ac:dyDescent="0.25">
      <c r="B9" t="s">
        <v>8</v>
      </c>
      <c r="C9" s="2">
        <v>54624.94</v>
      </c>
      <c r="D9" s="2">
        <v>57275.45</v>
      </c>
      <c r="E9" s="2">
        <v>58047</v>
      </c>
      <c r="F9" s="2">
        <v>66253</v>
      </c>
      <c r="G9" s="2">
        <v>77969</v>
      </c>
      <c r="H9" t="s">
        <v>1</v>
      </c>
    </row>
    <row r="10" spans="1:15" x14ac:dyDescent="0.25">
      <c r="B10" t="s">
        <v>9</v>
      </c>
      <c r="C10" s="2">
        <v>54847.83</v>
      </c>
      <c r="D10" s="2">
        <v>57497.84</v>
      </c>
      <c r="E10" s="2">
        <v>58313</v>
      </c>
      <c r="F10" s="2">
        <v>66529</v>
      </c>
      <c r="G10" s="2">
        <v>78191</v>
      </c>
      <c r="H10" t="s">
        <v>1</v>
      </c>
    </row>
    <row r="11" spans="1:15" x14ac:dyDescent="0.25">
      <c r="A11" t="s">
        <v>10</v>
      </c>
      <c r="B11" t="s">
        <v>10</v>
      </c>
      <c r="C11">
        <v>8.64</v>
      </c>
      <c r="D11">
        <v>9.48</v>
      </c>
      <c r="E11">
        <v>10</v>
      </c>
      <c r="F11">
        <v>10</v>
      </c>
      <c r="G11">
        <v>11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47874.26</v>
      </c>
      <c r="D13" s="2">
        <v>48031.61</v>
      </c>
      <c r="E13" s="2">
        <v>58379</v>
      </c>
      <c r="F13" s="2">
        <v>58985</v>
      </c>
      <c r="G13" s="2">
        <v>51635</v>
      </c>
      <c r="H13" t="s">
        <v>1</v>
      </c>
    </row>
    <row r="14" spans="1:15" x14ac:dyDescent="0.25">
      <c r="A14" t="s">
        <v>91</v>
      </c>
      <c r="B14" t="s">
        <v>13</v>
      </c>
      <c r="C14" s="2">
        <v>3867.21</v>
      </c>
      <c r="D14" s="2">
        <v>4453.47</v>
      </c>
      <c r="E14" s="2">
        <v>4671</v>
      </c>
      <c r="F14" s="2">
        <v>4493</v>
      </c>
      <c r="G14" s="2">
        <v>5631</v>
      </c>
      <c r="H14" t="s">
        <v>1</v>
      </c>
    </row>
    <row r="15" spans="1:15" x14ac:dyDescent="0.25">
      <c r="A15" t="s">
        <v>92</v>
      </c>
      <c r="B15" t="s">
        <v>14</v>
      </c>
      <c r="C15" s="2">
        <v>1383.67</v>
      </c>
      <c r="D15" s="2">
        <v>1456.36</v>
      </c>
      <c r="E15" s="2">
        <v>2597</v>
      </c>
      <c r="F15" s="2">
        <v>3039</v>
      </c>
      <c r="G15" s="2">
        <v>3473</v>
      </c>
      <c r="H15" t="s">
        <v>1</v>
      </c>
    </row>
    <row r="16" spans="1:15" x14ac:dyDescent="0.25">
      <c r="A16" t="s">
        <v>93</v>
      </c>
      <c r="B16" t="s">
        <v>15</v>
      </c>
      <c r="C16" s="2">
        <v>7081.05</v>
      </c>
      <c r="D16" s="2">
        <v>7440.11</v>
      </c>
      <c r="E16" s="2">
        <v>8337</v>
      </c>
      <c r="F16" s="2">
        <v>8146</v>
      </c>
      <c r="G16" s="2">
        <v>6848</v>
      </c>
      <c r="H16" t="s">
        <v>1</v>
      </c>
    </row>
    <row r="17" spans="1:8" x14ac:dyDescent="0.25">
      <c r="B17" t="s">
        <v>16</v>
      </c>
      <c r="C17" s="2">
        <v>60206.19</v>
      </c>
      <c r="D17" s="2">
        <v>61381.55</v>
      </c>
      <c r="E17" s="2">
        <v>73984</v>
      </c>
      <c r="F17" s="2">
        <v>74663</v>
      </c>
      <c r="G17" s="2">
        <v>67587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3398.16</v>
      </c>
      <c r="D19" s="2">
        <v>4225.7299999999996</v>
      </c>
      <c r="E19" s="2">
        <v>8717</v>
      </c>
      <c r="F19" s="2">
        <v>6029</v>
      </c>
      <c r="G19" s="2">
        <v>11600</v>
      </c>
      <c r="H19" t="s">
        <v>1</v>
      </c>
    </row>
    <row r="20" spans="1:8" x14ac:dyDescent="0.25">
      <c r="A20" t="s">
        <v>92</v>
      </c>
      <c r="B20" t="s">
        <v>19</v>
      </c>
      <c r="C20" s="2">
        <v>20404.8</v>
      </c>
      <c r="D20" s="2">
        <v>20722.849999999999</v>
      </c>
      <c r="E20" s="2">
        <v>18300</v>
      </c>
      <c r="F20" s="2">
        <v>28280</v>
      </c>
      <c r="G20" s="2">
        <v>41382</v>
      </c>
      <c r="H20" t="s">
        <v>1</v>
      </c>
    </row>
    <row r="21" spans="1:8" x14ac:dyDescent="0.25">
      <c r="A21" t="s">
        <v>92</v>
      </c>
      <c r="B21" t="s">
        <v>20</v>
      </c>
      <c r="C21" s="2">
        <v>7085.27</v>
      </c>
      <c r="D21" s="2">
        <v>6812.27</v>
      </c>
      <c r="E21" s="2">
        <v>7989</v>
      </c>
      <c r="F21" s="2">
        <v>11574</v>
      </c>
      <c r="G21" s="2">
        <v>21450</v>
      </c>
      <c r="H21" t="s">
        <v>1</v>
      </c>
    </row>
    <row r="22" spans="1:8" x14ac:dyDescent="0.25">
      <c r="A22" t="s">
        <v>93</v>
      </c>
      <c r="B22" t="s">
        <v>21</v>
      </c>
      <c r="C22" s="2">
        <v>1872.44</v>
      </c>
      <c r="D22" s="2">
        <v>1978.08</v>
      </c>
      <c r="E22" s="2">
        <v>2211</v>
      </c>
      <c r="F22" s="2">
        <v>2610</v>
      </c>
      <c r="G22" s="2">
        <v>2841</v>
      </c>
      <c r="H22" t="s">
        <v>1</v>
      </c>
    </row>
    <row r="23" spans="1:8" x14ac:dyDescent="0.25">
      <c r="B23" t="s">
        <v>22</v>
      </c>
      <c r="C23" s="2">
        <v>32760.67</v>
      </c>
      <c r="D23" s="2">
        <v>33738.93</v>
      </c>
      <c r="E23" s="2">
        <v>37217</v>
      </c>
      <c r="F23" s="2">
        <v>48493</v>
      </c>
      <c r="G23" s="2">
        <v>77273</v>
      </c>
      <c r="H23" t="s">
        <v>1</v>
      </c>
    </row>
    <row r="24" spans="1:8" x14ac:dyDescent="0.25">
      <c r="B24" t="s">
        <v>23</v>
      </c>
      <c r="C24" s="2">
        <v>147827.26999999999</v>
      </c>
      <c r="D24" s="2">
        <v>152631.69</v>
      </c>
      <c r="E24" s="2">
        <v>169528</v>
      </c>
      <c r="F24" s="2">
        <v>189699</v>
      </c>
      <c r="G24" s="2">
        <v>223062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63910.31</v>
      </c>
      <c r="D27" s="2">
        <v>64208.08</v>
      </c>
      <c r="E27" s="2">
        <v>66089</v>
      </c>
      <c r="F27" s="2">
        <v>70870</v>
      </c>
      <c r="G27" s="2">
        <v>87854</v>
      </c>
      <c r="H27" t="s">
        <v>1</v>
      </c>
    </row>
    <row r="28" spans="1:8" x14ac:dyDescent="0.25">
      <c r="A28" t="s">
        <v>29</v>
      </c>
      <c r="B28" t="s">
        <v>27</v>
      </c>
      <c r="C28">
        <v>3348.68</v>
      </c>
      <c r="D28" s="2">
        <v>3076.53</v>
      </c>
      <c r="E28" s="2">
        <v>3008</v>
      </c>
      <c r="F28" s="2">
        <v>6082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1982.98</v>
      </c>
      <c r="D29" s="2">
        <v>3974.63</v>
      </c>
      <c r="E29" s="2">
        <v>7610</v>
      </c>
      <c r="F29" s="2">
        <v>10013</v>
      </c>
      <c r="G29" s="2">
        <v>0</v>
      </c>
      <c r="H29" t="s">
        <v>1</v>
      </c>
    </row>
    <row r="30" spans="1:8" x14ac:dyDescent="0.25">
      <c r="B30" t="s">
        <v>29</v>
      </c>
      <c r="C30" s="2">
        <v>69321.929999999993</v>
      </c>
      <c r="D30" s="2">
        <v>71381.72</v>
      </c>
      <c r="E30" s="2">
        <v>76818</v>
      </c>
      <c r="F30" s="2">
        <v>87154</v>
      </c>
      <c r="G30" s="2">
        <v>87854</v>
      </c>
      <c r="H30" t="s">
        <v>1</v>
      </c>
    </row>
    <row r="31" spans="1:8" x14ac:dyDescent="0.25">
      <c r="A31" t="s">
        <v>94</v>
      </c>
      <c r="B31" t="s">
        <v>30</v>
      </c>
      <c r="C31" s="2">
        <v>6877.83</v>
      </c>
      <c r="D31" s="2">
        <v>5156.7</v>
      </c>
      <c r="E31" s="2">
        <v>3132</v>
      </c>
      <c r="F31" s="2">
        <v>7716</v>
      </c>
      <c r="G31" s="2">
        <v>8667</v>
      </c>
      <c r="H31" t="s">
        <v>1</v>
      </c>
    </row>
    <row r="32" spans="1:8" x14ac:dyDescent="0.25">
      <c r="A32" t="s">
        <v>95</v>
      </c>
      <c r="B32" t="s">
        <v>31</v>
      </c>
      <c r="C32" s="2">
        <v>813.45</v>
      </c>
      <c r="D32">
        <v>802.94</v>
      </c>
      <c r="E32">
        <v>910</v>
      </c>
      <c r="F32">
        <v>887</v>
      </c>
      <c r="G32">
        <v>1207</v>
      </c>
      <c r="H32" t="s">
        <v>1</v>
      </c>
    </row>
    <row r="33" spans="1:8" x14ac:dyDescent="0.25">
      <c r="A33" t="s">
        <v>95</v>
      </c>
      <c r="B33" t="s">
        <v>32</v>
      </c>
      <c r="C33">
        <v>77.48</v>
      </c>
      <c r="D33">
        <v>72.53</v>
      </c>
      <c r="E33">
        <v>12</v>
      </c>
      <c r="F33">
        <v>12</v>
      </c>
      <c r="G33">
        <v>50</v>
      </c>
      <c r="H33" t="s">
        <v>1</v>
      </c>
    </row>
    <row r="34" spans="1:8" x14ac:dyDescent="0.25">
      <c r="A34" t="s">
        <v>95</v>
      </c>
      <c r="B34" t="s">
        <v>33</v>
      </c>
      <c r="C34" s="2">
        <v>2943.89</v>
      </c>
      <c r="D34" s="2">
        <v>2649.69</v>
      </c>
      <c r="E34" s="2">
        <v>2276</v>
      </c>
      <c r="F34" s="2">
        <v>2985</v>
      </c>
      <c r="G34" s="2">
        <v>2776</v>
      </c>
      <c r="H34" t="s">
        <v>1</v>
      </c>
    </row>
    <row r="35" spans="1:8" x14ac:dyDescent="0.25">
      <c r="B35" t="s">
        <v>34</v>
      </c>
      <c r="C35" s="2">
        <v>97864.02</v>
      </c>
      <c r="D35" s="2">
        <v>98638.19</v>
      </c>
      <c r="E35" s="2">
        <v>103246</v>
      </c>
      <c r="F35" s="2">
        <v>122071</v>
      </c>
      <c r="G35" s="2">
        <v>124519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3903.48</v>
      </c>
      <c r="D37" s="2">
        <v>3855.31</v>
      </c>
      <c r="E37" s="2">
        <v>6279</v>
      </c>
      <c r="F37" s="2">
        <v>9417</v>
      </c>
      <c r="G37" s="2">
        <v>5452</v>
      </c>
      <c r="H37" t="s">
        <v>1</v>
      </c>
    </row>
    <row r="38" spans="1:8" x14ac:dyDescent="0.25">
      <c r="A38" t="s">
        <v>96</v>
      </c>
      <c r="B38" t="s">
        <v>37</v>
      </c>
      <c r="C38" s="2">
        <v>21631.39</v>
      </c>
      <c r="D38" s="2">
        <v>22193.79</v>
      </c>
      <c r="E38" s="2">
        <v>22384</v>
      </c>
      <c r="F38" s="2">
        <v>30668</v>
      </c>
      <c r="G38" s="2">
        <v>44483</v>
      </c>
      <c r="H38" t="s">
        <v>1</v>
      </c>
    </row>
    <row r="39" spans="1:8" x14ac:dyDescent="0.25">
      <c r="A39" t="s">
        <v>96</v>
      </c>
      <c r="B39" t="s">
        <v>38</v>
      </c>
      <c r="C39" s="2">
        <v>9959.81</v>
      </c>
      <c r="D39" s="2">
        <v>11459.76</v>
      </c>
      <c r="E39" s="2">
        <v>9345</v>
      </c>
      <c r="F39" s="2">
        <v>12959</v>
      </c>
      <c r="G39" s="2">
        <v>21076</v>
      </c>
      <c r="H39" t="s">
        <v>1</v>
      </c>
    </row>
    <row r="40" spans="1:8" x14ac:dyDescent="0.25">
      <c r="A40" t="s">
        <v>96</v>
      </c>
      <c r="B40" t="s">
        <v>39</v>
      </c>
      <c r="C40" s="2">
        <v>8057.76</v>
      </c>
      <c r="D40" s="2">
        <v>9786.56</v>
      </c>
      <c r="E40" s="2">
        <v>21569</v>
      </c>
      <c r="F40" s="2">
        <v>8809</v>
      </c>
      <c r="G40" s="2">
        <v>17392</v>
      </c>
      <c r="H40" t="s">
        <v>1</v>
      </c>
    </row>
    <row r="41" spans="1:8" x14ac:dyDescent="0.25">
      <c r="A41" t="s">
        <v>95</v>
      </c>
      <c r="B41" t="s">
        <v>40</v>
      </c>
      <c r="C41">
        <v>57.95</v>
      </c>
      <c r="D41">
        <v>57.74</v>
      </c>
      <c r="E41">
        <v>55</v>
      </c>
      <c r="F41">
        <v>47</v>
      </c>
      <c r="G41">
        <v>7</v>
      </c>
      <c r="H41" t="s">
        <v>1</v>
      </c>
    </row>
    <row r="42" spans="1:8" x14ac:dyDescent="0.25">
      <c r="A42" t="s">
        <v>95</v>
      </c>
      <c r="B42" t="s">
        <v>41</v>
      </c>
      <c r="C42" s="2">
        <v>6352.86</v>
      </c>
      <c r="D42" s="2">
        <v>6640.34</v>
      </c>
      <c r="E42" s="2">
        <v>6650</v>
      </c>
      <c r="F42" s="2">
        <v>5728</v>
      </c>
      <c r="G42" s="2">
        <v>10133</v>
      </c>
      <c r="H42" t="s">
        <v>1</v>
      </c>
    </row>
    <row r="43" spans="1:8" x14ac:dyDescent="0.25">
      <c r="B43" t="s">
        <v>42</v>
      </c>
      <c r="C43" s="2">
        <v>49963.25</v>
      </c>
      <c r="D43" s="2">
        <v>53993.5</v>
      </c>
      <c r="E43" s="2">
        <v>66282</v>
      </c>
      <c r="F43" s="2">
        <v>67628</v>
      </c>
      <c r="G43" s="2">
        <v>98543</v>
      </c>
      <c r="H43" t="s">
        <v>1</v>
      </c>
    </row>
    <row r="44" spans="1:8" x14ac:dyDescent="0.25">
      <c r="B44" t="s">
        <v>43</v>
      </c>
      <c r="C44" s="2">
        <v>147827.26999999999</v>
      </c>
      <c r="D44" s="2">
        <v>152631.69</v>
      </c>
      <c r="E44" s="2">
        <v>169528</v>
      </c>
      <c r="F44" s="2">
        <v>189699</v>
      </c>
      <c r="G44" s="2">
        <v>223062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37896.51</v>
      </c>
      <c r="D47" s="2">
        <v>56672.07</v>
      </c>
      <c r="E47" s="2">
        <v>69188</v>
      </c>
      <c r="F47" s="2">
        <v>75698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49.18</v>
      </c>
      <c r="D49">
        <v>49.18</v>
      </c>
      <c r="E49">
        <v>49.18</v>
      </c>
      <c r="F49">
        <v>49.18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6798.17</v>
      </c>
      <c r="D51" s="2">
        <v>5004.62</v>
      </c>
      <c r="E51" s="2">
        <v>3011</v>
      </c>
      <c r="F51" s="2">
        <v>7611</v>
      </c>
      <c r="G51" s="2">
        <v>0</v>
      </c>
      <c r="H51" t="s">
        <v>1</v>
      </c>
    </row>
    <row r="52" spans="2:8" x14ac:dyDescent="0.25">
      <c r="B52" t="s">
        <v>51</v>
      </c>
      <c r="C52">
        <v>62.02</v>
      </c>
      <c r="D52">
        <v>82.66</v>
      </c>
      <c r="E52">
        <v>66</v>
      </c>
      <c r="F52">
        <v>53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3198.05</v>
      </c>
      <c r="D54" s="2">
        <v>3541.28</v>
      </c>
      <c r="E54" s="2">
        <v>6279</v>
      </c>
      <c r="F54" s="2">
        <v>9417</v>
      </c>
      <c r="G54" s="2">
        <v>0</v>
      </c>
      <c r="H54" t="s">
        <v>1</v>
      </c>
    </row>
    <row r="55" spans="2:8" x14ac:dyDescent="0.25">
      <c r="B55" t="s">
        <v>54</v>
      </c>
      <c r="C55">
        <v>702.71</v>
      </c>
      <c r="D55">
        <v>312.2</v>
      </c>
      <c r="E55">
        <v>0</v>
      </c>
      <c r="F55">
        <v>0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A6EE364F-9263-49DE-B8E0-589728EB31D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48B8-D80E-4FF0-86CC-DC76AA6F0C3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149</v>
      </c>
      <c r="C5" s="44"/>
      <c r="D5" s="44"/>
      <c r="E5" s="44"/>
      <c r="F5" s="44"/>
      <c r="G5" s="44"/>
    </row>
    <row r="6" spans="2:15" ht="18.75" x14ac:dyDescent="0.25">
      <c r="B6" s="12" t="str">
        <f>Balance_Sheet!B13</f>
        <v>Net Worth</v>
      </c>
      <c r="C6" s="13">
        <f>Balance_Sheet!C13</f>
        <v>54847.83</v>
      </c>
      <c r="D6" s="13">
        <f>Balance_Sheet!D13</f>
        <v>59843.988687078891</v>
      </c>
      <c r="E6" s="13">
        <f>Balance_Sheet!E13</f>
        <v>62570.608811716083</v>
      </c>
      <c r="F6" s="13">
        <f>Balance_Sheet!F13</f>
        <v>65586.618139319529</v>
      </c>
      <c r="G6" s="13">
        <f>Balance_Sheet!G13</f>
        <v>72297.62396319845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</row>
    <row r="8" spans="2:15" ht="18.75" x14ac:dyDescent="0.25">
      <c r="B8" s="14" t="s">
        <v>150</v>
      </c>
      <c r="C8" s="14">
        <f>ROUND(C6/C7, 2)</f>
        <v>411.54</v>
      </c>
      <c r="D8" s="14">
        <f t="shared" ref="D8:G8" si="0">ROUND(D6/D7, 2)</f>
        <v>281.25</v>
      </c>
      <c r="E8" s="14">
        <f t="shared" si="0"/>
        <v>348.75</v>
      </c>
      <c r="F8" s="14">
        <f t="shared" si="0"/>
        <v>324.08</v>
      </c>
      <c r="G8" s="14">
        <f t="shared" si="0"/>
        <v>667.93</v>
      </c>
    </row>
  </sheetData>
  <mergeCells count="1">
    <mergeCell ref="B5:G5"/>
  </mergeCells>
  <hyperlinks>
    <hyperlink ref="F1" location="Index_Data!A1" tooltip="Hi click here To return Index page" display="Index_Data!A1" xr:uid="{75312FC2-B45F-4860-A59A-08B500B38F55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85734-1E0D-4D67-9077-E7F5DEB98AA9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151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293.76</v>
      </c>
      <c r="D6" s="13">
        <f>Income_Statement!D51</f>
        <v>269.45999999999998</v>
      </c>
      <c r="E6" s="13">
        <f>Income_Statement!E51</f>
        <v>267</v>
      </c>
      <c r="F6" s="13">
        <f>Income_Statement!F51</f>
        <v>222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</row>
    <row r="8" spans="2:15" ht="18.75" x14ac:dyDescent="0.25">
      <c r="B8" s="12" t="s">
        <v>148</v>
      </c>
      <c r="C8" s="13">
        <f>ROUND(C6/C7, 2)</f>
        <v>2.2000000000000002</v>
      </c>
      <c r="D8" s="13">
        <f t="shared" ref="D8:G8" si="0">ROUND(D6/D7, 2)</f>
        <v>1.27</v>
      </c>
      <c r="E8" s="13">
        <f t="shared" si="0"/>
        <v>1.49</v>
      </c>
      <c r="F8" s="13">
        <f t="shared" si="0"/>
        <v>1.1000000000000001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3598.3940597894507</v>
      </c>
      <c r="D9" s="13">
        <f>Income_Statement!D49</f>
        <v>5319.528687078885</v>
      </c>
      <c r="E9" s="13">
        <f>Income_Statement!E49</f>
        <v>3050.0101246371923</v>
      </c>
      <c r="F9" s="13">
        <f>Income_Statement!F49</f>
        <v>3238.0093276034459</v>
      </c>
      <c r="G9" s="13">
        <f>Income_Statement!G49</f>
        <v>6711.0058238789206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133.27385406627596</v>
      </c>
      <c r="D10" s="13">
        <f>Income_Statement!D61</f>
        <v>212.78114748315539</v>
      </c>
      <c r="E10" s="13">
        <f>Income_Statement!E61</f>
        <v>179.41236027277603</v>
      </c>
      <c r="F10" s="13">
        <f>Income_Statement!F61</f>
        <v>202.37558297521537</v>
      </c>
      <c r="G10" s="13">
        <f>Income_Statement!G61</f>
        <v>108.24202941740195</v>
      </c>
    </row>
    <row r="11" spans="2:15" ht="18.75" x14ac:dyDescent="0.25">
      <c r="B11" s="12" t="s">
        <v>146</v>
      </c>
      <c r="C11" s="13">
        <f>C9/C10</f>
        <v>27</v>
      </c>
      <c r="D11" s="13">
        <f t="shared" ref="D11:G11" si="1">D9/D10</f>
        <v>25</v>
      </c>
      <c r="E11" s="13">
        <f t="shared" si="1"/>
        <v>17</v>
      </c>
      <c r="F11" s="13">
        <f t="shared" si="1"/>
        <v>16</v>
      </c>
      <c r="G11" s="13">
        <f t="shared" si="1"/>
        <v>62</v>
      </c>
    </row>
    <row r="12" spans="2:15" ht="18.75" x14ac:dyDescent="0.25">
      <c r="B12" s="14" t="s">
        <v>152</v>
      </c>
      <c r="C12" s="14">
        <f>ROUND(C8/C11, 2)</f>
        <v>0.08</v>
      </c>
      <c r="D12" s="14">
        <f t="shared" ref="D12:G12" si="2">ROUND(D8/D11, 2)</f>
        <v>0.05</v>
      </c>
      <c r="E12" s="14">
        <f t="shared" si="2"/>
        <v>0.09</v>
      </c>
      <c r="F12" s="14">
        <f t="shared" si="2"/>
        <v>7.0000000000000007E-2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80C02FBC-961B-4CAF-9889-D69E407E9868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9D8E5-4A00-4F9D-A5A2-626DDFD210FB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6" width="11.85546875" bestFit="1" customWidth="1"/>
    <col min="7" max="7" width="12.42578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153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293.76</v>
      </c>
      <c r="D6" s="13">
        <f>Income_Statement!D51</f>
        <v>269.45999999999998</v>
      </c>
      <c r="E6" s="13">
        <f>Income_Statement!E51</f>
        <v>267</v>
      </c>
      <c r="F6" s="13">
        <f>Income_Statement!F51</f>
        <v>222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</row>
    <row r="8" spans="2:15" ht="18.75" x14ac:dyDescent="0.25">
      <c r="B8" s="12" t="s">
        <v>154</v>
      </c>
      <c r="C8" s="13">
        <f>ROUND(C6/C7, 2)</f>
        <v>2.2000000000000002</v>
      </c>
      <c r="D8" s="13">
        <f t="shared" ref="D8:G8" si="0">ROUND(D6/D7, 2)</f>
        <v>1.27</v>
      </c>
      <c r="E8" s="13">
        <f t="shared" si="0"/>
        <v>1.49</v>
      </c>
      <c r="F8" s="13">
        <f t="shared" si="0"/>
        <v>1.1000000000000001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-1.2000000000000002</v>
      </c>
      <c r="D9" s="15">
        <f t="shared" ref="D9:G9" si="1">1-D8</f>
        <v>-0.27</v>
      </c>
      <c r="E9" s="15">
        <f t="shared" si="1"/>
        <v>-0.49</v>
      </c>
      <c r="F9" s="15">
        <f t="shared" si="1"/>
        <v>-0.10000000000000009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EE0D5750-5C43-450C-9AB6-FD0323868983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D15B-74C9-4792-8BA5-C0928B7D4AF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156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79486.399999999994</v>
      </c>
      <c r="D7" s="13">
        <f>Income_Statement!D17</f>
        <v>87686.82</v>
      </c>
      <c r="E7" s="13">
        <f>Income_Statement!E17</f>
        <v>77727</v>
      </c>
      <c r="F7" s="13">
        <f>Income_Statement!F17</f>
        <v>86276</v>
      </c>
      <c r="G7" s="13">
        <f>Income_Statement!G17</f>
        <v>125335</v>
      </c>
    </row>
    <row r="8" spans="2:15" ht="18.75" x14ac:dyDescent="0.25">
      <c r="B8" s="14" t="s">
        <v>157</v>
      </c>
      <c r="C8" s="16">
        <f>ROUND(C6- C7, 2)</f>
        <v>35709.230000000003</v>
      </c>
      <c r="D8" s="16">
        <f t="shared" ref="D8:G8" si="0">ROUND(D6- D7, 2)</f>
        <v>42058.75</v>
      </c>
      <c r="E8" s="16">
        <f t="shared" si="0"/>
        <v>39413</v>
      </c>
      <c r="F8" s="16">
        <f t="shared" si="0"/>
        <v>44733</v>
      </c>
      <c r="G8" s="16">
        <f t="shared" si="0"/>
        <v>69724</v>
      </c>
    </row>
  </sheetData>
  <mergeCells count="1">
    <mergeCell ref="B5:G5"/>
  </mergeCells>
  <hyperlinks>
    <hyperlink ref="F1" location="Index_Data!A1" tooltip="Hi click here To return Index page" display="Index_Data!A1" xr:uid="{E32AEBBE-12D9-43B0-8834-A5FC86FB0309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02A19-85D5-4E73-8772-1A90081ECF73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158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Income_Statement!B25</f>
        <v>Total Expenditure</v>
      </c>
      <c r="C7" s="13">
        <f>Income_Statement!C25</f>
        <v>103348.93</v>
      </c>
      <c r="D7" s="13">
        <f>Income_Statement!D25</f>
        <v>114411.05</v>
      </c>
      <c r="E7" s="13">
        <f>Income_Statement!E25</f>
        <v>103548</v>
      </c>
      <c r="F7" s="13">
        <f>Income_Statement!F25</f>
        <v>115413</v>
      </c>
      <c r="G7" s="13">
        <f>Income_Statement!G25</f>
        <v>174197</v>
      </c>
    </row>
    <row r="8" spans="2:15" ht="18.75" x14ac:dyDescent="0.25">
      <c r="B8" s="14" t="s">
        <v>159</v>
      </c>
      <c r="C8" s="16">
        <f>ROUND(C6- C7, 2)</f>
        <v>11846.7</v>
      </c>
      <c r="D8" s="16">
        <f t="shared" ref="D8:G8" si="0">ROUND(D6- D7, 2)</f>
        <v>15334.52</v>
      </c>
      <c r="E8" s="16">
        <f t="shared" si="0"/>
        <v>13592</v>
      </c>
      <c r="F8" s="16">
        <f t="shared" si="0"/>
        <v>15596</v>
      </c>
      <c r="G8" s="16">
        <f t="shared" si="0"/>
        <v>20862</v>
      </c>
    </row>
  </sheetData>
  <mergeCells count="1">
    <mergeCell ref="B5:G5"/>
  </mergeCells>
  <hyperlinks>
    <hyperlink ref="F1" location="Index_Data!A1" tooltip="Hi click here To return Index page" display="Index_Data!A1" xr:uid="{0A55A865-E067-46B8-99C2-3CF6D833BBD0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63846-B373-4596-A46F-C8CA826BDD8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160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3598.3940597894507</v>
      </c>
      <c r="D6" s="13">
        <f>Income_Statement!D49</f>
        <v>5319.528687078885</v>
      </c>
      <c r="E6" s="13">
        <f>Income_Statement!E49</f>
        <v>3050.0101246371923</v>
      </c>
      <c r="F6" s="13">
        <f>Income_Statement!F49</f>
        <v>3238.0093276034459</v>
      </c>
      <c r="G6" s="13">
        <f>Income_Statement!G49</f>
        <v>6711.0058238789206</v>
      </c>
    </row>
    <row r="7" spans="2:15" ht="18.75" x14ac:dyDescent="0.25">
      <c r="B7" s="12" t="str">
        <f>Balance_Sheet!B74</f>
        <v>Total Assets</v>
      </c>
      <c r="C7" s="13">
        <f>Balance_Sheet!C74</f>
        <v>147823.32999999999</v>
      </c>
      <c r="D7" s="13">
        <f>Balance_Sheet!D74</f>
        <v>154973.9486870789</v>
      </c>
      <c r="E7" s="13">
        <f>Balance_Sheet!E74</f>
        <v>173781.60881171608</v>
      </c>
      <c r="F7" s="13">
        <f>Balance_Sheet!F74</f>
        <v>188752.61813931953</v>
      </c>
      <c r="G7" s="13">
        <f>Balance_Sheet!G74</f>
        <v>217168.62396319845</v>
      </c>
    </row>
    <row r="8" spans="2:15" ht="18.75" x14ac:dyDescent="0.25">
      <c r="B8" s="14" t="s">
        <v>161</v>
      </c>
      <c r="C8" s="15">
        <f>ROUND(C6/ C7, 2)</f>
        <v>0.02</v>
      </c>
      <c r="D8" s="15">
        <f t="shared" ref="D8:G8" si="0">ROUND(D6/ D7, 2)</f>
        <v>0.03</v>
      </c>
      <c r="E8" s="15">
        <f t="shared" si="0"/>
        <v>0.02</v>
      </c>
      <c r="F8" s="15">
        <f t="shared" si="0"/>
        <v>0.02</v>
      </c>
      <c r="G8" s="15">
        <f t="shared" si="0"/>
        <v>0.03</v>
      </c>
    </row>
  </sheetData>
  <mergeCells count="1">
    <mergeCell ref="B5:G5"/>
  </mergeCells>
  <hyperlinks>
    <hyperlink ref="F1" location="Index_Data!A1" tooltip="Hi click here To return Index page" display="Index_Data!A1" xr:uid="{DB3D8859-75AC-41A3-A838-F68D281CA252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F3AC-9650-40B6-A149-25327EB5D3C9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7809.1340597894505</v>
      </c>
      <c r="D6" s="13">
        <f>Income_Statement!D33</f>
        <v>11685.658687078885</v>
      </c>
      <c r="E6" s="13">
        <f>Income_Statement!E33</f>
        <v>9688.0101246371923</v>
      </c>
      <c r="F6" s="13">
        <f>Income_Statement!F33</f>
        <v>10191.009327603446</v>
      </c>
      <c r="G6" s="13">
        <f>Income_Statement!G33</f>
        <v>15270.005823878921</v>
      </c>
    </row>
    <row r="7" spans="2:15" ht="18.75" x14ac:dyDescent="0.25">
      <c r="B7" s="12" t="str">
        <f>Balance_Sheet!B21</f>
        <v>Total Debt</v>
      </c>
      <c r="C7" s="13">
        <f>Balance_Sheet!C21</f>
        <v>55139.630000000005</v>
      </c>
      <c r="D7" s="13">
        <f>Balance_Sheet!D21</f>
        <v>56710.81</v>
      </c>
      <c r="E7" s="13">
        <f>Balance_Sheet!E21</f>
        <v>71767</v>
      </c>
      <c r="F7" s="13">
        <f>Balance_Sheet!F21</f>
        <v>69507</v>
      </c>
      <c r="G7" s="13">
        <f>Balance_Sheet!G21</f>
        <v>68866</v>
      </c>
    </row>
    <row r="8" spans="2:15" ht="18.75" x14ac:dyDescent="0.25">
      <c r="B8" s="12" t="str">
        <f>Balance_Sheet!B13</f>
        <v>Net Worth</v>
      </c>
      <c r="C8" s="13">
        <f>Balance_Sheet!C13</f>
        <v>54847.83</v>
      </c>
      <c r="D8" s="13">
        <f>Balance_Sheet!D13</f>
        <v>59843.988687078891</v>
      </c>
      <c r="E8" s="13">
        <f>Balance_Sheet!E13</f>
        <v>62570.608811716083</v>
      </c>
      <c r="F8" s="13">
        <f>Balance_Sheet!F13</f>
        <v>65586.618139319529</v>
      </c>
      <c r="G8" s="13">
        <f>Balance_Sheet!G13</f>
        <v>72297.62396319845</v>
      </c>
    </row>
    <row r="9" spans="2:15" ht="18.75" x14ac:dyDescent="0.25">
      <c r="B9" s="14" t="s">
        <v>163</v>
      </c>
      <c r="C9" s="15">
        <f>ROUND(C6/ (C7+ C7), 2)</f>
        <v>7.0000000000000007E-2</v>
      </c>
      <c r="D9" s="15">
        <f t="shared" ref="D9:G9" si="0">ROUND(D6/ (D7+ D7), 2)</f>
        <v>0.1</v>
      </c>
      <c r="E9" s="15">
        <f t="shared" si="0"/>
        <v>7.0000000000000007E-2</v>
      </c>
      <c r="F9" s="15">
        <f t="shared" si="0"/>
        <v>7.0000000000000007E-2</v>
      </c>
      <c r="G9" s="15">
        <f t="shared" si="0"/>
        <v>0.11</v>
      </c>
    </row>
  </sheetData>
  <mergeCells count="1">
    <mergeCell ref="B5:G5"/>
  </mergeCells>
  <hyperlinks>
    <hyperlink ref="F1" location="Index_Data!A1" tooltip="Hi click here To return Index page" display="Index_Data!A1" xr:uid="{50CAC203-ABD6-43AE-9152-8ADFADBE9816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04BC-D7D2-42AD-8948-2C99D342833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164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3598.3940597894507</v>
      </c>
      <c r="D6" s="13">
        <f>Income_Statement!D49</f>
        <v>5319.528687078885</v>
      </c>
      <c r="E6" s="13">
        <f>Income_Statement!E49</f>
        <v>3050.0101246371923</v>
      </c>
      <c r="F6" s="13">
        <f>Income_Statement!F49</f>
        <v>3238.0093276034459</v>
      </c>
      <c r="G6" s="13">
        <f>Income_Statement!G49</f>
        <v>6711.0058238789206</v>
      </c>
    </row>
    <row r="7" spans="2:15" ht="18.75" x14ac:dyDescent="0.25">
      <c r="B7" s="12" t="str">
        <f>Balance_Sheet!B13</f>
        <v>Net Worth</v>
      </c>
      <c r="C7" s="13">
        <f>Balance_Sheet!C13</f>
        <v>54847.83</v>
      </c>
      <c r="D7" s="13">
        <f>Balance_Sheet!D13</f>
        <v>59843.988687078891</v>
      </c>
      <c r="E7" s="13">
        <f>Balance_Sheet!E13</f>
        <v>62570.608811716083</v>
      </c>
      <c r="F7" s="13">
        <f>Balance_Sheet!F13</f>
        <v>65586.618139319529</v>
      </c>
      <c r="G7" s="13">
        <f>Balance_Sheet!G13</f>
        <v>72297.62396319845</v>
      </c>
    </row>
    <row r="8" spans="2:15" ht="18.75" x14ac:dyDescent="0.25">
      <c r="B8" s="14" t="s">
        <v>165</v>
      </c>
      <c r="C8" s="15">
        <f>ROUND(C6/ (C7+ C7), 2)</f>
        <v>0.03</v>
      </c>
      <c r="D8" s="15">
        <f t="shared" ref="D8:G8" si="0">ROUND(D6/ (D7+ D7), 2)</f>
        <v>0.04</v>
      </c>
      <c r="E8" s="15">
        <f t="shared" si="0"/>
        <v>0.02</v>
      </c>
      <c r="F8" s="15">
        <f t="shared" si="0"/>
        <v>0.02</v>
      </c>
      <c r="G8" s="15">
        <f t="shared" si="0"/>
        <v>0.05</v>
      </c>
    </row>
  </sheetData>
  <mergeCells count="1">
    <mergeCell ref="B5:G5"/>
  </mergeCells>
  <hyperlinks>
    <hyperlink ref="F1" location="Index_Data!A1" tooltip="Hi click here To return Index page" display="Index_Data!A1" xr:uid="{736F9EE2-9DCA-41E3-9E38-065A84FAA28D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8E01-24FD-44F1-822D-8992A720F3E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166</v>
      </c>
      <c r="C5" s="44"/>
      <c r="D5" s="44"/>
      <c r="E5" s="44"/>
      <c r="F5" s="44"/>
      <c r="G5" s="44"/>
    </row>
    <row r="6" spans="2:15" ht="18.75" x14ac:dyDescent="0.25">
      <c r="B6" s="12" t="str">
        <f>Balance_Sheet!B21</f>
        <v>Total Debt</v>
      </c>
      <c r="C6" s="13">
        <f>Balance_Sheet!C21</f>
        <v>55139.630000000005</v>
      </c>
      <c r="D6" s="13">
        <f>Balance_Sheet!D21</f>
        <v>56710.81</v>
      </c>
      <c r="E6" s="13">
        <f>Balance_Sheet!E21</f>
        <v>71767</v>
      </c>
      <c r="F6" s="13">
        <f>Balance_Sheet!F21</f>
        <v>69507</v>
      </c>
      <c r="G6" s="13">
        <f>Balance_Sheet!G21</f>
        <v>68866</v>
      </c>
    </row>
    <row r="7" spans="2:15" ht="18.75" x14ac:dyDescent="0.25">
      <c r="B7" s="12" t="str">
        <f>Balance_Sheet!B13</f>
        <v>Net Worth</v>
      </c>
      <c r="C7" s="13">
        <f>Balance_Sheet!C13</f>
        <v>54847.83</v>
      </c>
      <c r="D7" s="13">
        <f>Balance_Sheet!D13</f>
        <v>59843.988687078891</v>
      </c>
      <c r="E7" s="13">
        <f>Balance_Sheet!E13</f>
        <v>62570.608811716083</v>
      </c>
      <c r="F7" s="13">
        <f>Balance_Sheet!F13</f>
        <v>65586.618139319529</v>
      </c>
      <c r="G7" s="13">
        <f>Balance_Sheet!G13</f>
        <v>72297.62396319845</v>
      </c>
    </row>
    <row r="8" spans="2:15" ht="18.75" x14ac:dyDescent="0.25">
      <c r="B8" s="14" t="s">
        <v>167</v>
      </c>
      <c r="C8" s="14">
        <f>ROUND(C6/ C7, 2)</f>
        <v>1.01</v>
      </c>
      <c r="D8" s="14">
        <f t="shared" ref="D8:G8" si="0">ROUND(D6/ D7, 2)</f>
        <v>0.95</v>
      </c>
      <c r="E8" s="14">
        <f t="shared" si="0"/>
        <v>1.1499999999999999</v>
      </c>
      <c r="F8" s="14">
        <f t="shared" si="0"/>
        <v>1.06</v>
      </c>
      <c r="G8" s="14">
        <f t="shared" si="0"/>
        <v>0.95</v>
      </c>
    </row>
  </sheetData>
  <mergeCells count="1">
    <mergeCell ref="B5:G5"/>
  </mergeCells>
  <hyperlinks>
    <hyperlink ref="F1" location="Index_Data!A1" tooltip="Hi click here To return Index page" display="Index_Data!A1" xr:uid="{8CA72A96-1396-4839-B3E8-BCB5242900CF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AC90-3501-4399-B10C-A479199E2AB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168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49894.59</v>
      </c>
      <c r="D6" s="13">
        <f>Balance_Sheet!D72</f>
        <v>79479.678687078878</v>
      </c>
      <c r="E6" s="13">
        <f>Balance_Sheet!E72</f>
        <v>97531.588811716065</v>
      </c>
      <c r="F6" s="13">
        <f>Balance_Sheet!F72</f>
        <v>101150.59813931951</v>
      </c>
      <c r="G6" s="13">
        <f>Balance_Sheet!G72</f>
        <v>138420.60396319843</v>
      </c>
    </row>
    <row r="7" spans="2:15" ht="18.75" x14ac:dyDescent="0.25">
      <c r="B7" s="12" t="str">
        <f>Balance_Sheet!B33</f>
        <v>Total Current Liabilities</v>
      </c>
      <c r="C7" s="13">
        <f>Balance_Sheet!C33</f>
        <v>37827.229999999996</v>
      </c>
      <c r="D7" s="13">
        <f>Balance_Sheet!D33</f>
        <v>38409.67</v>
      </c>
      <c r="E7" s="13">
        <f>Balance_Sheet!E33</f>
        <v>39434</v>
      </c>
      <c r="F7" s="13">
        <f>Balance_Sheet!F33</f>
        <v>53649</v>
      </c>
      <c r="G7" s="13">
        <f>Balance_Sheet!G33</f>
        <v>75994</v>
      </c>
    </row>
    <row r="8" spans="2:15" ht="18.75" x14ac:dyDescent="0.25">
      <c r="B8" s="14" t="s">
        <v>169</v>
      </c>
      <c r="C8" s="14">
        <f>ROUND(C6/ C7, 2)</f>
        <v>1.32</v>
      </c>
      <c r="D8" s="14">
        <f t="shared" ref="D8:G8" si="0">ROUND(D6/ D7, 2)</f>
        <v>2.0699999999999998</v>
      </c>
      <c r="E8" s="14">
        <f t="shared" si="0"/>
        <v>2.4700000000000002</v>
      </c>
      <c r="F8" s="14">
        <f t="shared" si="0"/>
        <v>1.89</v>
      </c>
      <c r="G8" s="14">
        <f t="shared" si="0"/>
        <v>1.82</v>
      </c>
    </row>
  </sheetData>
  <mergeCells count="1">
    <mergeCell ref="B5:G5"/>
  </mergeCells>
  <hyperlinks>
    <hyperlink ref="F1" location="Index_Data!A1" tooltip="Hi click here To return Index page" display="Index_Data!A1" xr:uid="{E37A6308-3148-49DE-8F99-471BC63F16C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ADAF5-CFAA-4253-B776-EDCCAEB473C2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5" t="s">
        <v>271</v>
      </c>
      <c r="O1" s="46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115195.63</v>
      </c>
      <c r="D5" s="2">
        <v>129745.57</v>
      </c>
      <c r="E5" s="2">
        <v>117140</v>
      </c>
      <c r="F5" s="2">
        <v>131009</v>
      </c>
      <c r="G5" s="2">
        <v>195059</v>
      </c>
      <c r="H5" t="s">
        <v>1</v>
      </c>
    </row>
    <row r="6" spans="1:15" x14ac:dyDescent="0.25">
      <c r="A6" t="s">
        <v>98</v>
      </c>
      <c r="B6" t="s">
        <v>98</v>
      </c>
      <c r="C6">
        <v>636.9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114558.73</v>
      </c>
      <c r="D7" s="2">
        <v>129745.57</v>
      </c>
      <c r="E7" s="2">
        <v>117140</v>
      </c>
      <c r="F7" s="2">
        <v>131009</v>
      </c>
      <c r="G7" s="2">
        <v>195059</v>
      </c>
      <c r="H7" t="s">
        <v>1</v>
      </c>
    </row>
    <row r="8" spans="1:15" x14ac:dyDescent="0.25">
      <c r="B8" t="s">
        <v>58</v>
      </c>
      <c r="C8" s="2">
        <v>115182.8</v>
      </c>
      <c r="D8" s="2">
        <v>130542.25</v>
      </c>
      <c r="E8" s="2">
        <v>118144</v>
      </c>
      <c r="F8" s="2">
        <v>131985</v>
      </c>
      <c r="G8" s="2">
        <v>195059</v>
      </c>
      <c r="H8" t="s">
        <v>1</v>
      </c>
    </row>
    <row r="9" spans="1:15" x14ac:dyDescent="0.25">
      <c r="A9" t="s">
        <v>59</v>
      </c>
      <c r="B9" t="s">
        <v>59</v>
      </c>
      <c r="C9" s="2">
        <v>1104.57</v>
      </c>
      <c r="D9" s="2">
        <v>1127.1099999999999</v>
      </c>
      <c r="E9" s="2">
        <v>1186</v>
      </c>
      <c r="F9" s="2">
        <v>1222</v>
      </c>
      <c r="G9" s="2">
        <v>1136</v>
      </c>
      <c r="H9" t="s">
        <v>1</v>
      </c>
    </row>
    <row r="10" spans="1:15" x14ac:dyDescent="0.25">
      <c r="B10" t="s">
        <v>60</v>
      </c>
      <c r="C10" s="2">
        <v>116287.37</v>
      </c>
      <c r="D10" s="2">
        <v>131669.35999999999</v>
      </c>
      <c r="E10" s="2">
        <v>119330</v>
      </c>
      <c r="F10" s="2">
        <v>133207</v>
      </c>
      <c r="G10" s="2">
        <v>196195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 s="2">
        <v>79486.399999999994</v>
      </c>
      <c r="D12" s="2">
        <v>87686.82</v>
      </c>
      <c r="E12" s="2">
        <v>77727</v>
      </c>
      <c r="F12" s="2">
        <v>86276</v>
      </c>
      <c r="G12" s="2">
        <v>125335</v>
      </c>
      <c r="H12" t="s">
        <v>1</v>
      </c>
    </row>
    <row r="13" spans="1:15" x14ac:dyDescent="0.25">
      <c r="B13" t="s">
        <v>63</v>
      </c>
      <c r="C13" s="2">
        <v>4.92</v>
      </c>
      <c r="D13" s="2">
        <v>235.03</v>
      </c>
      <c r="E13">
        <v>256</v>
      </c>
      <c r="F13">
        <v>1098</v>
      </c>
      <c r="G13">
        <v>1958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 s="2">
        <v>-1991.42</v>
      </c>
      <c r="D15" s="2">
        <v>385.65</v>
      </c>
      <c r="E15">
        <v>-17</v>
      </c>
      <c r="F15">
        <v>-2146</v>
      </c>
      <c r="G15" s="2">
        <v>-9753</v>
      </c>
      <c r="H15" t="s">
        <v>1</v>
      </c>
    </row>
    <row r="16" spans="1:15" x14ac:dyDescent="0.25">
      <c r="A16" t="s">
        <v>99</v>
      </c>
      <c r="B16" t="s">
        <v>66</v>
      </c>
      <c r="C16" s="2">
        <v>8644.7800000000007</v>
      </c>
      <c r="D16" s="2">
        <v>9043.09</v>
      </c>
      <c r="E16" s="2">
        <v>8832</v>
      </c>
      <c r="F16" s="2">
        <v>10782</v>
      </c>
      <c r="G16" s="2">
        <v>11936</v>
      </c>
      <c r="H16" t="s">
        <v>1</v>
      </c>
    </row>
    <row r="17" spans="1:8" x14ac:dyDescent="0.25">
      <c r="A17" t="s">
        <v>100</v>
      </c>
      <c r="B17" t="s">
        <v>67</v>
      </c>
      <c r="C17" s="2">
        <v>3910.73</v>
      </c>
      <c r="D17" s="2">
        <v>3778.04</v>
      </c>
      <c r="E17" s="2">
        <v>4197</v>
      </c>
      <c r="F17" s="2">
        <v>3738</v>
      </c>
      <c r="G17" s="2">
        <v>3768</v>
      </c>
      <c r="H17" t="s">
        <v>1</v>
      </c>
    </row>
    <row r="18" spans="1:8" x14ac:dyDescent="0.25">
      <c r="A18" t="s">
        <v>101</v>
      </c>
      <c r="B18" t="s">
        <v>68</v>
      </c>
      <c r="C18" s="2">
        <v>4506.24</v>
      </c>
      <c r="D18" s="2">
        <v>4776.9799999999996</v>
      </c>
      <c r="E18" s="2">
        <v>5091</v>
      </c>
      <c r="F18" s="2">
        <v>6628</v>
      </c>
      <c r="G18" s="2">
        <v>6729</v>
      </c>
      <c r="H18" t="s">
        <v>1</v>
      </c>
    </row>
    <row r="19" spans="1:8" x14ac:dyDescent="0.25">
      <c r="A19" t="s">
        <v>99</v>
      </c>
      <c r="B19" t="s">
        <v>69</v>
      </c>
      <c r="C19" s="2">
        <v>15217.75</v>
      </c>
      <c r="D19" s="2">
        <v>17681.14</v>
      </c>
      <c r="E19" s="2">
        <v>16989</v>
      </c>
      <c r="F19" s="2">
        <v>18355</v>
      </c>
      <c r="G19" s="2">
        <v>36926</v>
      </c>
      <c r="H19" t="s">
        <v>1</v>
      </c>
    </row>
    <row r="20" spans="1:8" x14ac:dyDescent="0.25">
      <c r="B20" t="s">
        <v>70</v>
      </c>
      <c r="C20" s="2">
        <v>109779.4</v>
      </c>
      <c r="D20" s="2">
        <v>123586.75</v>
      </c>
      <c r="E20" s="2">
        <v>113126</v>
      </c>
      <c r="F20" s="2">
        <v>124815</v>
      </c>
      <c r="G20" s="2">
        <v>177209</v>
      </c>
      <c r="H20" t="s">
        <v>1</v>
      </c>
    </row>
    <row r="21" spans="1:8" x14ac:dyDescent="0.25">
      <c r="B21" t="s">
        <v>71</v>
      </c>
      <c r="C21" s="2">
        <v>6507.97</v>
      </c>
      <c r="D21" s="2">
        <v>8082.61</v>
      </c>
      <c r="E21" s="2">
        <v>6204</v>
      </c>
      <c r="F21" s="2">
        <v>8392</v>
      </c>
      <c r="G21" s="2">
        <v>18986</v>
      </c>
      <c r="H21" t="s">
        <v>1</v>
      </c>
    </row>
    <row r="22" spans="1:8" x14ac:dyDescent="0.25">
      <c r="A22" t="s">
        <v>102</v>
      </c>
      <c r="B22" t="s">
        <v>72</v>
      </c>
      <c r="C22">
        <v>1774.16</v>
      </c>
      <c r="D22">
        <v>0</v>
      </c>
      <c r="E22">
        <v>-284</v>
      </c>
      <c r="F22">
        <v>-492</v>
      </c>
      <c r="G22" s="2">
        <v>582</v>
      </c>
      <c r="H22" t="s">
        <v>1</v>
      </c>
    </row>
    <row r="23" spans="1:8" x14ac:dyDescent="0.25">
      <c r="B23" t="s">
        <v>73</v>
      </c>
      <c r="C23" s="2">
        <v>8282.1299999999992</v>
      </c>
      <c r="D23" s="2">
        <v>8082.61</v>
      </c>
      <c r="E23" s="2">
        <v>5920</v>
      </c>
      <c r="F23" s="2">
        <v>7900</v>
      </c>
      <c r="G23" s="2">
        <v>19568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1664.17</v>
      </c>
      <c r="D25" s="2">
        <v>1910.41</v>
      </c>
      <c r="E25" s="2">
        <v>1541</v>
      </c>
      <c r="F25" s="2">
        <v>1881</v>
      </c>
      <c r="G25" s="2">
        <v>5373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410</v>
      </c>
      <c r="D27">
        <v>677.68</v>
      </c>
      <c r="E27">
        <v>616</v>
      </c>
      <c r="F27">
        <v>842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2074.17</v>
      </c>
      <c r="D29" s="2">
        <v>2588.09</v>
      </c>
      <c r="E29" s="2">
        <v>2157</v>
      </c>
      <c r="F29" s="2">
        <v>2723</v>
      </c>
      <c r="G29" s="2">
        <v>5373</v>
      </c>
      <c r="H29" t="s">
        <v>1</v>
      </c>
    </row>
    <row r="30" spans="1:8" x14ac:dyDescent="0.25">
      <c r="B30" t="s">
        <v>80</v>
      </c>
      <c r="C30" s="2">
        <v>6207.96</v>
      </c>
      <c r="D30" s="2">
        <v>5494.52</v>
      </c>
      <c r="E30" s="2">
        <v>3763</v>
      </c>
      <c r="F30" s="2">
        <v>5177</v>
      </c>
      <c r="G30" s="2">
        <v>14195</v>
      </c>
      <c r="H30" t="s">
        <v>1</v>
      </c>
    </row>
    <row r="31" spans="1:8" x14ac:dyDescent="0.25">
      <c r="B31" t="s">
        <v>81</v>
      </c>
      <c r="C31" s="2">
        <v>6207.96</v>
      </c>
      <c r="D31" s="2">
        <v>5494.52</v>
      </c>
      <c r="E31" s="2">
        <v>3763</v>
      </c>
      <c r="F31" s="2">
        <v>5177</v>
      </c>
      <c r="G31" s="2">
        <v>13724</v>
      </c>
      <c r="H31" t="s">
        <v>1</v>
      </c>
    </row>
    <row r="32" spans="1:8" x14ac:dyDescent="0.25">
      <c r="B32" t="s">
        <v>82</v>
      </c>
      <c r="C32" s="2">
        <v>6207.96</v>
      </c>
      <c r="D32" s="2">
        <v>5494.52</v>
      </c>
      <c r="E32" s="2">
        <v>3763</v>
      </c>
      <c r="F32" s="2">
        <v>3478</v>
      </c>
      <c r="G32" s="2">
        <v>13724</v>
      </c>
      <c r="H32" t="s">
        <v>1</v>
      </c>
    </row>
    <row r="33" spans="1:8" x14ac:dyDescent="0.25">
      <c r="B33" t="s">
        <v>10</v>
      </c>
      <c r="C33">
        <v>0.05</v>
      </c>
      <c r="D33">
        <v>0.66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6082.92</v>
      </c>
      <c r="D34" s="2">
        <v>5495.67</v>
      </c>
      <c r="E34" s="2">
        <v>3767</v>
      </c>
      <c r="F34" s="2">
        <v>3483</v>
      </c>
      <c r="G34" s="2">
        <v>13730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27</v>
      </c>
      <c r="D37">
        <v>25</v>
      </c>
      <c r="E37">
        <v>17</v>
      </c>
      <c r="F37">
        <v>16</v>
      </c>
      <c r="G37">
        <v>62</v>
      </c>
      <c r="H37" t="s">
        <v>1</v>
      </c>
    </row>
    <row r="38" spans="1:8" x14ac:dyDescent="0.25">
      <c r="B38" t="s">
        <v>86</v>
      </c>
      <c r="C38">
        <v>27</v>
      </c>
      <c r="D38">
        <v>25</v>
      </c>
      <c r="E38">
        <v>17</v>
      </c>
      <c r="F38">
        <v>16</v>
      </c>
      <c r="G38">
        <v>62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293.76</v>
      </c>
      <c r="D40">
        <v>269.45999999999998</v>
      </c>
      <c r="E40">
        <v>267</v>
      </c>
      <c r="F40">
        <v>222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53.41</v>
      </c>
      <c r="E41">
        <v>56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2EB7017F-2305-41FE-8427-7CABE4103A93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F388A-1856-4E4B-BD54-3DEF24A3682E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170</v>
      </c>
      <c r="C5" s="44"/>
      <c r="D5" s="44"/>
      <c r="E5" s="44"/>
      <c r="F5" s="44"/>
      <c r="G5" s="44"/>
    </row>
    <row r="6" spans="2:15" ht="18.75" x14ac:dyDescent="0.25">
      <c r="B6" s="12" t="str">
        <f>Balance_Sheet!B72</f>
        <v>Total Current Assets</v>
      </c>
      <c r="C6" s="13">
        <f>Balance_Sheet!C72</f>
        <v>49894.59</v>
      </c>
      <c r="D6" s="13">
        <f>Balance_Sheet!D72</f>
        <v>79479.678687078878</v>
      </c>
      <c r="E6" s="13">
        <f>Balance_Sheet!E72</f>
        <v>97531.588811716065</v>
      </c>
      <c r="F6" s="13">
        <f>Balance_Sheet!F72</f>
        <v>101150.59813931951</v>
      </c>
      <c r="G6" s="13">
        <f>Balance_Sheet!G72</f>
        <v>138420.60396319843</v>
      </c>
    </row>
    <row r="7" spans="2:15" ht="18.75" x14ac:dyDescent="0.25">
      <c r="B7" s="12" t="str">
        <f>Balance_Sheet!B66</f>
        <v>Inventories</v>
      </c>
      <c r="C7" s="13">
        <f>Balance_Sheet!C66</f>
        <v>21631.39</v>
      </c>
      <c r="D7" s="13">
        <f>Balance_Sheet!D66</f>
        <v>22193.79</v>
      </c>
      <c r="E7" s="13">
        <f>Balance_Sheet!E66</f>
        <v>22384</v>
      </c>
      <c r="F7" s="13">
        <f>Balance_Sheet!F66</f>
        <v>30668</v>
      </c>
      <c r="G7" s="13">
        <f>Balance_Sheet!G66</f>
        <v>44483</v>
      </c>
    </row>
    <row r="8" spans="2:15" ht="18.75" x14ac:dyDescent="0.25">
      <c r="B8" s="12" t="str">
        <f>Balance_Sheet!B33</f>
        <v>Total Current Liabilities</v>
      </c>
      <c r="C8" s="13">
        <f>Balance_Sheet!C33</f>
        <v>37827.229999999996</v>
      </c>
      <c r="D8" s="13">
        <f>Balance_Sheet!D33</f>
        <v>38409.67</v>
      </c>
      <c r="E8" s="13">
        <f>Balance_Sheet!E33</f>
        <v>39434</v>
      </c>
      <c r="F8" s="13">
        <f>Balance_Sheet!F33</f>
        <v>53649</v>
      </c>
      <c r="G8" s="13">
        <f>Balance_Sheet!G33</f>
        <v>75994</v>
      </c>
    </row>
    <row r="9" spans="2:15" ht="18.75" x14ac:dyDescent="0.25">
      <c r="B9" s="14" t="s">
        <v>171</v>
      </c>
      <c r="C9" s="14">
        <f>ROUND((C6-C7)/ C8, 2)</f>
        <v>0.75</v>
      </c>
      <c r="D9" s="14">
        <f t="shared" ref="D9:G9" si="0">ROUND((D6-D7)/ D8, 2)</f>
        <v>1.49</v>
      </c>
      <c r="E9" s="14">
        <f t="shared" si="0"/>
        <v>1.91</v>
      </c>
      <c r="F9" s="14">
        <f t="shared" si="0"/>
        <v>1.31</v>
      </c>
      <c r="G9" s="14">
        <f t="shared" si="0"/>
        <v>1.24</v>
      </c>
    </row>
  </sheetData>
  <mergeCells count="1">
    <mergeCell ref="B5:G5"/>
  </mergeCells>
  <hyperlinks>
    <hyperlink ref="F1" location="Index_Data!A1" tooltip="Hi click here To return Index page" display="Index_Data!A1" xr:uid="{CD320B4E-27BF-4128-913D-D5AD81694E7E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AFE6-9A58-40CE-AA52-C583A88E0DD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4" width="13.140625" bestFit="1" customWidth="1"/>
    <col min="5" max="5" width="11.5703125" bestFit="1" customWidth="1"/>
    <col min="6" max="7" width="13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172</v>
      </c>
      <c r="C5" s="44"/>
      <c r="D5" s="44"/>
      <c r="E5" s="44"/>
      <c r="F5" s="44"/>
      <c r="G5" s="44"/>
    </row>
    <row r="6" spans="2:15" ht="18.75" x14ac:dyDescent="0.25">
      <c r="B6" s="12" t="str">
        <f>Income_Statement!B33</f>
        <v>PBIT</v>
      </c>
      <c r="C6" s="13">
        <f>Income_Statement!C33</f>
        <v>7809.1340597894505</v>
      </c>
      <c r="D6" s="13">
        <f>Income_Statement!D33</f>
        <v>11685.658687078885</v>
      </c>
      <c r="E6" s="13">
        <f>Income_Statement!E33</f>
        <v>9688.0101246371923</v>
      </c>
      <c r="F6" s="13">
        <f>Income_Statement!F33</f>
        <v>10191.009327603446</v>
      </c>
      <c r="G6" s="13">
        <f>Income_Statement!G33</f>
        <v>15270.005823878921</v>
      </c>
    </row>
    <row r="7" spans="2:15" ht="18.75" x14ac:dyDescent="0.25">
      <c r="B7" s="12" t="str">
        <f>Income_Statement!B35</f>
        <v>Finance Costs</v>
      </c>
      <c r="C7" s="13">
        <f>Income_Statement!C35</f>
        <v>3910.73</v>
      </c>
      <c r="D7" s="13">
        <f>Income_Statement!D35</f>
        <v>3778.04</v>
      </c>
      <c r="E7" s="13">
        <f>Income_Statement!E35</f>
        <v>4197</v>
      </c>
      <c r="F7" s="13">
        <f>Income_Statement!F35</f>
        <v>3738</v>
      </c>
      <c r="G7" s="13">
        <f>Income_Statement!G35</f>
        <v>3768</v>
      </c>
    </row>
    <row r="8" spans="2:15" ht="18.75" x14ac:dyDescent="0.25">
      <c r="B8" s="14" t="s">
        <v>173</v>
      </c>
      <c r="C8" s="14">
        <f>ROUND(C6/C7, 2)</f>
        <v>2</v>
      </c>
      <c r="D8" s="14">
        <f t="shared" ref="D8:G8" si="0">ROUND(D6/D7, 2)</f>
        <v>3.09</v>
      </c>
      <c r="E8" s="14">
        <f t="shared" si="0"/>
        <v>2.31</v>
      </c>
      <c r="F8" s="14">
        <f t="shared" si="0"/>
        <v>2.73</v>
      </c>
      <c r="G8" s="14">
        <f t="shared" si="0"/>
        <v>4.05</v>
      </c>
    </row>
  </sheetData>
  <mergeCells count="1">
    <mergeCell ref="B5:G5"/>
  </mergeCells>
  <hyperlinks>
    <hyperlink ref="F1" location="Index_Data!A1" tooltip="Hi click here To return Index page" display="Index_Data!A1" xr:uid="{E2E9028F-605D-4785-B1FD-F31A976E1AA6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79221-9334-4302-9018-0602073DA80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174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79486.399999999994</v>
      </c>
      <c r="D6" s="13">
        <f>Income_Statement!D17</f>
        <v>87686.82</v>
      </c>
      <c r="E6" s="13">
        <f>Income_Statement!E17</f>
        <v>77727</v>
      </c>
      <c r="F6" s="13">
        <f>Income_Statement!F17</f>
        <v>86276</v>
      </c>
      <c r="G6" s="13">
        <f>Income_Statement!G17</f>
        <v>125335</v>
      </c>
    </row>
    <row r="7" spans="2:15" ht="18.75" x14ac:dyDescent="0.25">
      <c r="B7" s="12" t="str">
        <f>Income_Statement!B9</f>
        <v>Net Sales</v>
      </c>
      <c r="C7" s="13">
        <f>Income_Statement!C9</f>
        <v>114558.73000000001</v>
      </c>
      <c r="D7" s="13">
        <f>Income_Statement!D9</f>
        <v>129745.57</v>
      </c>
      <c r="E7" s="13">
        <f>Income_Statement!E9</f>
        <v>117140</v>
      </c>
      <c r="F7" s="13">
        <f>Income_Statement!F9</f>
        <v>131009</v>
      </c>
      <c r="G7" s="13">
        <f>Income_Statement!G9</f>
        <v>195059</v>
      </c>
    </row>
    <row r="8" spans="2:15" ht="18.75" x14ac:dyDescent="0.25">
      <c r="B8" s="14" t="s">
        <v>175</v>
      </c>
      <c r="C8" s="14">
        <f>ROUND(C6/C7, 2)</f>
        <v>0.69</v>
      </c>
      <c r="D8" s="14">
        <f t="shared" ref="D8:G8" si="0">ROUND(D6/D7, 2)</f>
        <v>0.68</v>
      </c>
      <c r="E8" s="14">
        <f t="shared" si="0"/>
        <v>0.66</v>
      </c>
      <c r="F8" s="14">
        <f t="shared" si="0"/>
        <v>0.66</v>
      </c>
      <c r="G8" s="14">
        <f t="shared" si="0"/>
        <v>0.64</v>
      </c>
    </row>
  </sheetData>
  <mergeCells count="1">
    <mergeCell ref="B5:G5"/>
  </mergeCells>
  <hyperlinks>
    <hyperlink ref="F1" location="Index_Data!A1" tooltip="Hi click here To return Index page" display="Index_Data!A1" xr:uid="{D7FFFED2-CAF1-437E-A738-4616D0D9782C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30B00-EAEE-47C9-9902-696A4216873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176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8057.76</v>
      </c>
      <c r="D6" s="13">
        <f>Balance_Sheet!D70</f>
        <v>35602.88868707887</v>
      </c>
      <c r="E6" s="13">
        <f>Balance_Sheet!E70</f>
        <v>55899.588811716065</v>
      </c>
      <c r="F6" s="13">
        <f>Balance_Sheet!F70</f>
        <v>47864.598139319511</v>
      </c>
      <c r="G6" s="13">
        <f>Balance_Sheet!G70</f>
        <v>58688.603963198431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79486.399999999994</v>
      </c>
      <c r="D7" s="13">
        <f>Income_Statement!D17</f>
        <v>87686.82</v>
      </c>
      <c r="E7" s="13">
        <f>Income_Statement!E17</f>
        <v>77727</v>
      </c>
      <c r="F7" s="13">
        <f>Income_Statement!F17</f>
        <v>86276</v>
      </c>
      <c r="G7" s="13">
        <f>Income_Statement!G17</f>
        <v>125335</v>
      </c>
    </row>
    <row r="8" spans="2:15" ht="18.75" x14ac:dyDescent="0.25">
      <c r="B8" s="14" t="s">
        <v>177</v>
      </c>
      <c r="C8" s="14">
        <f>ROUND(C6/C7*365, 2)</f>
        <v>37</v>
      </c>
      <c r="D8" s="14">
        <f t="shared" ref="D8:G8" si="0">ROUND(D6/D7*365, 2)</f>
        <v>148.19999999999999</v>
      </c>
      <c r="E8" s="14">
        <f t="shared" si="0"/>
        <v>262.5</v>
      </c>
      <c r="F8" s="14">
        <f t="shared" si="0"/>
        <v>202.5</v>
      </c>
      <c r="G8" s="14">
        <f t="shared" si="0"/>
        <v>170.91</v>
      </c>
    </row>
  </sheetData>
  <mergeCells count="1">
    <mergeCell ref="B5:G5"/>
  </mergeCells>
  <hyperlinks>
    <hyperlink ref="F1" location="Index_Data!A1" tooltip="Hi click here To return Index page" display="Index_Data!A1" xr:uid="{9F321693-4BA3-4453-B371-5B4986D59270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F05F4-8EA2-402C-A792-64197FB5A27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4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178</v>
      </c>
      <c r="C5" s="44"/>
      <c r="D5" s="44"/>
      <c r="E5" s="44"/>
      <c r="F5" s="44"/>
      <c r="G5" s="44"/>
    </row>
    <row r="6" spans="2:15" ht="18.75" x14ac:dyDescent="0.25">
      <c r="B6" s="12" t="str">
        <f>Balance_Sheet!B70</f>
        <v>Cash And Cash Equivalents</v>
      </c>
      <c r="C6" s="13">
        <f>Balance_Sheet!C70</f>
        <v>8057.76</v>
      </c>
      <c r="D6" s="13">
        <f>Balance_Sheet!D70</f>
        <v>35602.88868707887</v>
      </c>
      <c r="E6" s="13">
        <f>Balance_Sheet!E70</f>
        <v>55899.588811716065</v>
      </c>
      <c r="F6" s="13">
        <f>Balance_Sheet!F70</f>
        <v>47864.598139319511</v>
      </c>
      <c r="G6" s="13">
        <f>Balance_Sheet!G70</f>
        <v>58688.603963198431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8057.76</v>
      </c>
      <c r="D8" s="14">
        <f t="shared" ref="D8:G8" si="0">ROUND(D6/D7*365, 2)</f>
        <v>35602.89</v>
      </c>
      <c r="E8" s="14">
        <f t="shared" si="0"/>
        <v>55899.59</v>
      </c>
      <c r="F8" s="14">
        <f t="shared" si="0"/>
        <v>47864.6</v>
      </c>
      <c r="G8" s="14">
        <f t="shared" si="0"/>
        <v>58688.6</v>
      </c>
    </row>
  </sheetData>
  <mergeCells count="1">
    <mergeCell ref="B5:G5"/>
  </mergeCells>
  <hyperlinks>
    <hyperlink ref="F1" location="Index_Data!A1" tooltip="Hi click here To return Index page" display="Index_Data!A1" xr:uid="{31532631-111A-44F9-8FA9-267F22B7CB7E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9254-4DCF-43A0-94F8-48BFEBBF99B7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Balance_Sheet!B74</f>
        <v>Total Assets</v>
      </c>
      <c r="C7" s="13">
        <f>Balance_Sheet!C74</f>
        <v>147823.32999999999</v>
      </c>
      <c r="D7" s="13">
        <f>Balance_Sheet!D74</f>
        <v>154973.9486870789</v>
      </c>
      <c r="E7" s="13">
        <f>Balance_Sheet!E74</f>
        <v>173781.60881171608</v>
      </c>
      <c r="F7" s="13">
        <f>Balance_Sheet!F74</f>
        <v>188752.61813931953</v>
      </c>
      <c r="G7" s="13">
        <f>Balance_Sheet!G74</f>
        <v>217168.62396319845</v>
      </c>
    </row>
    <row r="8" spans="2:15" ht="18.75" x14ac:dyDescent="0.25">
      <c r="B8" s="14" t="s">
        <v>182</v>
      </c>
      <c r="C8" s="14">
        <f>ROUND(C6/C7, 2)</f>
        <v>0.78</v>
      </c>
      <c r="D8" s="14">
        <f t="shared" ref="D8:G8" si="0">ROUND(D6/D7, 2)</f>
        <v>0.84</v>
      </c>
      <c r="E8" s="14">
        <f t="shared" si="0"/>
        <v>0.67</v>
      </c>
      <c r="F8" s="14">
        <f t="shared" si="0"/>
        <v>0.69</v>
      </c>
      <c r="G8" s="14">
        <f t="shared" si="0"/>
        <v>0.9</v>
      </c>
    </row>
  </sheetData>
  <mergeCells count="1">
    <mergeCell ref="B5:G5"/>
  </mergeCells>
  <hyperlinks>
    <hyperlink ref="F1" location="Index_Data!A1" tooltip="Hi click here To return Index page" display="Index_Data!A1" xr:uid="{049B4B8E-EC94-49A0-95EA-4D28A81A572B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AD64D-BEA9-4790-9345-A875B2DBD75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183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Balance_Sheet!B66</f>
        <v>Inventories</v>
      </c>
      <c r="C7" s="13">
        <f>Balance_Sheet!C66</f>
        <v>21631.39</v>
      </c>
      <c r="D7" s="13">
        <f>Balance_Sheet!D66</f>
        <v>22193.79</v>
      </c>
      <c r="E7" s="13">
        <f>Balance_Sheet!E66</f>
        <v>22384</v>
      </c>
      <c r="F7" s="13">
        <f>Balance_Sheet!F66</f>
        <v>30668</v>
      </c>
      <c r="G7" s="13">
        <f>Balance_Sheet!G66</f>
        <v>44483</v>
      </c>
    </row>
    <row r="8" spans="2:15" ht="18.75" x14ac:dyDescent="0.25">
      <c r="B8" s="14" t="s">
        <v>184</v>
      </c>
      <c r="C8" s="14">
        <f>ROUND(C6/C7, 2)</f>
        <v>5.33</v>
      </c>
      <c r="D8" s="14">
        <f t="shared" ref="D8:G8" si="0">ROUND(D6/D7, 2)</f>
        <v>5.85</v>
      </c>
      <c r="E8" s="14">
        <f t="shared" si="0"/>
        <v>5.23</v>
      </c>
      <c r="F8" s="14">
        <f t="shared" si="0"/>
        <v>4.2699999999999996</v>
      </c>
      <c r="G8" s="14">
        <f t="shared" si="0"/>
        <v>4.3899999999999997</v>
      </c>
    </row>
  </sheetData>
  <mergeCells count="1">
    <mergeCell ref="B5:G5"/>
  </mergeCells>
  <hyperlinks>
    <hyperlink ref="F1" location="Index_Data!A1" tooltip="Hi click here To return Index page" display="Index_Data!A1" xr:uid="{B13A9EB9-17B8-4304-B53C-2A87916BC553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402E0-1361-4C73-9F3D-26737E71250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Balance_Sheet!B68</f>
        <v>Trade Receivables</v>
      </c>
      <c r="C7" s="13">
        <f>Balance_Sheet!C68</f>
        <v>9959.81</v>
      </c>
      <c r="D7" s="13">
        <f>Balance_Sheet!D68</f>
        <v>11459.76</v>
      </c>
      <c r="E7" s="13">
        <f>Balance_Sheet!E68</f>
        <v>9345</v>
      </c>
      <c r="F7" s="13">
        <f>Balance_Sheet!F68</f>
        <v>12959</v>
      </c>
      <c r="G7" s="13">
        <f>Balance_Sheet!G68</f>
        <v>21076</v>
      </c>
    </row>
    <row r="8" spans="2:15" ht="18.75" x14ac:dyDescent="0.25">
      <c r="B8" s="14" t="s">
        <v>186</v>
      </c>
      <c r="C8" s="14">
        <f>ROUND(C6/C7, 2)</f>
        <v>11.57</v>
      </c>
      <c r="D8" s="14">
        <f t="shared" ref="D8:G8" si="0">ROUND(D6/D7, 2)</f>
        <v>11.32</v>
      </c>
      <c r="E8" s="14">
        <f t="shared" si="0"/>
        <v>12.54</v>
      </c>
      <c r="F8" s="14">
        <f t="shared" si="0"/>
        <v>10.11</v>
      </c>
      <c r="G8" s="14">
        <f t="shared" si="0"/>
        <v>9.26</v>
      </c>
    </row>
  </sheetData>
  <mergeCells count="1">
    <mergeCell ref="B5:G5"/>
  </mergeCells>
  <hyperlinks>
    <hyperlink ref="F1" location="Index_Data!A1" tooltip="Hi click here To return Index page" display="Index_Data!A1" xr:uid="{74200DD4-2995-4D21-9166-8D6B8FC86091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2660B-28C7-4102-BFFC-A92A92F6F4F3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Balance_Sheet!B40</f>
        <v>Tangible Assets</v>
      </c>
      <c r="C7" s="13">
        <f>Balance_Sheet!C40</f>
        <v>63910.31</v>
      </c>
      <c r="D7" s="13">
        <f>Balance_Sheet!D40</f>
        <v>64208.08</v>
      </c>
      <c r="E7" s="13">
        <f>Balance_Sheet!E40</f>
        <v>66089</v>
      </c>
      <c r="F7" s="13">
        <f>Balance_Sheet!F40</f>
        <v>70870</v>
      </c>
      <c r="G7" s="13">
        <f>Balance_Sheet!G40</f>
        <v>87854</v>
      </c>
    </row>
    <row r="8" spans="2:15" ht="18.75" x14ac:dyDescent="0.25">
      <c r="B8" s="14" t="s">
        <v>188</v>
      </c>
      <c r="C8" s="14">
        <f>ROUND(C6/C7, 2)</f>
        <v>1.8</v>
      </c>
      <c r="D8" s="14">
        <f t="shared" ref="D8:G8" si="0">ROUND(D6/D7, 2)</f>
        <v>2.02</v>
      </c>
      <c r="E8" s="14">
        <f t="shared" si="0"/>
        <v>1.77</v>
      </c>
      <c r="F8" s="14">
        <f t="shared" si="0"/>
        <v>1.85</v>
      </c>
      <c r="G8" s="14">
        <f t="shared" si="0"/>
        <v>2.2200000000000002</v>
      </c>
    </row>
  </sheetData>
  <mergeCells count="1">
    <mergeCell ref="B5:G5"/>
  </mergeCells>
  <hyperlinks>
    <hyperlink ref="F1" location="Index_Data!A1" tooltip="Hi click here To return Index page" display="Index_Data!A1" xr:uid="{E8421AE6-8181-4CB4-A632-F0D6104307E9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A98B9-00A3-4765-B185-22E6A9F4C04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189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79486.399999999994</v>
      </c>
      <c r="D6" s="13">
        <f>Income_Statement!D17</f>
        <v>87686.82</v>
      </c>
      <c r="E6" s="13">
        <f>Income_Statement!E17</f>
        <v>77727</v>
      </c>
      <c r="F6" s="13">
        <f>Income_Statement!F17</f>
        <v>86276</v>
      </c>
      <c r="G6" s="13">
        <f>Income_Statement!G17</f>
        <v>125335</v>
      </c>
    </row>
    <row r="7" spans="2:15" ht="18.75" x14ac:dyDescent="0.25">
      <c r="B7" s="12" t="str">
        <f>Balance_Sheet!B33</f>
        <v>Total Current Liabilities</v>
      </c>
      <c r="C7" s="13">
        <f>Balance_Sheet!C33</f>
        <v>37827.229999999996</v>
      </c>
      <c r="D7" s="13">
        <f>Balance_Sheet!D33</f>
        <v>38409.67</v>
      </c>
      <c r="E7" s="13">
        <f>Balance_Sheet!E33</f>
        <v>39434</v>
      </c>
      <c r="F7" s="13">
        <f>Balance_Sheet!F33</f>
        <v>53649</v>
      </c>
      <c r="G7" s="13">
        <f>Balance_Sheet!G33</f>
        <v>75994</v>
      </c>
    </row>
    <row r="8" spans="2:15" ht="18.75" x14ac:dyDescent="0.25">
      <c r="B8" s="14" t="s">
        <v>190</v>
      </c>
      <c r="C8" s="14">
        <f>ROUND(C6/C7, 2)</f>
        <v>2.1</v>
      </c>
      <c r="D8" s="14">
        <f t="shared" ref="D8:G8" si="0">ROUND(D6/D7, 2)</f>
        <v>2.2799999999999998</v>
      </c>
      <c r="E8" s="14">
        <f t="shared" si="0"/>
        <v>1.97</v>
      </c>
      <c r="F8" s="14">
        <f t="shared" si="0"/>
        <v>1.61</v>
      </c>
      <c r="G8" s="14">
        <f t="shared" si="0"/>
        <v>1.65</v>
      </c>
    </row>
  </sheetData>
  <mergeCells count="1">
    <mergeCell ref="B5:G5"/>
  </mergeCells>
  <hyperlinks>
    <hyperlink ref="F1" location="Index_Data!A1" tooltip="Hi click here To return Index page" display="Index_Data!A1" xr:uid="{8DD8EA99-1399-4700-976A-242D2996F486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53BB7-AF61-412C-B5AA-05D168EEC19D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7" t="s">
        <v>270</v>
      </c>
    </row>
    <row r="2" spans="1:1" x14ac:dyDescent="0.25">
      <c r="A2" s="47" t="s">
        <v>272</v>
      </c>
    </row>
    <row r="3" spans="1:1" x14ac:dyDescent="0.25">
      <c r="A3" s="48"/>
    </row>
    <row r="4" spans="1:1" x14ac:dyDescent="0.25">
      <c r="A4" s="47" t="s">
        <v>120</v>
      </c>
    </row>
    <row r="5" spans="1:1" x14ac:dyDescent="0.25">
      <c r="A5" s="47" t="s">
        <v>128</v>
      </c>
    </row>
    <row r="6" spans="1:1" x14ac:dyDescent="0.25">
      <c r="A6" s="47" t="s">
        <v>143</v>
      </c>
    </row>
    <row r="7" spans="1:1" x14ac:dyDescent="0.25">
      <c r="A7" s="47" t="s">
        <v>273</v>
      </c>
    </row>
    <row r="8" spans="1:1" x14ac:dyDescent="0.25">
      <c r="A8" s="47" t="s">
        <v>146</v>
      </c>
    </row>
    <row r="9" spans="1:1" x14ac:dyDescent="0.25">
      <c r="A9" s="47" t="s">
        <v>148</v>
      </c>
    </row>
    <row r="10" spans="1:1" x14ac:dyDescent="0.25">
      <c r="A10" s="47" t="s">
        <v>150</v>
      </c>
    </row>
    <row r="11" spans="1:1" x14ac:dyDescent="0.25">
      <c r="A11" s="47" t="s">
        <v>152</v>
      </c>
    </row>
    <row r="12" spans="1:1" x14ac:dyDescent="0.25">
      <c r="A12" s="47" t="s">
        <v>155</v>
      </c>
    </row>
    <row r="13" spans="1:1" x14ac:dyDescent="0.25">
      <c r="A13" s="47" t="s">
        <v>157</v>
      </c>
    </row>
    <row r="14" spans="1:1" x14ac:dyDescent="0.25">
      <c r="A14" s="47" t="s">
        <v>159</v>
      </c>
    </row>
    <row r="15" spans="1:1" x14ac:dyDescent="0.25">
      <c r="A15" s="47" t="s">
        <v>161</v>
      </c>
    </row>
    <row r="16" spans="1:1" x14ac:dyDescent="0.25">
      <c r="A16" s="47" t="s">
        <v>163</v>
      </c>
    </row>
    <row r="17" spans="1:1" x14ac:dyDescent="0.25">
      <c r="A17" s="47" t="s">
        <v>165</v>
      </c>
    </row>
    <row r="18" spans="1:1" x14ac:dyDescent="0.25">
      <c r="A18" s="47" t="s">
        <v>167</v>
      </c>
    </row>
    <row r="19" spans="1:1" x14ac:dyDescent="0.25">
      <c r="A19" s="47" t="s">
        <v>169</v>
      </c>
    </row>
    <row r="20" spans="1:1" x14ac:dyDescent="0.25">
      <c r="A20" s="47" t="s">
        <v>171</v>
      </c>
    </row>
    <row r="21" spans="1:1" x14ac:dyDescent="0.25">
      <c r="A21" s="47" t="s">
        <v>173</v>
      </c>
    </row>
    <row r="22" spans="1:1" x14ac:dyDescent="0.25">
      <c r="A22" s="47" t="s">
        <v>175</v>
      </c>
    </row>
    <row r="23" spans="1:1" x14ac:dyDescent="0.25">
      <c r="A23" s="47" t="s">
        <v>177</v>
      </c>
    </row>
    <row r="24" spans="1:1" x14ac:dyDescent="0.25">
      <c r="A24" s="47" t="s">
        <v>180</v>
      </c>
    </row>
    <row r="25" spans="1:1" x14ac:dyDescent="0.25">
      <c r="A25" s="47" t="s">
        <v>182</v>
      </c>
    </row>
    <row r="26" spans="1:1" x14ac:dyDescent="0.25">
      <c r="A26" s="47" t="s">
        <v>184</v>
      </c>
    </row>
    <row r="27" spans="1:1" x14ac:dyDescent="0.25">
      <c r="A27" s="47" t="s">
        <v>186</v>
      </c>
    </row>
    <row r="28" spans="1:1" x14ac:dyDescent="0.25">
      <c r="A28" s="47" t="s">
        <v>188</v>
      </c>
    </row>
    <row r="29" spans="1:1" x14ac:dyDescent="0.25">
      <c r="A29" s="47" t="s">
        <v>190</v>
      </c>
    </row>
    <row r="30" spans="1:1" x14ac:dyDescent="0.25">
      <c r="A30" s="47" t="s">
        <v>192</v>
      </c>
    </row>
    <row r="31" spans="1:1" x14ac:dyDescent="0.25">
      <c r="A31" s="47" t="s">
        <v>194</v>
      </c>
    </row>
    <row r="32" spans="1:1" x14ac:dyDescent="0.25">
      <c r="A32" s="47" t="s">
        <v>196</v>
      </c>
    </row>
    <row r="33" spans="1:1" x14ac:dyDescent="0.25">
      <c r="A33" s="47" t="s">
        <v>198</v>
      </c>
    </row>
    <row r="34" spans="1:1" x14ac:dyDescent="0.25">
      <c r="A34" s="47" t="s">
        <v>201</v>
      </c>
    </row>
    <row r="35" spans="1:1" x14ac:dyDescent="0.25">
      <c r="A35" s="47" t="s">
        <v>274</v>
      </c>
    </row>
    <row r="36" spans="1:1" x14ac:dyDescent="0.25">
      <c r="A36" s="47" t="s">
        <v>275</v>
      </c>
    </row>
    <row r="37" spans="1:1" x14ac:dyDescent="0.25">
      <c r="A37" s="47" t="s">
        <v>276</v>
      </c>
    </row>
    <row r="38" spans="1:1" x14ac:dyDescent="0.25">
      <c r="A38" s="47" t="s">
        <v>278</v>
      </c>
    </row>
    <row r="39" spans="1:1" x14ac:dyDescent="0.25">
      <c r="A39" s="47" t="s">
        <v>279</v>
      </c>
    </row>
    <row r="40" spans="1:1" x14ac:dyDescent="0.25">
      <c r="A40" s="47" t="s">
        <v>280</v>
      </c>
    </row>
    <row r="41" spans="1:1" x14ac:dyDescent="0.25">
      <c r="A41" s="47" t="s">
        <v>281</v>
      </c>
    </row>
    <row r="42" spans="1:1" x14ac:dyDescent="0.25">
      <c r="A42" s="47" t="s">
        <v>282</v>
      </c>
    </row>
    <row r="43" spans="1:1" x14ac:dyDescent="0.25">
      <c r="A43" s="47" t="s">
        <v>283</v>
      </c>
    </row>
    <row r="44" spans="1:1" x14ac:dyDescent="0.25">
      <c r="A44" s="47" t="s">
        <v>284</v>
      </c>
    </row>
    <row r="45" spans="1:1" x14ac:dyDescent="0.25">
      <c r="A45" s="47" t="s">
        <v>277</v>
      </c>
    </row>
    <row r="46" spans="1:1" x14ac:dyDescent="0.25">
      <c r="A46" s="47" t="s">
        <v>285</v>
      </c>
    </row>
    <row r="47" spans="1:1" x14ac:dyDescent="0.25">
      <c r="A47" s="47" t="s">
        <v>286</v>
      </c>
    </row>
    <row r="48" spans="1:1" x14ac:dyDescent="0.25">
      <c r="A48" s="47" t="s">
        <v>287</v>
      </c>
    </row>
  </sheetData>
  <hyperlinks>
    <hyperlink ref="A1" location="BSInput!A1" tooltip="Hi click here to view the sheet" display="BSInput!A1" xr:uid="{51BC4669-0BF4-4164-927C-BBB905667025}"/>
    <hyperlink ref="A2" location="ISMInput!A1" tooltip="Hi click here to view the sheet" display="ISMInput!A1" xr:uid="{EAB2B634-0A19-4AD2-A9F2-D16033056286}"/>
    <hyperlink ref="A4" location="Income_Statement!A1" tooltip="Hi click here to view the sheet" display="Income_Statement!A1" xr:uid="{20603441-6AE2-4695-BE24-7F6B2716BFAE}"/>
    <hyperlink ref="A5" location="Balance_Sheet!A1" tooltip="Hi click here to view the sheet" display="Balance_Sheet!A1" xr:uid="{44BCCF55-C83E-42CD-A65D-6DD0123F3BB1}"/>
    <hyperlink ref="A6" location="CashFlow_Statement!A1" tooltip="Hi click here to view the sheet" display="CashFlow_Statement!A1" xr:uid="{4FD41534-0DB1-449B-84D9-592FD446721F}"/>
    <hyperlink ref="A7" location="Ratios!A1" tooltip="Hi click here to view the sheet" display="Ratios!A1" xr:uid="{E0452E73-FF9F-4A66-9837-83A94898FEF5}"/>
    <hyperlink ref="A8" location="Earning__Per_Share!A1" tooltip="Hi click here to view the sheet" display="Earning__Per_Share!A1" xr:uid="{C545EB44-7B93-48E1-9EAD-FB6F994DEEEF}"/>
    <hyperlink ref="A9" location="Equity_Dividend_Per_Share!A1" tooltip="Hi click here to view the sheet" display="Equity_Dividend_Per_Share!A1" xr:uid="{7858B9F3-CCF0-4F77-963F-79354FF8804D}"/>
    <hyperlink ref="A10" location="Book_Value__Per_Share!A1" tooltip="Hi click here to view the sheet" display="Book_Value__Per_Share!A1" xr:uid="{20551927-2966-4EAE-9596-8EC7CCE72396}"/>
    <hyperlink ref="A11" location="Dividend_Pay_Out_Ratio!A1" tooltip="Hi click here to view the sheet" display="Dividend_Pay_Out_Ratio!A1" xr:uid="{DD5208AE-7399-4EBC-BE7F-D98575554757}"/>
    <hyperlink ref="A12" location="Dividend_Retention_Ratio!A1" tooltip="Hi click here to view the sheet" display="Dividend_Retention_Ratio!A1" xr:uid="{DC44EE8A-8E4B-4E3B-9AE6-529795D0DBE0}"/>
    <hyperlink ref="A13" location="Gross_Profit!A1" tooltip="Hi click here to view the sheet" display="Gross_Profit!A1" xr:uid="{D9B1975B-1998-4CE1-9C9F-27301C1126FA}"/>
    <hyperlink ref="A14" location="Net_Profit!A1" tooltip="Hi click here to view the sheet" display="Net_Profit!A1" xr:uid="{E0348739-EAD4-4580-8CB0-96F5D65184B9}"/>
    <hyperlink ref="A15" location="Return_On_Assets!A1" tooltip="Hi click here to view the sheet" display="Return_On_Assets!A1" xr:uid="{3180A766-46A3-46E3-B50A-89547BCCE478}"/>
    <hyperlink ref="A16" location="Return_On_Capital_Employeed!A1" tooltip="Hi click here to view the sheet" display="Return_On_Capital_Employeed!A1" xr:uid="{3576D66D-D376-4BD4-95E7-5C0E7CB3B42D}"/>
    <hyperlink ref="A17" location="Return_On_Equity!A1" tooltip="Hi click here to view the sheet" display="Return_On_Equity!A1" xr:uid="{1364E3D8-D54D-4586-B282-983659625C16}"/>
    <hyperlink ref="A18" location="Debt_Equity_Ratio!A1" tooltip="Hi click here to view the sheet" display="Debt_Equity_Ratio!A1" xr:uid="{F792B09E-481B-47EB-B93C-449C1F98058E}"/>
    <hyperlink ref="A19" location="Current_Ratio!A1" tooltip="Hi click here to view the sheet" display="Current_Ratio!A1" xr:uid="{643E6953-2F23-4B37-965F-0CB08C1082B1}"/>
    <hyperlink ref="A20" location="Quick_Ratio!A1" tooltip="Hi click here to view the sheet" display="Quick_Ratio!A1" xr:uid="{4C2AD210-F9CE-47BB-B538-24299CA50B34}"/>
    <hyperlink ref="A21" location="Interest_Coverage_Ratio!A1" tooltip="Hi click here to view the sheet" display="Interest_Coverage_Ratio!A1" xr:uid="{74753872-7ECB-4783-A893-289E88E120A3}"/>
    <hyperlink ref="A22" location="Material_Consumed!A1" tooltip="Hi click here to view the sheet" display="Material_Consumed!A1" xr:uid="{1A000EDD-D117-41A1-8F78-C3F7EFE4004D}"/>
    <hyperlink ref="A23" location="Defensive_Interval_Ratio!A1" tooltip="Hi click here to view the sheet" display="Defensive_Interval_Ratio!A1" xr:uid="{7EDF729D-9D57-48CB-B0D3-E2EE3C39F83F}"/>
    <hyperlink ref="A24" location="Purchases_Per_Day!A1" tooltip="Hi click here to view the sheet" display="Purchases_Per_Day!A1" xr:uid="{BEA0E4ED-7607-4BB6-B8F1-7DF1A756AB16}"/>
    <hyperlink ref="A25" location="Asset_TurnOver_Ratio!A1" tooltip="Hi click here to view the sheet" display="Asset_TurnOver_Ratio!A1" xr:uid="{ACD41B82-5E69-45EA-ABB2-38DAF4EDDF84}"/>
    <hyperlink ref="A26" location="Inventory_TurnOver_Ratio!A1" tooltip="Hi click here to view the sheet" display="Inventory_TurnOver_Ratio!A1" xr:uid="{61C76365-8034-41E8-A207-839FCA407634}"/>
    <hyperlink ref="A27" location="Debtors_TurnOver_Ratio!A1" tooltip="Hi click here to view the sheet" display="Debtors_TurnOver_Ratio!A1" xr:uid="{D8D8D9CC-B848-4431-8FF8-5E71777DCDEC}"/>
    <hyperlink ref="A28" location="Fixed_Assets_TurnOver_Ratio!A1" tooltip="Hi click here to view the sheet" display="Fixed_Assets_TurnOver_Ratio!A1" xr:uid="{32B533B6-5591-4C62-B5AD-D3A2E3CD5525}"/>
    <hyperlink ref="A29" location="Payable_TurnOver_Ratio!A1" tooltip="Hi click here to view the sheet" display="Payable_TurnOver_Ratio!A1" xr:uid="{B4495039-59D7-4B45-AF97-02368D9A2791}"/>
    <hyperlink ref="A30" location="Inventory_Days!A1" tooltip="Hi click here to view the sheet" display="Inventory_Days!A1" xr:uid="{42278DEB-12BE-4F67-9ECF-E81031638118}"/>
    <hyperlink ref="A31" location="Payable_Days!A1" tooltip="Hi click here to view the sheet" display="Payable_Days!A1" xr:uid="{611C22C3-5490-4BE8-96A0-C1E0502416E6}"/>
    <hyperlink ref="A32" location="Receivable_Days!A1" tooltip="Hi click here to view the sheet" display="Receivable_Days!A1" xr:uid="{F3EAA148-7797-4CCD-B77F-00B0F023AB79}"/>
    <hyperlink ref="A33" location="Operating_Cycle!A1" tooltip="Hi click here to view the sheet" display="Operating_Cycle!A1" xr:uid="{5DE94E50-1940-47D2-B73F-BED18050C935}"/>
    <hyperlink ref="A34" location="Cash_Conversion_Cycle_Days!A1" tooltip="Hi click here to view the sheet" display="Cash_Conversion_Cycle_Days!A1" xr:uid="{755D955D-1B68-40F6-9BD4-B9C2A1B3D4B5}"/>
    <hyperlink ref="A35" location="NetWorthVsTotalLiabilties!A1" tooltip="Hi click here to view the sheet" display="NetWorthVsTotalLiabilties!A1" xr:uid="{6ECCE8B0-D52B-471A-B4A8-F2351478778B}"/>
    <hyperlink ref="A36" location="PBDITvsPBIT!A1" tooltip="Hi click here to view the sheet" display="PBDITvsPBIT!A1" xr:uid="{955F7224-F4F3-4783-8882-EC2F9CC57E0D}"/>
    <hyperlink ref="A37" location="CAvsCL!A1" tooltip="Hi click here to view the sheet" display="CAvsCL!A1" xr:uid="{9F655197-72BB-4E3D-8D9B-A5B344A5F935}"/>
    <hyperlink ref="A38" location="Long_And_Short_Term_Provisions!A1" tooltip="Hi click here to view the sheet" display="Long_And_Short_Term_Provisions!A1" xr:uid="{9CAE0D31-29C6-4269-94E2-181ECEB69E82}"/>
    <hyperlink ref="A39" location="MaterialConsumed_DirectExpenses!A1" tooltip="Hi click here to view the sheet" display="MaterialConsumed_DirectExpenses!A1" xr:uid="{8EB96CF0-0F4B-406C-BD2F-80320DB1002A}"/>
    <hyperlink ref="A40" location="Gross_Sales_In_Total_Income!A1" tooltip="Hi click here to view the sheet" display="Gross_Sales_In_Total_Income!A1" xr:uid="{899B549A-B26D-4FBF-A1D6-8F0AAC0272D1}"/>
    <hyperlink ref="A41" location="Total_Debt_In_Liabilities!A1" tooltip="Hi click here to view the sheet" display="Total_Debt_In_Liabilities!A1" xr:uid="{EC778823-8E0D-4088-9B36-D5413538C5AD}"/>
    <hyperlink ref="A42" location="Total_CL_In_Liabilities!A1" tooltip="Hi click here to view the sheet" display="Total_CL_In_Liabilities!A1" xr:uid="{9CA60558-F984-42D0-96C8-2E46673D0452}"/>
    <hyperlink ref="A43" location="Total_NCA_In_Assets!A1" tooltip="Hi click here to view the sheet" display="Total_NCA_In_Assets!A1" xr:uid="{187DA172-44B9-4421-9E99-FF37DE786501}"/>
    <hyperlink ref="A44" location="Total_CA_In_Assets!A1" tooltip="Hi click here to view the sheet" display="Total_CA_In_Assets!A1" xr:uid="{A35B9BC0-5D3B-42E7-B7E7-38A852EF2CEC}"/>
    <hyperlink ref="A45" location="TotalExpenditureVsTotalIncome!A1" tooltip="Hi click here to view the sheet" display="TotalExpenditureVsTotalIncome!A1" xr:uid="{0F297614-9F96-4B8D-B227-C882FC25D93D}"/>
    <hyperlink ref="A46" location="Net_Profit_CF_To_Balance_Sheet!A1" tooltip="Hi click here to view the sheet" display="Net_Profit_CF_To_Balance_Sheet!A1" xr:uid="{5CCC230D-6D4C-48EB-A510-A8F338F671B4}"/>
    <hyperlink ref="A47" location="BS_Backup!A1" tooltip="Hi click here to view the sheet" display="BS_Backup!A1" xr:uid="{BD26C745-8AD4-4E59-A6AC-7E58EC90FDD1}"/>
    <hyperlink ref="A48" location="ISM_Backup!A1" tooltip="Hi click here to view the sheet" display="ISM_Backup!A1" xr:uid="{30324D89-16AE-43C6-BEC5-4BFA5D6D2459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FD08-2D31-4659-9A86-3E63B4391ED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191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Balance_Sheet!B66</f>
        <v>Inventories</v>
      </c>
      <c r="C7" s="13">
        <f>Balance_Sheet!C66</f>
        <v>21631.39</v>
      </c>
      <c r="D7" s="13">
        <f>Balance_Sheet!D66</f>
        <v>22193.79</v>
      </c>
      <c r="E7" s="13">
        <f>Balance_Sheet!E66</f>
        <v>22384</v>
      </c>
      <c r="F7" s="13">
        <f>Balance_Sheet!F66</f>
        <v>30668</v>
      </c>
      <c r="G7" s="13">
        <f>Balance_Sheet!G66</f>
        <v>44483</v>
      </c>
    </row>
    <row r="8" spans="2:15" ht="18.75" x14ac:dyDescent="0.25">
      <c r="B8" s="14" t="s">
        <v>192</v>
      </c>
      <c r="C8" s="14">
        <f>ROUND(365/C6*C7, 2)</f>
        <v>68.540000000000006</v>
      </c>
      <c r="D8" s="14">
        <f t="shared" ref="D8:G8" si="0">ROUND(365/D6*D7, 2)</f>
        <v>62.44</v>
      </c>
      <c r="E8" s="14">
        <f t="shared" si="0"/>
        <v>69.75</v>
      </c>
      <c r="F8" s="14">
        <f t="shared" si="0"/>
        <v>85.44</v>
      </c>
      <c r="G8" s="14">
        <f t="shared" si="0"/>
        <v>83.24</v>
      </c>
    </row>
  </sheetData>
  <mergeCells count="1">
    <mergeCell ref="B5:G5"/>
  </mergeCells>
  <hyperlinks>
    <hyperlink ref="F1" location="Index_Data!A1" tooltip="Hi click here To return Index page" display="Index_Data!A1" xr:uid="{1CD79B7B-911F-4B48-A026-BB8415FB8600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E2C82-EE69-401F-AD54-D0B99AF2A1B7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193</v>
      </c>
      <c r="C5" s="44"/>
      <c r="D5" s="44"/>
      <c r="E5" s="44"/>
      <c r="F5" s="44"/>
      <c r="G5" s="44"/>
    </row>
    <row r="6" spans="2:15" ht="18.75" x14ac:dyDescent="0.25">
      <c r="B6" s="12" t="str">
        <f>Income_Statement!B17</f>
        <v>Cost Of Materials Consumed</v>
      </c>
      <c r="C6" s="13">
        <f>Income_Statement!C17</f>
        <v>79486.399999999994</v>
      </c>
      <c r="D6" s="13">
        <f>Income_Statement!D17</f>
        <v>87686.82</v>
      </c>
      <c r="E6" s="13">
        <f>Income_Statement!E17</f>
        <v>77727</v>
      </c>
      <c r="F6" s="13">
        <f>Income_Statement!F17</f>
        <v>86276</v>
      </c>
      <c r="G6" s="13">
        <f>Income_Statement!G17</f>
        <v>125335</v>
      </c>
    </row>
    <row r="7" spans="2:15" ht="18.75" x14ac:dyDescent="0.25">
      <c r="B7" s="12" t="str">
        <f>Balance_Sheet!B33</f>
        <v>Total Current Liabilities</v>
      </c>
      <c r="C7" s="13">
        <f>Balance_Sheet!C33</f>
        <v>37827.229999999996</v>
      </c>
      <c r="D7" s="13">
        <f>Balance_Sheet!D33</f>
        <v>38409.67</v>
      </c>
      <c r="E7" s="13">
        <f>Balance_Sheet!E33</f>
        <v>39434</v>
      </c>
      <c r="F7" s="13">
        <f>Balance_Sheet!F33</f>
        <v>53649</v>
      </c>
      <c r="G7" s="13">
        <f>Balance_Sheet!G33</f>
        <v>75994</v>
      </c>
    </row>
    <row r="8" spans="2:15" ht="18.75" x14ac:dyDescent="0.25">
      <c r="B8" s="14" t="s">
        <v>194</v>
      </c>
      <c r="C8" s="14">
        <f>ROUND(365/C6*C7, 2)</f>
        <v>173.7</v>
      </c>
      <c r="D8" s="14">
        <f t="shared" ref="D8:G8" si="0">ROUND(365/D6*D7, 2)</f>
        <v>159.88</v>
      </c>
      <c r="E8" s="14">
        <f t="shared" si="0"/>
        <v>185.18</v>
      </c>
      <c r="F8" s="14">
        <f t="shared" si="0"/>
        <v>226.97</v>
      </c>
      <c r="G8" s="14">
        <f t="shared" si="0"/>
        <v>221.31</v>
      </c>
    </row>
  </sheetData>
  <mergeCells count="1">
    <mergeCell ref="B5:G5"/>
  </mergeCells>
  <hyperlinks>
    <hyperlink ref="F1" location="Index_Data!A1" tooltip="Hi click here To return Index page" display="Index_Data!A1" xr:uid="{09F2C4D8-A09E-46A7-A387-AFDC981DB6A9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A115B-1377-4061-816D-D3B10BCF253C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195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Balance_Sheet!B68</f>
        <v>Trade Receivables</v>
      </c>
      <c r="C7" s="13">
        <f>Balance_Sheet!C68</f>
        <v>9959.81</v>
      </c>
      <c r="D7" s="13">
        <f>Balance_Sheet!D68</f>
        <v>11459.76</v>
      </c>
      <c r="E7" s="13">
        <f>Balance_Sheet!E68</f>
        <v>9345</v>
      </c>
      <c r="F7" s="13">
        <f>Balance_Sheet!F68</f>
        <v>12959</v>
      </c>
      <c r="G7" s="13">
        <f>Balance_Sheet!G68</f>
        <v>21076</v>
      </c>
    </row>
    <row r="8" spans="2:15" ht="18.75" x14ac:dyDescent="0.25">
      <c r="B8" s="14" t="s">
        <v>196</v>
      </c>
      <c r="C8" s="14">
        <f>ROUND(365/C6*C7, 2)</f>
        <v>31.56</v>
      </c>
      <c r="D8" s="14">
        <f t="shared" ref="D8:G8" si="0">ROUND(365/D6*D7, 2)</f>
        <v>32.24</v>
      </c>
      <c r="E8" s="14">
        <f t="shared" si="0"/>
        <v>29.12</v>
      </c>
      <c r="F8" s="14">
        <f t="shared" si="0"/>
        <v>36.1</v>
      </c>
      <c r="G8" s="14">
        <f t="shared" si="0"/>
        <v>39.44</v>
      </c>
    </row>
  </sheetData>
  <mergeCells count="1">
    <mergeCell ref="B5:G5"/>
  </mergeCells>
  <hyperlinks>
    <hyperlink ref="F1" location="Index_Data!A1" tooltip="Hi click here To return Index page" display="Index_Data!A1" xr:uid="{6B11FC8B-A99E-4C64-9E77-3FE7A12C489F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A12A1-02A3-45DE-93E8-20A3595F67E3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197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Balance_Sheet!B66</f>
        <v>Inventories</v>
      </c>
      <c r="C7" s="13">
        <f>Balance_Sheet!C66</f>
        <v>21631.39</v>
      </c>
      <c r="D7" s="13">
        <f>Balance_Sheet!D66</f>
        <v>22193.79</v>
      </c>
      <c r="E7" s="13">
        <f>Balance_Sheet!E66</f>
        <v>22384</v>
      </c>
      <c r="F7" s="13">
        <f>Balance_Sheet!F66</f>
        <v>30668</v>
      </c>
      <c r="G7" s="13">
        <f>Balance_Sheet!G66</f>
        <v>44483</v>
      </c>
    </row>
    <row r="8" spans="2:15" ht="18.75" x14ac:dyDescent="0.25">
      <c r="B8" s="12" t="s">
        <v>192</v>
      </c>
      <c r="C8" s="13">
        <f>ROUND(365/C6*C7, 2)</f>
        <v>68.540000000000006</v>
      </c>
      <c r="D8" s="13">
        <f t="shared" ref="D8:G8" si="0">ROUND(365/D6*D7, 2)</f>
        <v>62.44</v>
      </c>
      <c r="E8" s="13">
        <f t="shared" si="0"/>
        <v>69.75</v>
      </c>
      <c r="F8" s="13">
        <f t="shared" si="0"/>
        <v>85.44</v>
      </c>
      <c r="G8" s="13">
        <f t="shared" si="0"/>
        <v>83.24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79486.399999999994</v>
      </c>
      <c r="D9" s="13">
        <f>Income_Statement!D17</f>
        <v>87686.82</v>
      </c>
      <c r="E9" s="13">
        <f>Income_Statement!E17</f>
        <v>77727</v>
      </c>
      <c r="F9" s="13">
        <f>Income_Statement!F17</f>
        <v>86276</v>
      </c>
      <c r="G9" s="13">
        <f>Income_Statement!G17</f>
        <v>125335</v>
      </c>
    </row>
    <row r="10" spans="2:15" ht="18.75" x14ac:dyDescent="0.25">
      <c r="B10" s="12" t="str">
        <f>Balance_Sheet!B33</f>
        <v>Total Current Liabilities</v>
      </c>
      <c r="C10" s="13">
        <f>Balance_Sheet!C33</f>
        <v>37827.229999999996</v>
      </c>
      <c r="D10" s="13">
        <f>Balance_Sheet!D33</f>
        <v>38409.67</v>
      </c>
      <c r="E10" s="13">
        <f>Balance_Sheet!E33</f>
        <v>39434</v>
      </c>
      <c r="F10" s="13">
        <f>Balance_Sheet!F33</f>
        <v>53649</v>
      </c>
      <c r="G10" s="13">
        <f>Balance_Sheet!G33</f>
        <v>75994</v>
      </c>
    </row>
    <row r="11" spans="2:15" ht="18.75" x14ac:dyDescent="0.25">
      <c r="B11" s="12" t="s">
        <v>194</v>
      </c>
      <c r="C11" s="13">
        <f>ROUND(365/C9*C10, 2)</f>
        <v>173.7</v>
      </c>
      <c r="D11" s="13">
        <f t="shared" ref="D11:G11" si="1">ROUND(365/D9*D10, 2)</f>
        <v>159.88</v>
      </c>
      <c r="E11" s="13">
        <f t="shared" si="1"/>
        <v>185.18</v>
      </c>
      <c r="F11" s="13">
        <f t="shared" si="1"/>
        <v>226.97</v>
      </c>
      <c r="G11" s="13">
        <f t="shared" si="1"/>
        <v>221.31</v>
      </c>
    </row>
    <row r="12" spans="2:15" ht="18.75" x14ac:dyDescent="0.25">
      <c r="B12" s="14" t="s">
        <v>198</v>
      </c>
      <c r="C12" s="16">
        <f>ROUND(C11+C8, 2)</f>
        <v>242.24</v>
      </c>
      <c r="D12" s="16">
        <f t="shared" ref="D12:G12" si="2">ROUND(D11+D8, 2)</f>
        <v>222.32</v>
      </c>
      <c r="E12" s="16">
        <f t="shared" si="2"/>
        <v>254.93</v>
      </c>
      <c r="F12" s="16">
        <f t="shared" si="2"/>
        <v>312.41000000000003</v>
      </c>
      <c r="G12" s="16">
        <f t="shared" si="2"/>
        <v>304.55</v>
      </c>
    </row>
  </sheetData>
  <mergeCells count="1">
    <mergeCell ref="B5:G5"/>
  </mergeCells>
  <hyperlinks>
    <hyperlink ref="F1" location="Index_Data!A1" tooltip="Hi click here To return Index page" display="Index_Data!A1" xr:uid="{6CF357AC-D0C4-4E76-8CC5-EF20ADE0AF11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6CA4D-E494-48B9-812A-2408D066BC64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199</v>
      </c>
      <c r="C5" s="44"/>
      <c r="D5" s="44"/>
      <c r="E5" s="44"/>
      <c r="F5" s="44"/>
      <c r="G5" s="44"/>
    </row>
    <row r="6" spans="2:15" ht="18.75" x14ac:dyDescent="0.25">
      <c r="B6" s="12" t="str">
        <f>Income_Statement!B5</f>
        <v>Gross Sales</v>
      </c>
      <c r="C6" s="13">
        <f>Income_Statement!C5</f>
        <v>115195.63</v>
      </c>
      <c r="D6" s="13">
        <f>Income_Statement!D5</f>
        <v>129745.57</v>
      </c>
      <c r="E6" s="13">
        <f>Income_Statement!E5</f>
        <v>117140</v>
      </c>
      <c r="F6" s="13">
        <f>Income_Statement!F5</f>
        <v>131009</v>
      </c>
      <c r="G6" s="13">
        <f>Income_Statement!G5</f>
        <v>195059</v>
      </c>
    </row>
    <row r="7" spans="2:15" ht="18.75" x14ac:dyDescent="0.25">
      <c r="B7" s="12" t="str">
        <f>Balance_Sheet!B66</f>
        <v>Inventories</v>
      </c>
      <c r="C7" s="13">
        <f>Balance_Sheet!C66</f>
        <v>21631.39</v>
      </c>
      <c r="D7" s="13">
        <f>Balance_Sheet!D66</f>
        <v>22193.79</v>
      </c>
      <c r="E7" s="13">
        <f>Balance_Sheet!E66</f>
        <v>22384</v>
      </c>
      <c r="F7" s="13">
        <f>Balance_Sheet!F66</f>
        <v>30668</v>
      </c>
      <c r="G7" s="13">
        <f>Balance_Sheet!G66</f>
        <v>44483</v>
      </c>
    </row>
    <row r="8" spans="2:15" ht="18.75" x14ac:dyDescent="0.25">
      <c r="B8" s="12" t="s">
        <v>192</v>
      </c>
      <c r="C8" s="13">
        <f>ROUND(365/C6*C7, 2)</f>
        <v>68.540000000000006</v>
      </c>
      <c r="D8" s="13">
        <f t="shared" ref="D8:G8" si="0">ROUND(365/D6*D7, 2)</f>
        <v>62.44</v>
      </c>
      <c r="E8" s="13">
        <f t="shared" si="0"/>
        <v>69.75</v>
      </c>
      <c r="F8" s="13">
        <f t="shared" si="0"/>
        <v>85.44</v>
      </c>
      <c r="G8" s="13">
        <f t="shared" si="0"/>
        <v>83.24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79486.399999999994</v>
      </c>
      <c r="D9" s="13">
        <f>Income_Statement!D17</f>
        <v>87686.82</v>
      </c>
      <c r="E9" s="13">
        <f>Income_Statement!E17</f>
        <v>77727</v>
      </c>
      <c r="F9" s="13">
        <f>Income_Statement!F17</f>
        <v>86276</v>
      </c>
      <c r="G9" s="13">
        <f>Income_Statement!G17</f>
        <v>125335</v>
      </c>
    </row>
    <row r="10" spans="2:15" ht="18.75" x14ac:dyDescent="0.25">
      <c r="B10" s="12" t="str">
        <f>Balance_Sheet!B33</f>
        <v>Total Current Liabilities</v>
      </c>
      <c r="C10" s="13">
        <f>Balance_Sheet!C33</f>
        <v>37827.229999999996</v>
      </c>
      <c r="D10" s="13">
        <f>Balance_Sheet!D33</f>
        <v>38409.67</v>
      </c>
      <c r="E10" s="13">
        <f>Balance_Sheet!E33</f>
        <v>39434</v>
      </c>
      <c r="F10" s="13">
        <f>Balance_Sheet!F33</f>
        <v>53649</v>
      </c>
      <c r="G10" s="13">
        <f>Balance_Sheet!G33</f>
        <v>75994</v>
      </c>
    </row>
    <row r="11" spans="2:15" ht="18.75" x14ac:dyDescent="0.25">
      <c r="B11" s="12" t="s">
        <v>194</v>
      </c>
      <c r="C11" s="13">
        <f>ROUND(365/C9*C10, 2)</f>
        <v>173.7</v>
      </c>
      <c r="D11" s="13">
        <f t="shared" ref="D11:G11" si="1">ROUND(365/D9*D10, 2)</f>
        <v>159.88</v>
      </c>
      <c r="E11" s="13">
        <f t="shared" si="1"/>
        <v>185.18</v>
      </c>
      <c r="F11" s="13">
        <f t="shared" si="1"/>
        <v>226.97</v>
      </c>
      <c r="G11" s="13">
        <f t="shared" si="1"/>
        <v>221.31</v>
      </c>
    </row>
    <row r="12" spans="2:15" ht="18.75" x14ac:dyDescent="0.25">
      <c r="B12" s="12" t="s">
        <v>200</v>
      </c>
      <c r="C12" s="13">
        <f>ROUND(C11+C8, 2)</f>
        <v>242.24</v>
      </c>
      <c r="D12" s="13">
        <f t="shared" ref="D12:G12" si="2">ROUND(D11+D8, 2)</f>
        <v>222.32</v>
      </c>
      <c r="E12" s="13">
        <f t="shared" si="2"/>
        <v>254.93</v>
      </c>
      <c r="F12" s="13">
        <f t="shared" si="2"/>
        <v>312.41000000000003</v>
      </c>
      <c r="G12" s="13">
        <f t="shared" si="2"/>
        <v>304.55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79486.399999999994</v>
      </c>
      <c r="D13" s="13">
        <f>Income_Statement!D17</f>
        <v>87686.82</v>
      </c>
      <c r="E13" s="13">
        <f>Income_Statement!E17</f>
        <v>77727</v>
      </c>
      <c r="F13" s="13">
        <f>Income_Statement!F17</f>
        <v>86276</v>
      </c>
      <c r="G13" s="13">
        <f>Income_Statement!G17</f>
        <v>125335</v>
      </c>
    </row>
    <row r="14" spans="2:15" ht="18.75" x14ac:dyDescent="0.25">
      <c r="B14" s="12" t="str">
        <f>Balance_Sheet!B33</f>
        <v>Total Current Liabilities</v>
      </c>
      <c r="C14" s="13">
        <f>Balance_Sheet!C33</f>
        <v>37827.229999999996</v>
      </c>
      <c r="D14" s="13">
        <f>Balance_Sheet!D33</f>
        <v>38409.67</v>
      </c>
      <c r="E14" s="13">
        <f>Balance_Sheet!E33</f>
        <v>39434</v>
      </c>
      <c r="F14" s="13">
        <f>Balance_Sheet!F33</f>
        <v>53649</v>
      </c>
      <c r="G14" s="13">
        <f>Balance_Sheet!G33</f>
        <v>75994</v>
      </c>
    </row>
    <row r="15" spans="2:15" ht="18.75" x14ac:dyDescent="0.25">
      <c r="B15" s="12" t="s">
        <v>194</v>
      </c>
      <c r="C15" s="13">
        <f>ROUND(365/C13*C14, 2)</f>
        <v>173.7</v>
      </c>
      <c r="D15" s="13">
        <f t="shared" ref="D15:G15" si="3">ROUND(365/D13*D14, 2)</f>
        <v>159.88</v>
      </c>
      <c r="E15" s="13">
        <f t="shared" si="3"/>
        <v>185.18</v>
      </c>
      <c r="F15" s="13">
        <f t="shared" si="3"/>
        <v>226.97</v>
      </c>
      <c r="G15" s="13">
        <f t="shared" si="3"/>
        <v>221.31</v>
      </c>
    </row>
    <row r="16" spans="2:15" ht="18.75" x14ac:dyDescent="0.25">
      <c r="B16" s="14" t="s">
        <v>201</v>
      </c>
      <c r="C16" s="16">
        <f>ROUND(C15-C12, 2)</f>
        <v>-68.540000000000006</v>
      </c>
      <c r="D16" s="16">
        <f t="shared" ref="D16:G16" si="4">ROUND(D15-D12, 2)</f>
        <v>-62.44</v>
      </c>
      <c r="E16" s="16">
        <f t="shared" si="4"/>
        <v>-69.75</v>
      </c>
      <c r="F16" s="16">
        <f t="shared" si="4"/>
        <v>-85.44</v>
      </c>
      <c r="G16" s="16">
        <f t="shared" si="4"/>
        <v>-83.24</v>
      </c>
    </row>
  </sheetData>
  <mergeCells count="1">
    <mergeCell ref="B5:G5"/>
  </mergeCells>
  <hyperlinks>
    <hyperlink ref="F1" location="Index_Data!A1" tooltip="Hi click here To return Index page" display="Index_Data!A1" xr:uid="{A9B5DEE4-47F6-4E03-AFB0-3CCF6D4B7606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B3DFF-0FB0-42A6-BC25-09EE0EAF1E1D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54847.83</v>
      </c>
      <c r="D5" s="13">
        <f>Balance_Sheet!D13</f>
        <v>59843.988687078891</v>
      </c>
      <c r="E5" s="13">
        <f>Balance_Sheet!E13</f>
        <v>62570.608811716083</v>
      </c>
      <c r="F5" s="13">
        <f>Balance_Sheet!F13</f>
        <v>65586.618139319529</v>
      </c>
      <c r="G5" s="13">
        <f>Balance_Sheet!G13</f>
        <v>72297.62396319845</v>
      </c>
    </row>
    <row r="6" spans="2:15" ht="18.75" x14ac:dyDescent="0.25">
      <c r="B6" s="12" t="str">
        <f>Balance_Sheet!B37</f>
        <v>Total Liabilities</v>
      </c>
      <c r="C6" s="13">
        <f>Balance_Sheet!C37</f>
        <v>147823.33000000002</v>
      </c>
      <c r="D6" s="13">
        <f>Balance_Sheet!D37</f>
        <v>154973.9486870789</v>
      </c>
      <c r="E6" s="13">
        <f>Balance_Sheet!E37</f>
        <v>173781.60881171608</v>
      </c>
      <c r="F6" s="13">
        <f>Balance_Sheet!F37</f>
        <v>188752.61813931953</v>
      </c>
      <c r="G6" s="13">
        <f>Balance_Sheet!G37</f>
        <v>217168.62396319845</v>
      </c>
    </row>
  </sheetData>
  <hyperlinks>
    <hyperlink ref="F1" location="Index_Data!A1" tooltip="Hi click here To return Index page" display="Index_Data!A1" xr:uid="{3CE531AF-455A-4DFB-A85F-F3B9AD6B8F7C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EA2B-FDB2-4E73-9D35-25478493AB8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12315.37405978945</v>
      </c>
      <c r="D5" s="13">
        <f>Income_Statement!D29</f>
        <v>16462.638687078885</v>
      </c>
      <c r="E5" s="13">
        <f>Income_Statement!E29</f>
        <v>14779.010124637192</v>
      </c>
      <c r="F5" s="13">
        <f>Income_Statement!F29</f>
        <v>16819.009327603446</v>
      </c>
      <c r="G5" s="13">
        <f>Income_Statement!G29</f>
        <v>21999.005823878921</v>
      </c>
    </row>
    <row r="6" spans="2:15" ht="18.75" x14ac:dyDescent="0.25">
      <c r="B6" s="12" t="str">
        <f>Income_Statement!B33</f>
        <v>PBIT</v>
      </c>
      <c r="C6" s="13">
        <f>Income_Statement!C33</f>
        <v>7809.1340597894505</v>
      </c>
      <c r="D6" s="13">
        <f>Income_Statement!D33</f>
        <v>11685.658687078885</v>
      </c>
      <c r="E6" s="13">
        <f>Income_Statement!E33</f>
        <v>9688.0101246371923</v>
      </c>
      <c r="F6" s="13">
        <f>Income_Statement!F33</f>
        <v>10191.009327603446</v>
      </c>
      <c r="G6" s="13">
        <f>Income_Statement!G33</f>
        <v>15270.005823878921</v>
      </c>
    </row>
  </sheetData>
  <hyperlinks>
    <hyperlink ref="F1" location="Index_Data!A1" tooltip="Hi click here To return Index page" display="Index_Data!A1" xr:uid="{CFCB2E6B-138D-4EF8-B94C-F69BFA44A459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83B86-53F9-4716-8307-54AE874EDE2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49894.59</v>
      </c>
      <c r="D5" s="13">
        <f>Balance_Sheet!D72</f>
        <v>79479.678687078878</v>
      </c>
      <c r="E5" s="13">
        <f>Balance_Sheet!E72</f>
        <v>97531.588811716065</v>
      </c>
      <c r="F5" s="13">
        <f>Balance_Sheet!F72</f>
        <v>101150.59813931951</v>
      </c>
      <c r="G5" s="13">
        <f>Balance_Sheet!G72</f>
        <v>138420.60396319843</v>
      </c>
    </row>
    <row r="6" spans="2:15" ht="18.75" x14ac:dyDescent="0.25">
      <c r="B6" s="12" t="str">
        <f>Balance_Sheet!B33</f>
        <v>Total Current Liabilities</v>
      </c>
      <c r="C6" s="13">
        <f>Balance_Sheet!C33</f>
        <v>37827.229999999996</v>
      </c>
      <c r="D6" s="13">
        <f>Balance_Sheet!D33</f>
        <v>38409.67</v>
      </c>
      <c r="E6" s="13">
        <f>Balance_Sheet!E33</f>
        <v>39434</v>
      </c>
      <c r="F6" s="13">
        <f>Balance_Sheet!F33</f>
        <v>53649</v>
      </c>
      <c r="G6" s="13">
        <f>Balance_Sheet!G33</f>
        <v>75994</v>
      </c>
    </row>
  </sheetData>
  <hyperlinks>
    <hyperlink ref="F1" location="Index_Data!A1" tooltip="Hi click here To return Index page" display="Index_Data!A1" xr:uid="{AD3D5D82-13B6-496E-AA9A-346A066012DC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9F17-039E-4DD8-BB9B-80514467CC2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7081.05</v>
      </c>
      <c r="D5" s="13">
        <f>Balance_Sheet!D23</f>
        <v>7440.11</v>
      </c>
      <c r="E5" s="13">
        <f>Balance_Sheet!E23</f>
        <v>8337</v>
      </c>
      <c r="F5" s="13">
        <f>Balance_Sheet!F23</f>
        <v>8146</v>
      </c>
      <c r="G5" s="13">
        <f>Balance_Sheet!G23</f>
        <v>6848</v>
      </c>
    </row>
    <row r="6" spans="2:15" ht="18.75" x14ac:dyDescent="0.25">
      <c r="B6" s="12" t="str">
        <f>Balance_Sheet!B25</f>
        <v>Short Term Provisions</v>
      </c>
      <c r="C6" s="13">
        <f>Balance_Sheet!C25</f>
        <v>1872.44</v>
      </c>
      <c r="D6" s="13">
        <f>Balance_Sheet!D25</f>
        <v>1978.08</v>
      </c>
      <c r="E6" s="13">
        <f>Balance_Sheet!E25</f>
        <v>2211</v>
      </c>
      <c r="F6" s="13">
        <f>Balance_Sheet!F25</f>
        <v>2610</v>
      </c>
      <c r="G6" s="13">
        <f>Balance_Sheet!G25</f>
        <v>2841</v>
      </c>
    </row>
  </sheetData>
  <hyperlinks>
    <hyperlink ref="F1" location="Index_Data!A1" tooltip="Hi click here To return Index page" display="Index_Data!A1" xr:uid="{9C75BCFB-C2F7-452B-BDF5-3DFE4108C291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0EF60-EF12-43D4-84C0-BD463313266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3.140625" bestFit="1" customWidth="1"/>
    <col min="7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79486.399999999994</v>
      </c>
      <c r="D5" s="13">
        <f>Income_Statement!D17</f>
        <v>87686.82</v>
      </c>
      <c r="E5" s="13">
        <f>Income_Statement!E17</f>
        <v>77727</v>
      </c>
      <c r="F5" s="13">
        <f>Income_Statement!F17</f>
        <v>86276</v>
      </c>
      <c r="G5" s="13">
        <f>Income_Statement!G17</f>
        <v>125335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CBCA28B3-1874-4BD3-9E92-D8C089EAE75C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84817-C7DF-412C-8532-F0E7BE3B3EAF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5" width="18.85546875" bestFit="1" customWidth="1"/>
    <col min="6" max="6" width="17.140625" bestFit="1" customWidth="1"/>
    <col min="7" max="7" width="18.85546875" bestFit="1" customWidth="1"/>
    <col min="8" max="12" width="17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115195.63</v>
      </c>
      <c r="D5" s="5">
        <v>129745.57</v>
      </c>
      <c r="E5" s="5">
        <v>117140</v>
      </c>
      <c r="F5" s="5">
        <v>131009</v>
      </c>
      <c r="G5" s="5">
        <v>195059</v>
      </c>
      <c r="H5" s="28">
        <f>GROWTH(C5:G5,C4:G4,H4)</f>
        <v>185626.83034011518</v>
      </c>
      <c r="I5" s="28">
        <f t="shared" ref="I5:L5" si="0">GROWTH(D5:H5,D4:H4,I4)</f>
        <v>214460.97935705201</v>
      </c>
      <c r="J5" s="28">
        <f t="shared" si="0"/>
        <v>261950.96340989199</v>
      </c>
      <c r="K5" s="28">
        <f t="shared" si="0"/>
        <v>300636.17709403549</v>
      </c>
      <c r="L5" s="28">
        <f t="shared" si="0"/>
        <v>327251.90019334311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636.9</v>
      </c>
      <c r="D7" s="4">
        <v>0</v>
      </c>
      <c r="E7" s="4">
        <v>0</v>
      </c>
      <c r="F7" s="4">
        <v>0</v>
      </c>
      <c r="G7" s="4">
        <v>0</v>
      </c>
      <c r="H7" s="24">
        <f>H5*H8</f>
        <v>0</v>
      </c>
      <c r="I7" s="24">
        <f t="shared" ref="I7:L7" si="1">I5*I8</f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</row>
    <row r="8" spans="2:15" x14ac:dyDescent="0.25">
      <c r="B8" s="17" t="s">
        <v>239</v>
      </c>
      <c r="C8" s="18">
        <f>C7/Income_Statement!C5</f>
        <v>5.5288555650939188E-3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114558.73000000001</v>
      </c>
      <c r="D9" s="7">
        <f t="shared" ref="D9:L9" si="3">D5 - D7</f>
        <v>129745.57</v>
      </c>
      <c r="E9" s="7">
        <f t="shared" si="3"/>
        <v>117140</v>
      </c>
      <c r="F9" s="7">
        <f t="shared" si="3"/>
        <v>131009</v>
      </c>
      <c r="G9" s="7">
        <f t="shared" si="3"/>
        <v>195059</v>
      </c>
      <c r="H9" s="29">
        <f t="shared" si="3"/>
        <v>185626.83034011518</v>
      </c>
      <c r="I9" s="29">
        <f t="shared" si="3"/>
        <v>214460.97935705201</v>
      </c>
      <c r="J9" s="29">
        <f t="shared" si="3"/>
        <v>261950.96340989199</v>
      </c>
      <c r="K9" s="29">
        <f t="shared" si="3"/>
        <v>300636.17709403549</v>
      </c>
      <c r="L9" s="29">
        <f t="shared" si="3"/>
        <v>327251.90019334311</v>
      </c>
    </row>
    <row r="10" spans="2:15" x14ac:dyDescent="0.25">
      <c r="B10" s="19" t="s">
        <v>240</v>
      </c>
      <c r="C10" s="21">
        <f>C9/Income_Statement!C5</f>
        <v>0.99447114443490614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30">
        <f>H9/Income_Statement!H5</f>
        <v>1</v>
      </c>
      <c r="I10" s="30">
        <f>I9/Income_Statement!I5</f>
        <v>1</v>
      </c>
      <c r="J10" s="30">
        <f>J9/Income_Statement!J5</f>
        <v>1</v>
      </c>
      <c r="K10" s="30">
        <f>K9/Income_Statement!K5</f>
        <v>1</v>
      </c>
      <c r="L10" s="30">
        <f>L9/Income_Statement!L5</f>
        <v>1</v>
      </c>
    </row>
    <row r="11" spans="2:15" ht="18.75" x14ac:dyDescent="0.25">
      <c r="B11" s="8" t="s">
        <v>59</v>
      </c>
      <c r="C11" s="5">
        <v>1104.57</v>
      </c>
      <c r="D11" s="5">
        <v>1127.1099999999999</v>
      </c>
      <c r="E11" s="5">
        <v>1186</v>
      </c>
      <c r="F11" s="5">
        <v>1222</v>
      </c>
      <c r="G11" s="5">
        <v>1136</v>
      </c>
      <c r="H11" s="28">
        <f>H5*H12</f>
        <v>1731.4534625531128</v>
      </c>
      <c r="I11" s="28">
        <f t="shared" ref="I11:L11" si="4">I5*I12</f>
        <v>2000.4069703174405</v>
      </c>
      <c r="J11" s="28">
        <f t="shared" si="4"/>
        <v>2443.3747092710273</v>
      </c>
      <c r="K11" s="28">
        <f t="shared" si="4"/>
        <v>2804.2150417827124</v>
      </c>
      <c r="L11" s="28">
        <f t="shared" si="4"/>
        <v>3052.475952310645</v>
      </c>
    </row>
    <row r="12" spans="2:15" x14ac:dyDescent="0.25">
      <c r="B12" s="17" t="s">
        <v>241</v>
      </c>
      <c r="C12" s="18">
        <f>C11/Income_Statement!C5</f>
        <v>9.5886449859252463E-3</v>
      </c>
      <c r="D12" s="18">
        <f>D11/Income_Statement!D5</f>
        <v>8.687078872904869E-3</v>
      </c>
      <c r="E12" s="18">
        <f>E11/Income_Statement!E5</f>
        <v>1.0124637186272836E-2</v>
      </c>
      <c r="F12" s="18">
        <f>F11/Income_Statement!F5</f>
        <v>9.3276034470914215E-3</v>
      </c>
      <c r="G12" s="18">
        <f>G11/Income_Statement!G5</f>
        <v>5.823878928939449E-3</v>
      </c>
      <c r="H12" s="25">
        <f>MEDIAN(C12:G12)</f>
        <v>9.3276034470914215E-3</v>
      </c>
      <c r="I12" s="25">
        <f t="shared" ref="I12:L12" si="5">H12</f>
        <v>9.3276034470914215E-3</v>
      </c>
      <c r="J12" s="25">
        <f t="shared" si="5"/>
        <v>9.3276034470914215E-3</v>
      </c>
      <c r="K12" s="25">
        <f t="shared" si="5"/>
        <v>9.3276034470914215E-3</v>
      </c>
      <c r="L12" s="25">
        <f t="shared" si="5"/>
        <v>9.3276034470914215E-3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4">
        <f>H5*H14</f>
        <v>0</v>
      </c>
      <c r="I13" s="24">
        <f t="shared" ref="I13:L13" si="6">I5*I14</f>
        <v>0</v>
      </c>
      <c r="J13" s="24">
        <f t="shared" si="6"/>
        <v>0</v>
      </c>
      <c r="K13" s="24">
        <f t="shared" si="6"/>
        <v>0</v>
      </c>
      <c r="L13" s="24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115664.30405978944</v>
      </c>
      <c r="D15" s="7">
        <f t="shared" ref="D15:L15" si="8">SUM(D9:D13)</f>
        <v>130873.68868707889</v>
      </c>
      <c r="E15" s="7">
        <f t="shared" si="8"/>
        <v>118327.01012463719</v>
      </c>
      <c r="F15" s="7">
        <f t="shared" si="8"/>
        <v>132232.00932760345</v>
      </c>
      <c r="G15" s="7">
        <f t="shared" si="8"/>
        <v>196196.00582387892</v>
      </c>
      <c r="H15" s="29">
        <f t="shared" si="8"/>
        <v>187359.29313027175</v>
      </c>
      <c r="I15" s="29">
        <f t="shared" si="8"/>
        <v>216462.3956549729</v>
      </c>
      <c r="J15" s="29">
        <f t="shared" si="8"/>
        <v>264395.34744676645</v>
      </c>
      <c r="K15" s="29">
        <f t="shared" si="8"/>
        <v>303441.40146342164</v>
      </c>
      <c r="L15" s="29">
        <f t="shared" si="8"/>
        <v>330305.38547325722</v>
      </c>
    </row>
    <row r="16" spans="2:15" x14ac:dyDescent="0.25">
      <c r="B16" s="19" t="s">
        <v>243</v>
      </c>
      <c r="C16" s="21">
        <f>C15/Income_Statement!C5</f>
        <v>1.0040685055482526</v>
      </c>
      <c r="D16" s="21">
        <f>D15/Income_Statement!D5</f>
        <v>1.0086948532198738</v>
      </c>
      <c r="E16" s="21">
        <f>E15/Income_Statement!E5</f>
        <v>1.010133260411791</v>
      </c>
      <c r="F16" s="21">
        <f>F15/Income_Statement!F5</f>
        <v>1.0093353077086571</v>
      </c>
      <c r="G16" s="21">
        <f>G15/Income_Statement!G5</f>
        <v>1.0058290354399382</v>
      </c>
      <c r="H16" s="30">
        <f>H15/Income_Statement!H5</f>
        <v>1.0093330408485792</v>
      </c>
      <c r="I16" s="30">
        <f>I15/Income_Statement!I5</f>
        <v>1.0093323097932365</v>
      </c>
      <c r="J16" s="30">
        <f>J15/Income_Statement!J5</f>
        <v>1.0093314565636835</v>
      </c>
      <c r="K16" s="30">
        <f>K15/Income_Statement!K5</f>
        <v>1.0093309607529659</v>
      </c>
      <c r="L16" s="30">
        <f>L15/Income_Statement!L5</f>
        <v>1.0093306876999342</v>
      </c>
    </row>
    <row r="17" spans="2:12" ht="18.75" x14ac:dyDescent="0.25">
      <c r="B17" s="8" t="s">
        <v>62</v>
      </c>
      <c r="C17" s="5">
        <v>79486.399999999994</v>
      </c>
      <c r="D17" s="5">
        <v>87686.82</v>
      </c>
      <c r="E17" s="5">
        <v>77727</v>
      </c>
      <c r="F17" s="5">
        <v>86276</v>
      </c>
      <c r="G17" s="5">
        <v>125335</v>
      </c>
      <c r="H17" s="28">
        <f>H5*H18</f>
        <v>119274.36714367619</v>
      </c>
      <c r="I17" s="28">
        <f t="shared" ref="I17:L17" si="9">I5*I18</f>
        <v>137801.72587635595</v>
      </c>
      <c r="J17" s="28">
        <f t="shared" si="9"/>
        <v>168316.37606559458</v>
      </c>
      <c r="K17" s="28">
        <f t="shared" si="9"/>
        <v>193173.52829698162</v>
      </c>
      <c r="L17" s="28">
        <f t="shared" si="9"/>
        <v>210275.43928110294</v>
      </c>
    </row>
    <row r="18" spans="2:12" x14ac:dyDescent="0.25">
      <c r="B18" s="17" t="s">
        <v>244</v>
      </c>
      <c r="C18" s="18">
        <f>C17/Income_Statement!C5</f>
        <v>0.69001228605633735</v>
      </c>
      <c r="D18" s="18">
        <f>D17/Income_Statement!D5</f>
        <v>0.67583671642893084</v>
      </c>
      <c r="E18" s="18">
        <f>E17/Income_Statement!E5</f>
        <v>0.6635393546184053</v>
      </c>
      <c r="F18" s="18">
        <f>F17/Income_Statement!F5</f>
        <v>0.65855017594211085</v>
      </c>
      <c r="G18" s="18">
        <f>G17/Income_Statement!G5</f>
        <v>0.64254917742836781</v>
      </c>
      <c r="H18" s="25">
        <f>G18</f>
        <v>0.64254917742836781</v>
      </c>
      <c r="I18" s="25">
        <f t="shared" ref="I18:L18" si="10">H18</f>
        <v>0.64254917742836781</v>
      </c>
      <c r="J18" s="25">
        <f t="shared" si="10"/>
        <v>0.64254917742836781</v>
      </c>
      <c r="K18" s="25">
        <f t="shared" si="10"/>
        <v>0.64254917742836781</v>
      </c>
      <c r="L18" s="25">
        <f t="shared" si="10"/>
        <v>0.64254917742836781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4">
        <f>H5*H20</f>
        <v>0</v>
      </c>
      <c r="I19" s="24">
        <f t="shared" ref="I19:L19" si="11">I5*I20</f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8644.7800000000007</v>
      </c>
      <c r="D21" s="5">
        <v>9043.09</v>
      </c>
      <c r="E21" s="5">
        <v>8832</v>
      </c>
      <c r="F21" s="5">
        <v>10782</v>
      </c>
      <c r="G21" s="5">
        <v>11936</v>
      </c>
      <c r="H21" s="28">
        <f>H5*H22</f>
        <v>11358.829107806432</v>
      </c>
      <c r="I21" s="28">
        <f t="shared" ref="I21:L21" si="13">I5*I22</f>
        <v>13123.240914829734</v>
      </c>
      <c r="J21" s="28">
        <f t="shared" si="13"/>
        <v>16029.235765898886</v>
      </c>
      <c r="K21" s="28">
        <f t="shared" si="13"/>
        <v>18396.451380322917</v>
      </c>
      <c r="L21" s="28">
        <f t="shared" si="13"/>
        <v>20025.113840980131</v>
      </c>
    </row>
    <row r="22" spans="2:12" x14ac:dyDescent="0.25">
      <c r="B22" s="17" t="s">
        <v>246</v>
      </c>
      <c r="C22" s="18">
        <f>C21/Income_Statement!C5</f>
        <v>7.50443397896257E-2</v>
      </c>
      <c r="D22" s="18">
        <f>D21/Income_Statement!D5</f>
        <v>6.9698641733972111E-2</v>
      </c>
      <c r="E22" s="18">
        <f>E21/Income_Statement!E5</f>
        <v>7.5396960901485399E-2</v>
      </c>
      <c r="F22" s="18">
        <f>F21/Income_Statement!F5</f>
        <v>8.2299689334320539E-2</v>
      </c>
      <c r="G22" s="18">
        <f>G21/Income_Statement!G5</f>
        <v>6.1191741985758157E-2</v>
      </c>
      <c r="H22" s="25">
        <f>G22</f>
        <v>6.1191741985758157E-2</v>
      </c>
      <c r="I22" s="25">
        <f t="shared" ref="I22:L22" si="14">H22</f>
        <v>6.1191741985758157E-2</v>
      </c>
      <c r="J22" s="25">
        <f t="shared" si="14"/>
        <v>6.1191741985758157E-2</v>
      </c>
      <c r="K22" s="25">
        <f t="shared" si="14"/>
        <v>6.1191741985758157E-2</v>
      </c>
      <c r="L22" s="25">
        <f t="shared" si="14"/>
        <v>6.1191741985758157E-2</v>
      </c>
    </row>
    <row r="23" spans="2:12" ht="18.75" x14ac:dyDescent="0.25">
      <c r="B23" s="8" t="s">
        <v>69</v>
      </c>
      <c r="C23" s="5">
        <v>15217.75</v>
      </c>
      <c r="D23" s="5">
        <v>17681.14</v>
      </c>
      <c r="E23" s="5">
        <v>16989</v>
      </c>
      <c r="F23" s="5">
        <v>18355</v>
      </c>
      <c r="G23" s="5">
        <v>36926</v>
      </c>
      <c r="H23" s="28">
        <f>H5*H24</f>
        <v>27577.550047828521</v>
      </c>
      <c r="I23" s="28">
        <f t="shared" ref="I23:L23" si="15">I5*I24</f>
        <v>31861.279862878207</v>
      </c>
      <c r="J23" s="28">
        <f t="shared" si="15"/>
        <v>38916.603759688544</v>
      </c>
      <c r="K23" s="28">
        <f t="shared" si="15"/>
        <v>44663.851690015654</v>
      </c>
      <c r="L23" s="28">
        <f t="shared" si="15"/>
        <v>48618.002253732302</v>
      </c>
    </row>
    <row r="24" spans="2:12" x14ac:dyDescent="0.25">
      <c r="B24" s="17" t="s">
        <v>247</v>
      </c>
      <c r="C24" s="18">
        <f>C23/Income_Statement!C5</f>
        <v>0.13210353552474169</v>
      </c>
      <c r="D24" s="18">
        <f>D23/Income_Statement!D5</f>
        <v>0.13627548131315773</v>
      </c>
      <c r="E24" s="18">
        <f>E23/Income_Statement!E5</f>
        <v>0.14503158613624723</v>
      </c>
      <c r="F24" s="18">
        <f>F23/Income_Statement!F5</f>
        <v>0.14010487829080445</v>
      </c>
      <c r="G24" s="18">
        <f>G23/Income_Statement!G5</f>
        <v>0.18930682511445254</v>
      </c>
      <c r="H24" s="25">
        <f>AVERAGE(C24:G24)</f>
        <v>0.14856446127588072</v>
      </c>
      <c r="I24" s="25">
        <f t="shared" ref="I24:L24" si="16">H24</f>
        <v>0.14856446127588072</v>
      </c>
      <c r="J24" s="25">
        <f t="shared" si="16"/>
        <v>0.14856446127588072</v>
      </c>
      <c r="K24" s="25">
        <f t="shared" si="16"/>
        <v>0.14856446127588072</v>
      </c>
      <c r="L24" s="25">
        <f t="shared" si="16"/>
        <v>0.14856446127588072</v>
      </c>
    </row>
    <row r="25" spans="2:12" ht="18.75" x14ac:dyDescent="0.25">
      <c r="B25" s="9" t="s">
        <v>108</v>
      </c>
      <c r="C25" s="7">
        <f>C17+C19+C21+C23</f>
        <v>103348.93</v>
      </c>
      <c r="D25" s="7">
        <f t="shared" ref="D25:L25" si="17">D17+D19+D21+D23</f>
        <v>114411.05</v>
      </c>
      <c r="E25" s="7">
        <f t="shared" si="17"/>
        <v>103548</v>
      </c>
      <c r="F25" s="7">
        <f t="shared" si="17"/>
        <v>115413</v>
      </c>
      <c r="G25" s="7">
        <f t="shared" si="17"/>
        <v>174197</v>
      </c>
      <c r="H25" s="29">
        <f t="shared" si="17"/>
        <v>158210.74629931114</v>
      </c>
      <c r="I25" s="29">
        <f t="shared" si="17"/>
        <v>182786.2466540639</v>
      </c>
      <c r="J25" s="29">
        <f t="shared" si="17"/>
        <v>223262.215591182</v>
      </c>
      <c r="K25" s="29">
        <f t="shared" si="17"/>
        <v>256233.83136732021</v>
      </c>
      <c r="L25" s="29">
        <f t="shared" si="17"/>
        <v>278918.55537581537</v>
      </c>
    </row>
    <row r="26" spans="2:12" x14ac:dyDescent="0.25">
      <c r="B26" s="19" t="s">
        <v>248</v>
      </c>
      <c r="C26" s="21">
        <f>C25/Income_Statement!C5</f>
        <v>0.89716016137070465</v>
      </c>
      <c r="D26" s="21">
        <f>D25/Income_Statement!D5</f>
        <v>0.88181083947606065</v>
      </c>
      <c r="E26" s="21">
        <f>E25/Income_Statement!E5</f>
        <v>0.88396790165613792</v>
      </c>
      <c r="F26" s="21">
        <f>F25/Income_Statement!F5</f>
        <v>0.8809547435672358</v>
      </c>
      <c r="G26" s="21">
        <f>G25/Income_Statement!G5</f>
        <v>0.89304774452857849</v>
      </c>
      <c r="H26" s="30">
        <f>H25/Income_Statement!H5</f>
        <v>0.85230538069000661</v>
      </c>
      <c r="I26" s="30">
        <f>I25/Income_Statement!I5</f>
        <v>0.85230538069000672</v>
      </c>
      <c r="J26" s="30">
        <f>J25/Income_Statement!J5</f>
        <v>0.85230538069000672</v>
      </c>
      <c r="K26" s="30">
        <f>K25/Income_Statement!K5</f>
        <v>0.85230538069000672</v>
      </c>
      <c r="L26" s="30">
        <f>L25/Income_Statement!L5</f>
        <v>0.85230538069000672</v>
      </c>
    </row>
    <row r="27" spans="2:12" ht="18.75" x14ac:dyDescent="0.25">
      <c r="B27" s="9" t="s">
        <v>109</v>
      </c>
      <c r="C27" s="7">
        <f xml:space="preserve"> C15-C25-C11</f>
        <v>11210.804059789451</v>
      </c>
      <c r="D27" s="7">
        <f t="shared" ref="D27:L27" si="18" xml:space="preserve"> D15-D25-D11</f>
        <v>15335.528687078884</v>
      </c>
      <c r="E27" s="7">
        <f t="shared" si="18"/>
        <v>13593.010124637192</v>
      </c>
      <c r="F27" s="7">
        <f t="shared" si="18"/>
        <v>15597.009327603446</v>
      </c>
      <c r="G27" s="7">
        <f t="shared" si="18"/>
        <v>20863.005823878921</v>
      </c>
      <c r="H27" s="29">
        <f t="shared" si="18"/>
        <v>27417.093368407495</v>
      </c>
      <c r="I27" s="29">
        <f t="shared" si="18"/>
        <v>31675.742030591566</v>
      </c>
      <c r="J27" s="29">
        <f t="shared" si="18"/>
        <v>38689.757146313423</v>
      </c>
      <c r="K27" s="29">
        <f t="shared" si="18"/>
        <v>44403.355054318723</v>
      </c>
      <c r="L27" s="29">
        <f t="shared" si="18"/>
        <v>48334.354145131205</v>
      </c>
    </row>
    <row r="28" spans="2:12" x14ac:dyDescent="0.25">
      <c r="B28" s="19" t="s">
        <v>249</v>
      </c>
      <c r="C28" s="21">
        <f>C27/Income_Statement!C5</f>
        <v>9.7319699191622547E-2</v>
      </c>
      <c r="D28" s="21">
        <f>D27/Income_Statement!D5</f>
        <v>0.11819693487090838</v>
      </c>
      <c r="E28" s="21">
        <f>E27/Income_Statement!E5</f>
        <v>0.11604072156938017</v>
      </c>
      <c r="F28" s="21">
        <f>F27/Income_Statement!F5</f>
        <v>0.11905296069432975</v>
      </c>
      <c r="G28" s="21">
        <f>G27/Income_Statement!G5</f>
        <v>0.1069574119824203</v>
      </c>
      <c r="H28" s="30">
        <f>H27/Income_Statement!H5</f>
        <v>0.14770005671148112</v>
      </c>
      <c r="I28" s="30">
        <f>I27/Income_Statement!I5</f>
        <v>0.14769932565613825</v>
      </c>
      <c r="J28" s="30">
        <f>J27/Income_Statement!J5</f>
        <v>0.14769847242658543</v>
      </c>
      <c r="K28" s="30">
        <f>K27/Income_Statement!K5</f>
        <v>0.14769797661586773</v>
      </c>
      <c r="L28" s="30">
        <f>L27/Income_Statement!L5</f>
        <v>0.14769770356283607</v>
      </c>
    </row>
    <row r="29" spans="2:12" ht="18.75" x14ac:dyDescent="0.25">
      <c r="B29" s="9" t="s">
        <v>110</v>
      </c>
      <c r="C29" s="7">
        <f xml:space="preserve"> C27+C11</f>
        <v>12315.37405978945</v>
      </c>
      <c r="D29" s="7">
        <f t="shared" ref="D29:L29" si="19" xml:space="preserve"> D27+D11</f>
        <v>16462.638687078885</v>
      </c>
      <c r="E29" s="7">
        <f t="shared" si="19"/>
        <v>14779.010124637192</v>
      </c>
      <c r="F29" s="7">
        <f t="shared" si="19"/>
        <v>16819.009327603446</v>
      </c>
      <c r="G29" s="7">
        <f t="shared" si="19"/>
        <v>21999.005823878921</v>
      </c>
      <c r="H29" s="29">
        <f t="shared" si="19"/>
        <v>29148.546830960608</v>
      </c>
      <c r="I29" s="29">
        <f t="shared" si="19"/>
        <v>33676.149000909005</v>
      </c>
      <c r="J29" s="29">
        <f t="shared" si="19"/>
        <v>41133.131855584448</v>
      </c>
      <c r="K29" s="29">
        <f t="shared" si="19"/>
        <v>47207.570096101437</v>
      </c>
      <c r="L29" s="29">
        <f t="shared" si="19"/>
        <v>51386.830097441853</v>
      </c>
    </row>
    <row r="30" spans="2:12" x14ac:dyDescent="0.25">
      <c r="B30" s="19" t="s">
        <v>250</v>
      </c>
      <c r="C30" s="21">
        <f>C29/Income_Statement!C5</f>
        <v>0.1069083441775478</v>
      </c>
      <c r="D30" s="21">
        <f>D29/Income_Statement!D5</f>
        <v>0.12688401374381325</v>
      </c>
      <c r="E30" s="21">
        <f>E29/Income_Statement!E5</f>
        <v>0.12616535875565299</v>
      </c>
      <c r="F30" s="21">
        <f>F29/Income_Statement!F5</f>
        <v>0.12838056414142116</v>
      </c>
      <c r="G30" s="21">
        <f>G29/Income_Statement!G5</f>
        <v>0.11278129091135974</v>
      </c>
      <c r="H30" s="30">
        <f>H29/Income_Statement!H5</f>
        <v>0.15702766015857253</v>
      </c>
      <c r="I30" s="30">
        <f>I29/Income_Statement!I5</f>
        <v>0.15702692910322966</v>
      </c>
      <c r="J30" s="30">
        <f>J29/Income_Statement!J5</f>
        <v>0.15702607587367684</v>
      </c>
      <c r="K30" s="30">
        <f>K29/Income_Statement!K5</f>
        <v>0.15702558006295916</v>
      </c>
      <c r="L30" s="30">
        <f>L29/Income_Statement!L5</f>
        <v>0.15702530700992751</v>
      </c>
    </row>
    <row r="31" spans="2:12" ht="18.75" x14ac:dyDescent="0.25">
      <c r="B31" s="8" t="s">
        <v>68</v>
      </c>
      <c r="C31" s="5">
        <v>4506.24</v>
      </c>
      <c r="D31" s="5">
        <v>4776.9799999999996</v>
      </c>
      <c r="E31" s="5">
        <v>5091</v>
      </c>
      <c r="F31" s="5">
        <v>6628</v>
      </c>
      <c r="G31" s="5">
        <v>6729</v>
      </c>
      <c r="H31" s="28">
        <f>Balance_Sheet!H40*H62</f>
        <v>7237.9450588476329</v>
      </c>
      <c r="I31" s="28">
        <f>Balance_Sheet!I40*I62</f>
        <v>8117.0126911694388</v>
      </c>
      <c r="J31" s="28">
        <f>Balance_Sheet!J40*J62</f>
        <v>8989.7407222209567</v>
      </c>
      <c r="K31" s="28">
        <f>Balance_Sheet!K40*K62</f>
        <v>10000.121663783095</v>
      </c>
      <c r="L31" s="28">
        <f>Balance_Sheet!L40*L62</f>
        <v>11005.640482732715</v>
      </c>
    </row>
    <row r="32" spans="2:12" x14ac:dyDescent="0.25">
      <c r="B32" s="17" t="s">
        <v>251</v>
      </c>
      <c r="C32" s="18">
        <f>C31/Income_Statement!C5</f>
        <v>3.9118150575677219E-2</v>
      </c>
      <c r="D32" s="18">
        <f>D31/Income_Statement!D5</f>
        <v>3.6818058605006698E-2</v>
      </c>
      <c r="E32" s="18">
        <f>E31/Income_Statement!E5</f>
        <v>4.3460816117466279E-2</v>
      </c>
      <c r="F32" s="18">
        <f>F31/Income_Statement!F5</f>
        <v>5.0591944064911569E-2</v>
      </c>
      <c r="G32" s="18">
        <f>G31/Income_Statement!G5</f>
        <v>3.4497254676790101E-2</v>
      </c>
      <c r="H32" s="25">
        <f>H31/Income_Statement!H5</f>
        <v>3.8991912136763264E-2</v>
      </c>
      <c r="I32" s="25">
        <f>I31/Income_Statement!I5</f>
        <v>3.7848436184074206E-2</v>
      </c>
      <c r="J32" s="25">
        <f>J31/Income_Statement!J5</f>
        <v>3.4318410610897868E-2</v>
      </c>
      <c r="K32" s="25">
        <f>K31/Income_Statement!K5</f>
        <v>3.3263201256897211E-2</v>
      </c>
      <c r="L32" s="25">
        <f>L31/Income_Statement!L5</f>
        <v>3.3630486106361775E-2</v>
      </c>
    </row>
    <row r="33" spans="2:12" ht="18.75" x14ac:dyDescent="0.25">
      <c r="B33" s="9" t="s">
        <v>111</v>
      </c>
      <c r="C33" s="7">
        <f xml:space="preserve"> C29-C31</f>
        <v>7809.1340597894505</v>
      </c>
      <c r="D33" s="7">
        <f t="shared" ref="D33:L33" si="20" xml:space="preserve"> D29-D31</f>
        <v>11685.658687078885</v>
      </c>
      <c r="E33" s="7">
        <f t="shared" si="20"/>
        <v>9688.0101246371923</v>
      </c>
      <c r="F33" s="7">
        <f t="shared" si="20"/>
        <v>10191.009327603446</v>
      </c>
      <c r="G33" s="7">
        <f t="shared" si="20"/>
        <v>15270.005823878921</v>
      </c>
      <c r="H33" s="29">
        <f t="shared" si="20"/>
        <v>21910.601772112976</v>
      </c>
      <c r="I33" s="29">
        <f t="shared" si="20"/>
        <v>25559.136309739566</v>
      </c>
      <c r="J33" s="29">
        <f t="shared" si="20"/>
        <v>32143.39113336349</v>
      </c>
      <c r="K33" s="29">
        <f t="shared" si="20"/>
        <v>37207.448432318342</v>
      </c>
      <c r="L33" s="29">
        <f t="shared" si="20"/>
        <v>40381.189614709139</v>
      </c>
    </row>
    <row r="34" spans="2:12" x14ac:dyDescent="0.25">
      <c r="B34" s="19" t="s">
        <v>252</v>
      </c>
      <c r="C34" s="21">
        <f>C33/Income_Statement!C5</f>
        <v>6.779019360187058E-2</v>
      </c>
      <c r="D34" s="21">
        <f>D33/Income_Statement!D5</f>
        <v>9.0065955138806553E-2</v>
      </c>
      <c r="E34" s="21">
        <f>E33/Income_Statement!E5</f>
        <v>8.2704542638186718E-2</v>
      </c>
      <c r="F34" s="21">
        <f>F33/Income_Statement!F5</f>
        <v>7.7788620076509593E-2</v>
      </c>
      <c r="G34" s="21">
        <f>G33/Income_Statement!G5</f>
        <v>7.8284036234569643E-2</v>
      </c>
      <c r="H34" s="30">
        <f>H33/Income_Statement!H5</f>
        <v>0.11803574802180927</v>
      </c>
      <c r="I34" s="30">
        <f>I33/Income_Statement!I5</f>
        <v>0.11917849291915544</v>
      </c>
      <c r="J34" s="30">
        <f>J33/Income_Statement!J5</f>
        <v>0.12270766526277897</v>
      </c>
      <c r="K34" s="30">
        <f>K33/Income_Statement!K5</f>
        <v>0.12376237880606195</v>
      </c>
      <c r="L34" s="30">
        <f>L33/Income_Statement!L5</f>
        <v>0.12339482090356572</v>
      </c>
    </row>
    <row r="35" spans="2:12" ht="18.75" x14ac:dyDescent="0.25">
      <c r="B35" s="8" t="s">
        <v>67</v>
      </c>
      <c r="C35" s="5">
        <v>3910.73</v>
      </c>
      <c r="D35" s="5">
        <v>3778.04</v>
      </c>
      <c r="E35" s="5">
        <v>4197</v>
      </c>
      <c r="F35" s="5">
        <v>3738</v>
      </c>
      <c r="G35" s="5">
        <v>3768</v>
      </c>
      <c r="H35" s="28">
        <f>Balance_Sheet!H21*H63</f>
        <v>4052.9910434757353</v>
      </c>
      <c r="I35" s="28">
        <f>Balance_Sheet!I21*I63</f>
        <v>4545.2374071385011</v>
      </c>
      <c r="J35" s="28">
        <f>Balance_Sheet!J21*J63</f>
        <v>5033.9344117561641</v>
      </c>
      <c r="K35" s="28">
        <f>Balance_Sheet!K21*K63</f>
        <v>5599.7116545174695</v>
      </c>
      <c r="L35" s="28">
        <f>Balance_Sheet!L21*L63</f>
        <v>6162.7662811837481</v>
      </c>
    </row>
    <row r="36" spans="2:12" x14ac:dyDescent="0.25">
      <c r="B36" s="17" t="s">
        <v>253</v>
      </c>
      <c r="C36" s="18">
        <f>C35/Income_Statement!C5</f>
        <v>3.3948596834793121E-2</v>
      </c>
      <c r="D36" s="18">
        <f>D35/Income_Statement!D5</f>
        <v>2.9118836196102879E-2</v>
      </c>
      <c r="E36" s="18">
        <f>E35/Income_Statement!E5</f>
        <v>3.5828922656650164E-2</v>
      </c>
      <c r="F36" s="18">
        <f>F35/Income_Statement!F5</f>
        <v>2.8532390904441679E-2</v>
      </c>
      <c r="G36" s="18">
        <f>G35/Income_Statement!G5</f>
        <v>1.9317232222045639E-2</v>
      </c>
      <c r="H36" s="25">
        <f>H35/Income_Statement!H5</f>
        <v>2.1834079890550483E-2</v>
      </c>
      <c r="I36" s="25">
        <f>I35/Income_Statement!I5</f>
        <v>2.1193773434985679E-2</v>
      </c>
      <c r="J36" s="25">
        <f>J35/Income_Statement!J5</f>
        <v>1.9217086840330622E-2</v>
      </c>
      <c r="K36" s="25">
        <f>K35/Income_Statement!K5</f>
        <v>1.862620696100039E-2</v>
      </c>
      <c r="L36" s="25">
        <f>L35/Income_Statement!L5</f>
        <v>1.883187317642078E-2</v>
      </c>
    </row>
    <row r="37" spans="2:12" ht="18.75" x14ac:dyDescent="0.25">
      <c r="B37" s="9" t="s">
        <v>112</v>
      </c>
      <c r="C37" s="7">
        <f xml:space="preserve"> C33-C35</f>
        <v>3898.4040597894505</v>
      </c>
      <c r="D37" s="7">
        <f t="shared" ref="D37:L37" si="21" xml:space="preserve"> D33-D35</f>
        <v>7907.6186870788852</v>
      </c>
      <c r="E37" s="7">
        <f t="shared" si="21"/>
        <v>5491.0101246371923</v>
      </c>
      <c r="F37" s="7">
        <f t="shared" si="21"/>
        <v>6453.0093276034459</v>
      </c>
      <c r="G37" s="7">
        <f t="shared" si="21"/>
        <v>11502.005823878921</v>
      </c>
      <c r="H37" s="29">
        <f t="shared" si="21"/>
        <v>17857.610728637239</v>
      </c>
      <c r="I37" s="29">
        <f t="shared" si="21"/>
        <v>21013.898902601064</v>
      </c>
      <c r="J37" s="29">
        <f t="shared" si="21"/>
        <v>27109.456721607326</v>
      </c>
      <c r="K37" s="29">
        <f t="shared" si="21"/>
        <v>31607.736777800874</v>
      </c>
      <c r="L37" s="29">
        <f t="shared" si="21"/>
        <v>34218.423333525388</v>
      </c>
    </row>
    <row r="38" spans="2:12" x14ac:dyDescent="0.25">
      <c r="B38" s="19" t="s">
        <v>254</v>
      </c>
      <c r="C38" s="21">
        <f>C37/Income_Statement!C5</f>
        <v>3.3841596767077452E-2</v>
      </c>
      <c r="D38" s="21">
        <f>D37/Income_Statement!D5</f>
        <v>6.0947118942703667E-2</v>
      </c>
      <c r="E38" s="21">
        <f>E37/Income_Statement!E5</f>
        <v>4.6875619981536561E-2</v>
      </c>
      <c r="F38" s="21">
        <f>F37/Income_Statement!F5</f>
        <v>4.9256229172067921E-2</v>
      </c>
      <c r="G38" s="21">
        <f>G37/Income_Statement!G5</f>
        <v>5.8966804012524007E-2</v>
      </c>
      <c r="H38" s="30">
        <f>H37/Income_Statement!H5</f>
        <v>9.6201668131258786E-2</v>
      </c>
      <c r="I38" s="30">
        <f>I37/Income_Statement!I5</f>
        <v>9.7984719484169772E-2</v>
      </c>
      <c r="J38" s="30">
        <f>J37/Income_Statement!J5</f>
        <v>0.10349057842244835</v>
      </c>
      <c r="K38" s="30">
        <f>K37/Income_Statement!K5</f>
        <v>0.10513617184506155</v>
      </c>
      <c r="L38" s="30">
        <f>L37/Income_Statement!L5</f>
        <v>0.10456294772714494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4">
        <f>H5*H40</f>
        <v>0</v>
      </c>
      <c r="I39" s="24">
        <f t="shared" ref="I39:L39" si="22">I5*I40</f>
        <v>0</v>
      </c>
      <c r="J39" s="24">
        <f t="shared" si="22"/>
        <v>0</v>
      </c>
      <c r="K39" s="24">
        <f t="shared" si="22"/>
        <v>0</v>
      </c>
      <c r="L39" s="24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3898.4040597894505</v>
      </c>
      <c r="D41" s="7">
        <f t="shared" ref="D41:L41" si="24" xml:space="preserve"> D37+D39</f>
        <v>7907.6186870788852</v>
      </c>
      <c r="E41" s="7">
        <f t="shared" si="24"/>
        <v>5491.0101246371923</v>
      </c>
      <c r="F41" s="7">
        <f t="shared" si="24"/>
        <v>6453.0093276034459</v>
      </c>
      <c r="G41" s="7">
        <f t="shared" si="24"/>
        <v>11502.005823878921</v>
      </c>
      <c r="H41" s="29">
        <f t="shared" si="24"/>
        <v>17857.610728637239</v>
      </c>
      <c r="I41" s="29">
        <f t="shared" si="24"/>
        <v>21013.898902601064</v>
      </c>
      <c r="J41" s="29">
        <f t="shared" si="24"/>
        <v>27109.456721607326</v>
      </c>
      <c r="K41" s="29">
        <f t="shared" si="24"/>
        <v>31607.736777800874</v>
      </c>
      <c r="L41" s="29">
        <f t="shared" si="24"/>
        <v>34218.423333525388</v>
      </c>
    </row>
    <row r="42" spans="2:12" x14ac:dyDescent="0.25">
      <c r="B42" s="19" t="s">
        <v>256</v>
      </c>
      <c r="C42" s="21">
        <f>C41/Income_Statement!C5</f>
        <v>3.3841596767077452E-2</v>
      </c>
      <c r="D42" s="21">
        <f>D41/Income_Statement!D5</f>
        <v>6.0947118942703667E-2</v>
      </c>
      <c r="E42" s="21">
        <f>E41/Income_Statement!E5</f>
        <v>4.6875619981536561E-2</v>
      </c>
      <c r="F42" s="21">
        <f>F41/Income_Statement!F5</f>
        <v>4.9256229172067921E-2</v>
      </c>
      <c r="G42" s="21">
        <f>G41/Income_Statement!G5</f>
        <v>5.8966804012524007E-2</v>
      </c>
      <c r="H42" s="30">
        <f>H41/Income_Statement!H5</f>
        <v>9.6201668131258786E-2</v>
      </c>
      <c r="I42" s="30">
        <f>I41/Income_Statement!I5</f>
        <v>9.7984719484169772E-2</v>
      </c>
      <c r="J42" s="30">
        <f>J41/Income_Statement!J5</f>
        <v>0.10349057842244835</v>
      </c>
      <c r="K42" s="30">
        <f>K41/Income_Statement!K5</f>
        <v>0.10513617184506155</v>
      </c>
      <c r="L42" s="30">
        <f>L41/Income_Statement!L5</f>
        <v>0.10456294772714494</v>
      </c>
    </row>
    <row r="43" spans="2:12" ht="18.75" x14ac:dyDescent="0.25">
      <c r="B43" s="8" t="s">
        <v>72</v>
      </c>
      <c r="C43" s="4">
        <v>1774.16</v>
      </c>
      <c r="D43" s="4">
        <v>0</v>
      </c>
      <c r="E43" s="4">
        <v>-284</v>
      </c>
      <c r="F43" s="4">
        <v>-492</v>
      </c>
      <c r="G43" s="5">
        <v>582</v>
      </c>
      <c r="H43" s="28">
        <f>H5*H44</f>
        <v>553.85711634914071</v>
      </c>
      <c r="I43" s="28">
        <f t="shared" ref="I43:L43" si="25">I5*I44</f>
        <v>639.88993066612807</v>
      </c>
      <c r="J43" s="28">
        <f t="shared" si="25"/>
        <v>781.58639542167828</v>
      </c>
      <c r="K43" s="28">
        <f t="shared" si="25"/>
        <v>897.01195570944515</v>
      </c>
      <c r="L43" s="28">
        <f t="shared" si="25"/>
        <v>976.42562461883676</v>
      </c>
    </row>
    <row r="44" spans="2:12" x14ac:dyDescent="0.25">
      <c r="B44" s="17" t="s">
        <v>257</v>
      </c>
      <c r="C44" s="18">
        <f>C43/Income_Statement!C5</f>
        <v>1.5401278676977589E-2</v>
      </c>
      <c r="D44" s="18">
        <f>D43/Income_Statement!D5</f>
        <v>0</v>
      </c>
      <c r="E44" s="18">
        <f>E43/Income_Statement!E5</f>
        <v>-2.4244493768140686E-3</v>
      </c>
      <c r="F44" s="18">
        <f>F43/Income_Statement!F5</f>
        <v>-3.755467181644009E-3</v>
      </c>
      <c r="G44" s="18">
        <f>G43/Income_Statement!G5</f>
        <v>2.9837126202841191E-3</v>
      </c>
      <c r="H44" s="25">
        <f>G44</f>
        <v>2.9837126202841191E-3</v>
      </c>
      <c r="I44" s="25">
        <f t="shared" ref="I44:L44" si="26">H44</f>
        <v>2.9837126202841191E-3</v>
      </c>
      <c r="J44" s="25">
        <f t="shared" si="26"/>
        <v>2.9837126202841191E-3</v>
      </c>
      <c r="K44" s="25">
        <f t="shared" si="26"/>
        <v>2.9837126202841191E-3</v>
      </c>
      <c r="L44" s="25">
        <f t="shared" si="26"/>
        <v>2.9837126202841191E-3</v>
      </c>
    </row>
    <row r="45" spans="2:12" ht="18.75" x14ac:dyDescent="0.25">
      <c r="B45" s="9" t="s">
        <v>115</v>
      </c>
      <c r="C45" s="7">
        <f xml:space="preserve"> C41+C43</f>
        <v>5672.5640597894508</v>
      </c>
      <c r="D45" s="7">
        <f t="shared" ref="D45:L45" si="27" xml:space="preserve"> D41+D43</f>
        <v>7907.6186870788852</v>
      </c>
      <c r="E45" s="7">
        <f t="shared" si="27"/>
        <v>5207.0101246371923</v>
      </c>
      <c r="F45" s="7">
        <f t="shared" si="27"/>
        <v>5961.0093276034459</v>
      </c>
      <c r="G45" s="7">
        <f t="shared" si="27"/>
        <v>12084.005823878921</v>
      </c>
      <c r="H45" s="29">
        <f t="shared" si="27"/>
        <v>18411.467844986379</v>
      </c>
      <c r="I45" s="29">
        <f t="shared" si="27"/>
        <v>21653.788833267194</v>
      </c>
      <c r="J45" s="29">
        <f t="shared" si="27"/>
        <v>27891.043117029003</v>
      </c>
      <c r="K45" s="29">
        <f t="shared" si="27"/>
        <v>32504.748733510318</v>
      </c>
      <c r="L45" s="29">
        <f t="shared" si="27"/>
        <v>35194.848958144226</v>
      </c>
    </row>
    <row r="46" spans="2:12" x14ac:dyDescent="0.25">
      <c r="B46" s="19" t="s">
        <v>258</v>
      </c>
      <c r="C46" s="21">
        <f>C45/Income_Statement!C5</f>
        <v>4.9242875444055041E-2</v>
      </c>
      <c r="D46" s="21">
        <f>D45/Income_Statement!D5</f>
        <v>6.0947118942703667E-2</v>
      </c>
      <c r="E46" s="21">
        <f>E45/Income_Statement!E5</f>
        <v>4.4451170604722486E-2</v>
      </c>
      <c r="F46" s="21">
        <f>F45/Income_Statement!F5</f>
        <v>4.550076199042391E-2</v>
      </c>
      <c r="G46" s="21">
        <f>G45/Income_Statement!G5</f>
        <v>6.1950516632808129E-2</v>
      </c>
      <c r="H46" s="30">
        <f>H45/Income_Statement!H5</f>
        <v>9.9185380751542901E-2</v>
      </c>
      <c r="I46" s="30">
        <f>I45/Income_Statement!I5</f>
        <v>0.10096843210445389</v>
      </c>
      <c r="J46" s="30">
        <f>J45/Income_Statement!J5</f>
        <v>0.10647429104273247</v>
      </c>
      <c r="K46" s="30">
        <f>K45/Income_Statement!K5</f>
        <v>0.10811988446534566</v>
      </c>
      <c r="L46" s="30">
        <f>L45/Income_Statement!L5</f>
        <v>0.10754666034742906</v>
      </c>
    </row>
    <row r="47" spans="2:12" ht="18.75" x14ac:dyDescent="0.25">
      <c r="B47" s="8" t="s">
        <v>79</v>
      </c>
      <c r="C47" s="5">
        <v>2074.17</v>
      </c>
      <c r="D47" s="5">
        <v>2588.09</v>
      </c>
      <c r="E47" s="5">
        <v>2157</v>
      </c>
      <c r="F47" s="5">
        <v>2723</v>
      </c>
      <c r="G47" s="5">
        <v>5373</v>
      </c>
      <c r="H47" s="28">
        <f>H45*H64</f>
        <v>8186.4257741111642</v>
      </c>
      <c r="I47" s="28">
        <f t="shared" ref="I47:L47" si="28">I45*I64</f>
        <v>9628.0826984737469</v>
      </c>
      <c r="J47" s="28">
        <f t="shared" si="28"/>
        <v>12401.398745742477</v>
      </c>
      <c r="K47" s="28">
        <f t="shared" si="28"/>
        <v>14452.824459918174</v>
      </c>
      <c r="L47" s="28">
        <f t="shared" si="28"/>
        <v>15648.943422257298</v>
      </c>
    </row>
    <row r="48" spans="2:12" x14ac:dyDescent="0.25">
      <c r="B48" s="17" t="s">
        <v>259</v>
      </c>
      <c r="C48" s="18">
        <f>C47/Income_Statement!C5</f>
        <v>1.8005630942771005E-2</v>
      </c>
      <c r="D48" s="18">
        <f>D47/Income_Statement!D5</f>
        <v>1.9947424794542118E-2</v>
      </c>
      <c r="E48" s="18">
        <f>E47/Income_Statement!E5</f>
        <v>1.8413863752774456E-2</v>
      </c>
      <c r="F48" s="18">
        <f>F47/Income_Statement!F5</f>
        <v>2.0784831576456581E-2</v>
      </c>
      <c r="G48" s="18">
        <f>G47/Income_Statement!G5</f>
        <v>2.7545511870767307E-2</v>
      </c>
      <c r="H48" s="25">
        <f>H47/Income_Statement!H5</f>
        <v>4.4101522172799952E-2</v>
      </c>
      <c r="I48" s="25">
        <f>I47/Income_Statement!I5</f>
        <v>4.4894333353034513E-2</v>
      </c>
      <c r="J48" s="25">
        <f>J47/Income_Statement!J5</f>
        <v>4.7342443731872019E-2</v>
      </c>
      <c r="K48" s="25">
        <f>K47/Income_Statement!K5</f>
        <v>4.8074135985961199E-2</v>
      </c>
      <c r="L48" s="25">
        <f>L47/Income_Statement!L5</f>
        <v>4.7819259148722357E-2</v>
      </c>
    </row>
    <row r="49" spans="2:12" ht="18.75" x14ac:dyDescent="0.25">
      <c r="B49" s="9" t="s">
        <v>116</v>
      </c>
      <c r="C49" s="7">
        <f xml:space="preserve"> C45-C47</f>
        <v>3598.3940597894507</v>
      </c>
      <c r="D49" s="7">
        <f t="shared" ref="D49:L49" si="29" xml:space="preserve"> D45-D47</f>
        <v>5319.528687078885</v>
      </c>
      <c r="E49" s="7">
        <f t="shared" si="29"/>
        <v>3050.0101246371923</v>
      </c>
      <c r="F49" s="7">
        <f t="shared" si="29"/>
        <v>3238.0093276034459</v>
      </c>
      <c r="G49" s="7">
        <f t="shared" si="29"/>
        <v>6711.0058238789206</v>
      </c>
      <c r="H49" s="29">
        <f t="shared" si="29"/>
        <v>10225.042070875214</v>
      </c>
      <c r="I49" s="29">
        <f t="shared" si="29"/>
        <v>12025.706134793447</v>
      </c>
      <c r="J49" s="29">
        <f t="shared" si="29"/>
        <v>15489.644371286526</v>
      </c>
      <c r="K49" s="29">
        <f t="shared" si="29"/>
        <v>18051.924273592143</v>
      </c>
      <c r="L49" s="29">
        <f t="shared" si="29"/>
        <v>19545.90553588693</v>
      </c>
    </row>
    <row r="50" spans="2:12" x14ac:dyDescent="0.25">
      <c r="B50" s="19" t="s">
        <v>260</v>
      </c>
      <c r="C50" s="21">
        <f>C49/Income_Statement!C5</f>
        <v>3.1237244501284039E-2</v>
      </c>
      <c r="D50" s="21">
        <f>D49/Income_Statement!D5</f>
        <v>4.0999694148161549E-2</v>
      </c>
      <c r="E50" s="21">
        <f>E49/Income_Statement!E5</f>
        <v>2.6037306851948033E-2</v>
      </c>
      <c r="F50" s="21">
        <f>F49/Income_Statement!F5</f>
        <v>2.471593041396733E-2</v>
      </c>
      <c r="G50" s="21">
        <f>G49/Income_Statement!G5</f>
        <v>3.4405004762040822E-2</v>
      </c>
      <c r="H50" s="30">
        <f>H49/Income_Statement!H5</f>
        <v>5.5083858578742942E-2</v>
      </c>
      <c r="I50" s="30">
        <f>I49/Income_Statement!I5</f>
        <v>5.6074098751419374E-2</v>
      </c>
      <c r="J50" s="30">
        <f>J49/Income_Statement!J5</f>
        <v>5.913184731086045E-2</v>
      </c>
      <c r="K50" s="30">
        <f>K49/Income_Statement!K5</f>
        <v>6.0045748479384473E-2</v>
      </c>
      <c r="L50" s="30">
        <f>L49/Income_Statement!L5</f>
        <v>5.972740119870671E-2</v>
      </c>
    </row>
    <row r="51" spans="2:12" ht="18.75" x14ac:dyDescent="0.25">
      <c r="B51" s="8" t="s">
        <v>88</v>
      </c>
      <c r="C51" s="4">
        <v>293.76</v>
      </c>
      <c r="D51" s="4">
        <v>269.45999999999998</v>
      </c>
      <c r="E51" s="4">
        <v>267</v>
      </c>
      <c r="F51" s="4">
        <v>222</v>
      </c>
      <c r="G51" s="4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2.5500967354403982E-3</v>
      </c>
      <c r="D52" s="18">
        <f>D51/Income_Statement!D5</f>
        <v>2.0768339142523324E-3</v>
      </c>
      <c r="E52" s="18">
        <f>E51/Income_Statement!E5</f>
        <v>2.2793238859484376E-3</v>
      </c>
      <c r="F52" s="18">
        <f>F51/Income_Statement!F5</f>
        <v>1.6945400697661993E-3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0</v>
      </c>
      <c r="D53" s="4">
        <v>53.41</v>
      </c>
      <c r="E53" s="4">
        <v>56</v>
      </c>
      <c r="F53" s="4">
        <v>0</v>
      </c>
      <c r="G53" s="4">
        <v>0</v>
      </c>
      <c r="H53" s="24">
        <f>H5*H54</f>
        <v>0</v>
      </c>
      <c r="I53" s="24">
        <f t="shared" ref="I53:L53" si="32">I5*I54</f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</row>
    <row r="54" spans="2:12" x14ac:dyDescent="0.25">
      <c r="B54" s="17" t="s">
        <v>262</v>
      </c>
      <c r="C54" s="18">
        <f>C53/Income_Statement!C5</f>
        <v>0</v>
      </c>
      <c r="D54" s="18">
        <f>D53/Income_Statement!D5</f>
        <v>4.1165181978852913E-4</v>
      </c>
      <c r="E54" s="18">
        <f>E53/Income_Statement!E5</f>
        <v>4.7806044049854876E-4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3304.6340597894505</v>
      </c>
      <c r="D55" s="7">
        <f t="shared" ref="D55:L55" si="34" xml:space="preserve"> D49-D51-D53</f>
        <v>4996.6586870788851</v>
      </c>
      <c r="E55" s="7">
        <f t="shared" si="34"/>
        <v>2727.0101246371923</v>
      </c>
      <c r="F55" s="7">
        <f t="shared" si="34"/>
        <v>3016.0093276034459</v>
      </c>
      <c r="G55" s="7">
        <f t="shared" si="34"/>
        <v>6711.0058238789206</v>
      </c>
      <c r="H55" s="29">
        <f t="shared" si="34"/>
        <v>10225.042070875214</v>
      </c>
      <c r="I55" s="29">
        <f t="shared" si="34"/>
        <v>12025.706134793447</v>
      </c>
      <c r="J55" s="29">
        <f t="shared" si="34"/>
        <v>15489.644371286526</v>
      </c>
      <c r="K55" s="29">
        <f t="shared" si="34"/>
        <v>18051.924273592143</v>
      </c>
      <c r="L55" s="29">
        <f t="shared" si="34"/>
        <v>19545.90553588693</v>
      </c>
    </row>
    <row r="56" spans="2:12" x14ac:dyDescent="0.25">
      <c r="B56" s="19" t="s">
        <v>263</v>
      </c>
      <c r="C56" s="21">
        <f>C55/Income_Statement!C5</f>
        <v>2.8687147765843638E-2</v>
      </c>
      <c r="D56" s="21">
        <f>D55/Income_Statement!D5</f>
        <v>3.8511208414120687E-2</v>
      </c>
      <c r="E56" s="21">
        <f>E55/Income_Statement!E5</f>
        <v>2.3279922525501043E-2</v>
      </c>
      <c r="F56" s="21">
        <f>F55/Income_Statement!F5</f>
        <v>2.3021390344201129E-2</v>
      </c>
      <c r="G56" s="21">
        <f>G55/Income_Statement!G5</f>
        <v>3.4405004762040822E-2</v>
      </c>
      <c r="H56" s="30">
        <f>H55/Income_Statement!H5</f>
        <v>5.5083858578742942E-2</v>
      </c>
      <c r="I56" s="30">
        <f>I55/Income_Statement!I5</f>
        <v>5.6074098751419374E-2</v>
      </c>
      <c r="J56" s="30">
        <f>J55/Income_Statement!J5</f>
        <v>5.913184731086045E-2</v>
      </c>
      <c r="K56" s="30">
        <f>K55/Income_Statement!K5</f>
        <v>6.0045748479384473E-2</v>
      </c>
      <c r="L56" s="30">
        <f>L55/Income_Statement!L5</f>
        <v>5.972740119870671E-2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27</v>
      </c>
      <c r="D60" s="4">
        <v>25</v>
      </c>
      <c r="E60" s="4">
        <v>17</v>
      </c>
      <c r="F60" s="4">
        <v>16</v>
      </c>
      <c r="G60" s="4">
        <v>62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133.27385406627596</v>
      </c>
      <c r="D61" s="4">
        <f t="shared" ref="D61:G61" si="35">D49/D60</f>
        <v>212.78114748315539</v>
      </c>
      <c r="E61" s="4">
        <f t="shared" si="35"/>
        <v>179.41236027277603</v>
      </c>
      <c r="F61" s="4">
        <f t="shared" si="35"/>
        <v>202.37558297521537</v>
      </c>
      <c r="G61" s="4">
        <f t="shared" si="35"/>
        <v>108.24202941740195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7.0508811489100903E-2</v>
      </c>
      <c r="D62" s="23">
        <f>D31/Balance_Sheet!D40</f>
        <v>7.4398424621947887E-2</v>
      </c>
      <c r="E62" s="23">
        <f>E31/Balance_Sheet!E40</f>
        <v>7.703248649548336E-2</v>
      </c>
      <c r="F62" s="23">
        <f>F31/Balance_Sheet!F40</f>
        <v>9.3523352617468608E-2</v>
      </c>
      <c r="G62" s="23">
        <f>G31/Balance_Sheet!G40</f>
        <v>7.6592983814055132E-2</v>
      </c>
      <c r="H62" s="23">
        <f>MEDIAN(C62:G62)</f>
        <v>7.6592983814055132E-2</v>
      </c>
      <c r="I62" s="23">
        <f t="shared" ref="I62:L62" si="36">H62</f>
        <v>7.6592983814055132E-2</v>
      </c>
      <c r="J62" s="23">
        <f t="shared" si="36"/>
        <v>7.6592983814055132E-2</v>
      </c>
      <c r="K62" s="23">
        <f t="shared" si="36"/>
        <v>7.6592983814055132E-2</v>
      </c>
      <c r="L62" s="23">
        <f t="shared" si="36"/>
        <v>7.6592983814055132E-2</v>
      </c>
    </row>
    <row r="63" spans="2:12" x14ac:dyDescent="0.25">
      <c r="B63" t="s">
        <v>267</v>
      </c>
      <c r="C63" s="23">
        <f>C35/Balance_Sheet!C21</f>
        <v>7.092412480823683E-2</v>
      </c>
      <c r="D63" s="23">
        <f>D35/Balance_Sheet!D21</f>
        <v>6.6619397606911282E-2</v>
      </c>
      <c r="E63" s="23">
        <f>E35/Balance_Sheet!E21</f>
        <v>5.8480917413295808E-2</v>
      </c>
      <c r="F63" s="23">
        <f>F35/Balance_Sheet!F21</f>
        <v>5.3778756096508264E-2</v>
      </c>
      <c r="G63" s="23">
        <f>G35/Balance_Sheet!G21</f>
        <v>5.4714953678157582E-2</v>
      </c>
      <c r="H63" s="23">
        <f>G63</f>
        <v>5.4714953678157582E-2</v>
      </c>
      <c r="I63" s="23">
        <f t="shared" ref="I63:L63" si="37">H63</f>
        <v>5.4714953678157582E-2</v>
      </c>
      <c r="J63" s="23">
        <f t="shared" si="37"/>
        <v>5.4714953678157582E-2</v>
      </c>
      <c r="K63" s="23">
        <f t="shared" si="37"/>
        <v>5.4714953678157582E-2</v>
      </c>
      <c r="L63" s="23">
        <f t="shared" si="37"/>
        <v>5.4714953678157582E-2</v>
      </c>
    </row>
    <row r="64" spans="2:12" x14ac:dyDescent="0.25">
      <c r="B64" t="s">
        <v>268</v>
      </c>
      <c r="C64" s="23">
        <f>C47/Income_Statement!C45</f>
        <v>0.36564946259540121</v>
      </c>
      <c r="D64" s="23">
        <f>D47/Income_Statement!D45</f>
        <v>0.32729069299066743</v>
      </c>
      <c r="E64" s="23">
        <f>E47/Income_Statement!E45</f>
        <v>0.41424924253441753</v>
      </c>
      <c r="F64" s="23">
        <f>F47/Income_Statement!F45</f>
        <v>0.45680183511719991</v>
      </c>
      <c r="G64" s="23">
        <f>G47/Income_Statement!G45</f>
        <v>0.44463732294654645</v>
      </c>
      <c r="H64" s="23">
        <f>G64</f>
        <v>0.44463732294654645</v>
      </c>
      <c r="I64" s="23">
        <f t="shared" ref="I64:L64" si="38">H64</f>
        <v>0.44463732294654645</v>
      </c>
      <c r="J64" s="23">
        <f t="shared" si="38"/>
        <v>0.44463732294654645</v>
      </c>
      <c r="K64" s="23">
        <f t="shared" si="38"/>
        <v>0.44463732294654645</v>
      </c>
      <c r="L64" s="23">
        <f t="shared" si="38"/>
        <v>0.44463732294654645</v>
      </c>
    </row>
    <row r="65" spans="2:12" x14ac:dyDescent="0.25">
      <c r="B65" t="s">
        <v>269</v>
      </c>
      <c r="C65" s="23">
        <f>C53/Income_Statement!C51</f>
        <v>0</v>
      </c>
      <c r="D65" s="23">
        <f>D53/Income_Statement!D51</f>
        <v>0.1982112372893936</v>
      </c>
      <c r="E65" s="23">
        <f>E53/Income_Statement!E51</f>
        <v>0.20973782771535582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A09BB2DE-76F7-4CA9-BF6C-F639E8AEA8B7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916E5-B4B8-4A38-B3C9-DA461A21A62A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115195.63</v>
      </c>
      <c r="D5" s="13">
        <f>Income_Statement!D5</f>
        <v>129745.57</v>
      </c>
      <c r="E5" s="13">
        <f>Income_Statement!E5</f>
        <v>117140</v>
      </c>
      <c r="F5" s="13">
        <f>Income_Statement!F5</f>
        <v>131009</v>
      </c>
      <c r="G5" s="13">
        <f>Income_Statement!G5</f>
        <v>195059</v>
      </c>
    </row>
    <row r="6" spans="2:15" ht="18.75" x14ac:dyDescent="0.25">
      <c r="B6" s="12" t="str">
        <f>Income_Statement!B15</f>
        <v>Total Income</v>
      </c>
      <c r="C6" s="13">
        <f>Income_Statement!C15</f>
        <v>115664.30405978944</v>
      </c>
      <c r="D6" s="13">
        <f>Income_Statement!D15</f>
        <v>130873.68868707889</v>
      </c>
      <c r="E6" s="13">
        <f>Income_Statement!E15</f>
        <v>118327.01012463719</v>
      </c>
      <c r="F6" s="13">
        <f>Income_Statement!F15</f>
        <v>132232.00932760345</v>
      </c>
      <c r="G6" s="13">
        <f>Income_Statement!G15</f>
        <v>196196.00582387892</v>
      </c>
    </row>
  </sheetData>
  <hyperlinks>
    <hyperlink ref="F1" location="Index_Data!A1" tooltip="Hi click here To return Index page" display="Index_Data!A1" xr:uid="{3F58CBB1-2B77-4CC5-AB29-436412B023FF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D563-4623-4C97-9C78-8A2A22941CB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147823.33000000002</v>
      </c>
      <c r="D5" s="13">
        <f>Balance_Sheet!D37</f>
        <v>154973.9486870789</v>
      </c>
      <c r="E5" s="13">
        <f>Balance_Sheet!E37</f>
        <v>173781.60881171608</v>
      </c>
      <c r="F5" s="13">
        <f>Balance_Sheet!F37</f>
        <v>188752.61813931953</v>
      </c>
      <c r="G5" s="13">
        <f>Balance_Sheet!G37</f>
        <v>217168.62396319845</v>
      </c>
    </row>
    <row r="6" spans="2:15" ht="18.75" x14ac:dyDescent="0.25">
      <c r="B6" s="12" t="str">
        <f>Balance_Sheet!B21</f>
        <v>Total Debt</v>
      </c>
      <c r="C6" s="13">
        <f>Balance_Sheet!C21</f>
        <v>55139.630000000005</v>
      </c>
      <c r="D6" s="13">
        <f>Balance_Sheet!D21</f>
        <v>56710.81</v>
      </c>
      <c r="E6" s="13">
        <f>Balance_Sheet!E21</f>
        <v>71767</v>
      </c>
      <c r="F6" s="13">
        <f>Balance_Sheet!F21</f>
        <v>69507</v>
      </c>
      <c r="G6" s="13">
        <f>Balance_Sheet!G21</f>
        <v>68866</v>
      </c>
    </row>
  </sheetData>
  <hyperlinks>
    <hyperlink ref="F1" location="Index_Data!A1" tooltip="Hi click here To return Index page" display="Index_Data!A1" xr:uid="{0EA82BF7-8CE0-43BA-BC17-BB92BED6E190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75B03-D99A-46B7-8995-B2F85E83575B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147823.33000000002</v>
      </c>
      <c r="D5" s="13">
        <f>Balance_Sheet!D37</f>
        <v>154973.9486870789</v>
      </c>
      <c r="E5" s="13">
        <f>Balance_Sheet!E37</f>
        <v>173781.60881171608</v>
      </c>
      <c r="F5" s="13">
        <f>Balance_Sheet!F37</f>
        <v>188752.61813931953</v>
      </c>
      <c r="G5" s="13">
        <f>Balance_Sheet!G37</f>
        <v>217168.62396319845</v>
      </c>
    </row>
    <row r="6" spans="2:15" ht="18.75" x14ac:dyDescent="0.25">
      <c r="B6" s="12" t="str">
        <f>Balance_Sheet!B33</f>
        <v>Total Current Liabilities</v>
      </c>
      <c r="C6" s="13">
        <f>Balance_Sheet!C33</f>
        <v>37827.229999999996</v>
      </c>
      <c r="D6" s="13">
        <f>Balance_Sheet!D33</f>
        <v>38409.67</v>
      </c>
      <c r="E6" s="13">
        <f>Balance_Sheet!E33</f>
        <v>39434</v>
      </c>
      <c r="F6" s="13">
        <f>Balance_Sheet!F33</f>
        <v>53649</v>
      </c>
      <c r="G6" s="13">
        <f>Balance_Sheet!G33</f>
        <v>75994</v>
      </c>
    </row>
  </sheetData>
  <hyperlinks>
    <hyperlink ref="F1" location="Index_Data!A1" tooltip="Hi click here To return Index page" display="Index_Data!A1" xr:uid="{36A84908-CF8E-477B-BE76-2AB2F07DE286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3E21-02B5-4870-BCD9-86296EFA2394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147823.32999999999</v>
      </c>
      <c r="D5" s="13">
        <f>Balance_Sheet!D74</f>
        <v>154973.9486870789</v>
      </c>
      <c r="E5" s="13">
        <f>Balance_Sheet!E74</f>
        <v>173781.60881171608</v>
      </c>
      <c r="F5" s="13">
        <f>Balance_Sheet!F74</f>
        <v>188752.61813931953</v>
      </c>
      <c r="G5" s="13">
        <f>Balance_Sheet!G74</f>
        <v>217168.62396319845</v>
      </c>
    </row>
    <row r="6" spans="2:15" ht="18.75" x14ac:dyDescent="0.25">
      <c r="B6" s="12" t="str">
        <f>Balance_Sheet!B54</f>
        <v>Total Non Current Assets</v>
      </c>
      <c r="C6" s="13">
        <f>Balance_Sheet!C54</f>
        <v>97928.739999999991</v>
      </c>
      <c r="D6" s="13">
        <f>Balance_Sheet!D54</f>
        <v>75494.27</v>
      </c>
      <c r="E6" s="13">
        <f>Balance_Sheet!E54</f>
        <v>76250.02</v>
      </c>
      <c r="F6" s="13">
        <f>Balance_Sheet!F54</f>
        <v>87602.02</v>
      </c>
      <c r="G6" s="13">
        <f>Balance_Sheet!G54</f>
        <v>78748.02</v>
      </c>
    </row>
  </sheetData>
  <hyperlinks>
    <hyperlink ref="F1" location="Index_Data!A1" tooltip="Hi click here To return Index page" display="Index_Data!A1" xr:uid="{0798E2FB-E87C-4768-88B2-5B22DA125D8B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F1A4C-1A9D-4C2A-9FA8-9310DE2D2DA0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147823.32999999999</v>
      </c>
      <c r="D5" s="13">
        <f>Balance_Sheet!D74</f>
        <v>154973.9486870789</v>
      </c>
      <c r="E5" s="13">
        <f>Balance_Sheet!E74</f>
        <v>173781.60881171608</v>
      </c>
      <c r="F5" s="13">
        <f>Balance_Sheet!F74</f>
        <v>188752.61813931953</v>
      </c>
      <c r="G5" s="13">
        <f>Balance_Sheet!G74</f>
        <v>217168.62396319845</v>
      </c>
    </row>
    <row r="6" spans="2:15" ht="18.75" x14ac:dyDescent="0.25">
      <c r="B6" s="12" t="str">
        <f>Balance_Sheet!B72</f>
        <v>Total Current Assets</v>
      </c>
      <c r="C6" s="13">
        <f>Balance_Sheet!C72</f>
        <v>49894.59</v>
      </c>
      <c r="D6" s="13">
        <f>Balance_Sheet!D72</f>
        <v>79479.678687078878</v>
      </c>
      <c r="E6" s="13">
        <f>Balance_Sheet!E72</f>
        <v>97531.588811716065</v>
      </c>
      <c r="F6" s="13">
        <f>Balance_Sheet!F72</f>
        <v>101150.59813931951</v>
      </c>
      <c r="G6" s="13">
        <f>Balance_Sheet!G72</f>
        <v>138420.60396319843</v>
      </c>
    </row>
  </sheetData>
  <hyperlinks>
    <hyperlink ref="F1" location="Index_Data!A1" tooltip="Hi click here To return Index page" display="Index_Data!A1" xr:uid="{0831123C-58FC-46C7-8373-280F413E2D2B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369F8-EA76-4FE6-8D57-2CFC09D02903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103348.93</v>
      </c>
      <c r="D5" s="13">
        <f>Income_Statement!D25</f>
        <v>114411.05</v>
      </c>
      <c r="E5" s="13">
        <f>Income_Statement!E25</f>
        <v>103548</v>
      </c>
      <c r="F5" s="13">
        <f>Income_Statement!F25</f>
        <v>115413</v>
      </c>
      <c r="G5" s="13">
        <f>Income_Statement!G25</f>
        <v>174197</v>
      </c>
    </row>
    <row r="6" spans="2:15" ht="18.75" x14ac:dyDescent="0.25">
      <c r="B6" s="12" t="str">
        <f>Income_Statement!B15</f>
        <v>Total Income</v>
      </c>
      <c r="C6" s="13">
        <f>Income_Statement!C15</f>
        <v>115664.30405978944</v>
      </c>
      <c r="D6" s="13">
        <f>Income_Statement!D15</f>
        <v>130873.68868707889</v>
      </c>
      <c r="E6" s="13">
        <f>Income_Statement!E15</f>
        <v>118327.01012463719</v>
      </c>
      <c r="F6" s="13">
        <f>Income_Statement!F15</f>
        <v>132232.00932760345</v>
      </c>
      <c r="G6" s="13">
        <f>Income_Statement!G15</f>
        <v>196196.00582387892</v>
      </c>
    </row>
  </sheetData>
  <hyperlinks>
    <hyperlink ref="F1" location="Index_Data!A1" tooltip="Hi click here To return Index page" display="Index_Data!A1" xr:uid="{86F0D040-0C61-4059-90B9-39C64D37310F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F52EE-110E-4EB6-A1E0-C4E4235EA217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3304.6340597894505</v>
      </c>
      <c r="D5" s="13">
        <f>Income_Statement!D55</f>
        <v>4996.6586870788851</v>
      </c>
      <c r="E5" s="13">
        <f>Income_Statement!E55</f>
        <v>2727.0101246371923</v>
      </c>
      <c r="F5" s="13">
        <f>Income_Statement!F55</f>
        <v>3016.0093276034459</v>
      </c>
      <c r="G5" s="13">
        <f>Income_Statement!G55</f>
        <v>6711.0058238789206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3598.3940597894507</v>
      </c>
      <c r="D6" s="13">
        <f>Income_Statement!D49</f>
        <v>5319.528687078885</v>
      </c>
      <c r="E6" s="13">
        <f>Income_Statement!E49</f>
        <v>3050.0101246371923</v>
      </c>
      <c r="F6" s="13">
        <f>Income_Statement!F49</f>
        <v>3238.0093276034459</v>
      </c>
      <c r="G6" s="13">
        <f>Income_Statement!G49</f>
        <v>6711.0058238789206</v>
      </c>
    </row>
  </sheetData>
  <hyperlinks>
    <hyperlink ref="F1" location="Index_Data!A1" tooltip="Hi click here To return Index page" display="Index_Data!A1" xr:uid="{E324B688-4FD8-41B5-836B-C3CB0920C1FC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7DBA0-F014-44E4-A328-D23630547614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4">
        <v>222.89</v>
      </c>
      <c r="D5" s="4">
        <v>222.39</v>
      </c>
      <c r="E5" s="4">
        <v>222</v>
      </c>
      <c r="F5" s="4">
        <v>222</v>
      </c>
      <c r="G5" s="4">
        <v>222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6">
        <f>C5+C6</f>
        <v>222.89</v>
      </c>
      <c r="D7" s="6">
        <f t="shared" ref="D7:G7" si="0">D5+D6</f>
        <v>222.39</v>
      </c>
      <c r="E7" s="6">
        <f t="shared" si="0"/>
        <v>222</v>
      </c>
      <c r="F7" s="6">
        <f t="shared" si="0"/>
        <v>222</v>
      </c>
      <c r="G7" s="6">
        <f t="shared" si="0"/>
        <v>222</v>
      </c>
    </row>
    <row r="8" spans="2:15" ht="18.75" x14ac:dyDescent="0.25">
      <c r="B8" s="8" t="s">
        <v>7</v>
      </c>
      <c r="C8" s="5">
        <v>54624.94</v>
      </c>
      <c r="D8" s="5">
        <f>Income_Statement!D55+C8</f>
        <v>59621.598687078891</v>
      </c>
      <c r="E8" s="5">
        <f>Income_Statement!E55+D8</f>
        <v>62348.608811716083</v>
      </c>
      <c r="F8" s="5">
        <f>Income_Statement!F55+E8</f>
        <v>65364.618139319529</v>
      </c>
      <c r="G8" s="5">
        <f>Income_Statement!G55+F8</f>
        <v>72075.62396319845</v>
      </c>
    </row>
    <row r="9" spans="2:15" ht="18.75" x14ac:dyDescent="0.25">
      <c r="B9" s="9" t="s">
        <v>122</v>
      </c>
      <c r="C9" s="7">
        <f>C7+C8</f>
        <v>54847.83</v>
      </c>
      <c r="D9" s="7">
        <f t="shared" ref="D9:G9" si="1">D7+D8</f>
        <v>59843.988687078891</v>
      </c>
      <c r="E9" s="7">
        <f t="shared" si="1"/>
        <v>62570.608811716083</v>
      </c>
      <c r="F9" s="7">
        <f t="shared" si="1"/>
        <v>65586.618139319529</v>
      </c>
      <c r="G9" s="7">
        <f t="shared" si="1"/>
        <v>72297.62396319845</v>
      </c>
    </row>
    <row r="10" spans="2:15" ht="18.75" x14ac:dyDescent="0.25">
      <c r="B10" s="8" t="s">
        <v>12</v>
      </c>
      <c r="C10" s="5">
        <v>47874.26</v>
      </c>
      <c r="D10" s="5">
        <v>48031.61</v>
      </c>
      <c r="E10" s="5">
        <v>58379</v>
      </c>
      <c r="F10" s="5">
        <v>58985</v>
      </c>
      <c r="G10" s="5">
        <v>51635</v>
      </c>
    </row>
    <row r="11" spans="2:15" ht="18.75" x14ac:dyDescent="0.25">
      <c r="B11" s="8" t="s">
        <v>13</v>
      </c>
      <c r="C11" s="5">
        <v>3867.21</v>
      </c>
      <c r="D11" s="5">
        <v>4453.47</v>
      </c>
      <c r="E11" s="5">
        <v>4671</v>
      </c>
      <c r="F11" s="5">
        <v>4493</v>
      </c>
      <c r="G11" s="5">
        <v>5631</v>
      </c>
    </row>
    <row r="12" spans="2:15" ht="18.75" x14ac:dyDescent="0.25">
      <c r="B12" s="8" t="s">
        <v>18</v>
      </c>
      <c r="C12" s="5">
        <v>3398.16</v>
      </c>
      <c r="D12" s="5">
        <v>4225.7299999999996</v>
      </c>
      <c r="E12" s="5">
        <v>8717</v>
      </c>
      <c r="F12" s="5">
        <v>6029</v>
      </c>
      <c r="G12" s="5">
        <v>11600</v>
      </c>
    </row>
    <row r="13" spans="2:15" ht="18.75" x14ac:dyDescent="0.25">
      <c r="B13" s="9" t="s">
        <v>123</v>
      </c>
      <c r="C13" s="7">
        <f>C10+C11+C12</f>
        <v>55139.630000000005</v>
      </c>
      <c r="D13" s="7">
        <f t="shared" ref="D13:G13" si="2">D10+D11+D12</f>
        <v>56710.81</v>
      </c>
      <c r="E13" s="7">
        <f t="shared" si="2"/>
        <v>71767</v>
      </c>
      <c r="F13" s="7">
        <f t="shared" si="2"/>
        <v>69507</v>
      </c>
      <c r="G13" s="7">
        <f t="shared" si="2"/>
        <v>68866</v>
      </c>
    </row>
    <row r="14" spans="2:15" ht="18.75" x14ac:dyDescent="0.25">
      <c r="B14" s="8" t="s">
        <v>15</v>
      </c>
      <c r="C14" s="5">
        <v>7081.05</v>
      </c>
      <c r="D14" s="5">
        <v>7440.11</v>
      </c>
      <c r="E14" s="5">
        <v>8337</v>
      </c>
      <c r="F14" s="5">
        <v>8146</v>
      </c>
      <c r="G14" s="5">
        <v>6848</v>
      </c>
    </row>
    <row r="15" spans="2:15" ht="18.75" x14ac:dyDescent="0.25">
      <c r="B15" s="8" t="s">
        <v>21</v>
      </c>
      <c r="C15" s="5">
        <v>1872.44</v>
      </c>
      <c r="D15" s="5">
        <v>1978.08</v>
      </c>
      <c r="E15" s="5">
        <v>2211</v>
      </c>
      <c r="F15" s="5">
        <v>2610</v>
      </c>
      <c r="G15" s="5">
        <v>2841</v>
      </c>
    </row>
    <row r="16" spans="2:15" ht="18.75" x14ac:dyDescent="0.25">
      <c r="B16" s="8" t="s">
        <v>14</v>
      </c>
      <c r="C16" s="5">
        <v>1383.67</v>
      </c>
      <c r="D16" s="5">
        <v>1456.36</v>
      </c>
      <c r="E16" s="5">
        <v>2597</v>
      </c>
      <c r="F16" s="5">
        <v>3039</v>
      </c>
      <c r="G16" s="5">
        <v>3473</v>
      </c>
    </row>
    <row r="17" spans="2:7" ht="18.75" x14ac:dyDescent="0.25">
      <c r="B17" s="8" t="s">
        <v>19</v>
      </c>
      <c r="C17" s="5">
        <v>20404.8</v>
      </c>
      <c r="D17" s="5">
        <v>20722.849999999999</v>
      </c>
      <c r="E17" s="5">
        <v>18300</v>
      </c>
      <c r="F17" s="5">
        <v>28280</v>
      </c>
      <c r="G17" s="5">
        <v>41382</v>
      </c>
    </row>
    <row r="18" spans="2:7" ht="18.75" x14ac:dyDescent="0.25">
      <c r="B18" s="8" t="s">
        <v>20</v>
      </c>
      <c r="C18" s="5">
        <v>7085.27</v>
      </c>
      <c r="D18" s="5">
        <v>6812.27</v>
      </c>
      <c r="E18" s="5">
        <v>7989</v>
      </c>
      <c r="F18" s="5">
        <v>11574</v>
      </c>
      <c r="G18" s="5">
        <v>21450</v>
      </c>
    </row>
    <row r="19" spans="2:7" ht="18.75" x14ac:dyDescent="0.25">
      <c r="B19" s="9" t="s">
        <v>22</v>
      </c>
      <c r="C19" s="7">
        <f>C14+C15+C16+C17+C18</f>
        <v>37827.229999999996</v>
      </c>
      <c r="D19" s="7">
        <f t="shared" ref="D19:G19" si="3">D14+D15+D16+D17+D18</f>
        <v>38409.67</v>
      </c>
      <c r="E19" s="7">
        <f t="shared" si="3"/>
        <v>39434</v>
      </c>
      <c r="F19" s="7">
        <f t="shared" si="3"/>
        <v>53649</v>
      </c>
      <c r="G19" s="7">
        <f t="shared" si="3"/>
        <v>75994</v>
      </c>
    </row>
    <row r="20" spans="2:7" ht="18.75" x14ac:dyDescent="0.25">
      <c r="B20" s="8" t="s">
        <v>10</v>
      </c>
      <c r="C20" s="4">
        <v>8.64</v>
      </c>
      <c r="D20" s="4">
        <v>9.48</v>
      </c>
      <c r="E20" s="4">
        <v>10</v>
      </c>
      <c r="F20" s="4">
        <v>10</v>
      </c>
      <c r="G20" s="4">
        <v>11</v>
      </c>
    </row>
    <row r="21" spans="2:7" ht="18.75" x14ac:dyDescent="0.25">
      <c r="B21" s="9" t="s">
        <v>124</v>
      </c>
      <c r="C21" s="7">
        <f>C9+C13+C19+C20</f>
        <v>147823.33000000002</v>
      </c>
      <c r="D21" s="7">
        <f t="shared" ref="D21:G21" si="4">D9+D13+D19+D20</f>
        <v>154973.9486870789</v>
      </c>
      <c r="E21" s="7">
        <f t="shared" si="4"/>
        <v>173781.60881171608</v>
      </c>
      <c r="F21" s="7">
        <f t="shared" si="4"/>
        <v>188752.61813931953</v>
      </c>
      <c r="G21" s="7">
        <f t="shared" si="4"/>
        <v>217168.62396319845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63910.31</v>
      </c>
      <c r="D23" s="5">
        <v>64208.08</v>
      </c>
      <c r="E23" s="5">
        <v>66089</v>
      </c>
      <c r="F23" s="5">
        <v>70870</v>
      </c>
      <c r="G23" s="5">
        <v>87854</v>
      </c>
    </row>
    <row r="24" spans="2:7" ht="18.75" x14ac:dyDescent="0.25">
      <c r="B24" s="8" t="s">
        <v>27</v>
      </c>
      <c r="C24" s="4">
        <v>3348.68</v>
      </c>
      <c r="D24" s="5">
        <v>3076.53</v>
      </c>
      <c r="E24" s="5">
        <v>3008</v>
      </c>
      <c r="F24" s="5">
        <v>6082</v>
      </c>
      <c r="G24" s="5">
        <v>0</v>
      </c>
    </row>
    <row r="25" spans="2:7" ht="18.75" x14ac:dyDescent="0.25">
      <c r="B25" s="8" t="s">
        <v>125</v>
      </c>
      <c r="C25" s="4"/>
      <c r="D25" s="5">
        <f>Income_Statement!D31</f>
        <v>4776.9799999999996</v>
      </c>
      <c r="E25" s="5">
        <f>Income_Statement!E31+D25</f>
        <v>9867.98</v>
      </c>
      <c r="F25" s="5">
        <f>Income_Statement!F31+E25</f>
        <v>16495.98</v>
      </c>
      <c r="G25" s="5">
        <f>Income_Statement!G31+F25</f>
        <v>23224.98</v>
      </c>
    </row>
    <row r="26" spans="2:7" ht="18.75" x14ac:dyDescent="0.25">
      <c r="B26" s="9" t="s">
        <v>126</v>
      </c>
      <c r="C26" s="7">
        <f>C23+C24-C25</f>
        <v>67258.989999999991</v>
      </c>
      <c r="D26" s="7">
        <f t="shared" ref="D26:G26" si="5">D23+D24-D25</f>
        <v>62507.630000000005</v>
      </c>
      <c r="E26" s="7">
        <f t="shared" si="5"/>
        <v>59229.020000000004</v>
      </c>
      <c r="F26" s="7">
        <f t="shared" si="5"/>
        <v>60456.020000000004</v>
      </c>
      <c r="G26" s="7">
        <f t="shared" si="5"/>
        <v>64629.020000000004</v>
      </c>
    </row>
    <row r="27" spans="2:7" ht="18.75" x14ac:dyDescent="0.25">
      <c r="B27" s="8" t="s">
        <v>30</v>
      </c>
      <c r="C27" s="5">
        <v>6877.83</v>
      </c>
      <c r="D27" s="5">
        <v>5156.7</v>
      </c>
      <c r="E27" s="5">
        <v>3132</v>
      </c>
      <c r="F27" s="5">
        <v>7716</v>
      </c>
      <c r="G27" s="5">
        <v>8667</v>
      </c>
    </row>
    <row r="28" spans="2:7" ht="18.75" x14ac:dyDescent="0.25">
      <c r="B28" s="8" t="s">
        <v>36</v>
      </c>
      <c r="C28" s="5">
        <v>3903.48</v>
      </c>
      <c r="D28" s="5">
        <v>3855.31</v>
      </c>
      <c r="E28" s="5">
        <v>6279</v>
      </c>
      <c r="F28" s="5">
        <v>9417</v>
      </c>
      <c r="G28" s="5">
        <v>5452</v>
      </c>
    </row>
    <row r="29" spans="2:7" ht="18.75" x14ac:dyDescent="0.25">
      <c r="B29" s="8" t="s">
        <v>28</v>
      </c>
      <c r="C29" s="4">
        <v>19888.439999999999</v>
      </c>
      <c r="D29" s="5">
        <v>3974.63</v>
      </c>
      <c r="E29" s="5">
        <v>7610</v>
      </c>
      <c r="F29" s="5">
        <v>10013</v>
      </c>
      <c r="G29" s="5">
        <v>0</v>
      </c>
    </row>
    <row r="30" spans="2:7" ht="18.75" x14ac:dyDescent="0.25">
      <c r="B30" s="9" t="s">
        <v>127</v>
      </c>
      <c r="C30" s="7">
        <f>C26+C27+C28+C29</f>
        <v>97928.739999999991</v>
      </c>
      <c r="D30" s="7">
        <f t="shared" ref="D30:G30" si="6">D26+D27+D28+D29</f>
        <v>75494.27</v>
      </c>
      <c r="E30" s="7">
        <f t="shared" si="6"/>
        <v>76250.02</v>
      </c>
      <c r="F30" s="7">
        <f t="shared" si="6"/>
        <v>87602.02</v>
      </c>
      <c r="G30" s="7">
        <f t="shared" si="6"/>
        <v>78748.02</v>
      </c>
    </row>
    <row r="31" spans="2:7" ht="18.75" x14ac:dyDescent="0.25">
      <c r="B31" s="8" t="s">
        <v>31</v>
      </c>
      <c r="C31" s="5">
        <v>813.45</v>
      </c>
      <c r="D31" s="4">
        <v>802.94</v>
      </c>
      <c r="E31" s="4">
        <v>910</v>
      </c>
      <c r="F31" s="4">
        <v>887</v>
      </c>
      <c r="G31" s="4">
        <v>1207</v>
      </c>
    </row>
    <row r="32" spans="2:7" ht="18.75" x14ac:dyDescent="0.25">
      <c r="B32" s="8" t="s">
        <v>32</v>
      </c>
      <c r="C32" s="4">
        <v>77.48</v>
      </c>
      <c r="D32" s="4">
        <v>72.53</v>
      </c>
      <c r="E32" s="4">
        <v>12</v>
      </c>
      <c r="F32" s="4">
        <v>12</v>
      </c>
      <c r="G32" s="4">
        <v>50</v>
      </c>
    </row>
    <row r="33" spans="2:7" ht="18.75" x14ac:dyDescent="0.25">
      <c r="B33" s="8" t="s">
        <v>33</v>
      </c>
      <c r="C33" s="5">
        <v>2943.89</v>
      </c>
      <c r="D33" s="5">
        <v>2649.69</v>
      </c>
      <c r="E33" s="5">
        <v>2276</v>
      </c>
      <c r="F33" s="5">
        <v>2985</v>
      </c>
      <c r="G33" s="5">
        <v>2776</v>
      </c>
    </row>
    <row r="34" spans="2:7" ht="18.75" x14ac:dyDescent="0.25">
      <c r="B34" s="8" t="s">
        <v>40</v>
      </c>
      <c r="C34" s="4">
        <v>57.95</v>
      </c>
      <c r="D34" s="4">
        <v>57.74</v>
      </c>
      <c r="E34" s="4">
        <v>55</v>
      </c>
      <c r="F34" s="4">
        <v>47</v>
      </c>
      <c r="G34" s="4">
        <v>7</v>
      </c>
    </row>
    <row r="35" spans="2:7" ht="18.75" x14ac:dyDescent="0.25">
      <c r="B35" s="8" t="s">
        <v>41</v>
      </c>
      <c r="C35" s="5">
        <v>6352.86</v>
      </c>
      <c r="D35" s="5">
        <v>6640.34</v>
      </c>
      <c r="E35" s="5">
        <v>6650</v>
      </c>
      <c r="F35" s="5">
        <v>5728</v>
      </c>
      <c r="G35" s="5">
        <v>10133</v>
      </c>
    </row>
    <row r="36" spans="2:7" ht="18.75" x14ac:dyDescent="0.25">
      <c r="B36" s="8" t="s">
        <v>37</v>
      </c>
      <c r="C36" s="5">
        <v>21631.39</v>
      </c>
      <c r="D36" s="5">
        <v>22193.79</v>
      </c>
      <c r="E36" s="5">
        <v>22384</v>
      </c>
      <c r="F36" s="5">
        <v>30668</v>
      </c>
      <c r="G36" s="5">
        <v>44483</v>
      </c>
    </row>
    <row r="37" spans="2:7" ht="18.75" x14ac:dyDescent="0.25">
      <c r="B37" s="8" t="s">
        <v>38</v>
      </c>
      <c r="C37" s="5">
        <v>9959.81</v>
      </c>
      <c r="D37" s="5">
        <v>11459.76</v>
      </c>
      <c r="E37" s="5">
        <v>9345</v>
      </c>
      <c r="F37" s="5">
        <v>12959</v>
      </c>
      <c r="G37" s="5">
        <v>21076</v>
      </c>
    </row>
    <row r="38" spans="2:7" ht="18.75" x14ac:dyDescent="0.25">
      <c r="B38" s="8" t="s">
        <v>39</v>
      </c>
      <c r="C38" s="5">
        <v>8057.76</v>
      </c>
      <c r="D38" s="5">
        <f>CashFlow_Statement!D48+C38</f>
        <v>35602.88868707887</v>
      </c>
      <c r="E38" s="5">
        <f>CashFlow_Statement!E48+D38</f>
        <v>55899.588811716065</v>
      </c>
      <c r="F38" s="5">
        <f>CashFlow_Statement!F48+E38</f>
        <v>47864.598139319511</v>
      </c>
      <c r="G38" s="5">
        <f>CashFlow_Statement!G48+F38</f>
        <v>58688.603963198431</v>
      </c>
    </row>
    <row r="39" spans="2:7" ht="18.75" x14ac:dyDescent="0.25">
      <c r="B39" s="9" t="s">
        <v>42</v>
      </c>
      <c r="C39" s="7">
        <f>C31+C32+C33+C34+C35+C36+C37+C38</f>
        <v>49894.59</v>
      </c>
      <c r="D39" s="7">
        <f t="shared" ref="D39:G39" si="7">D31+D32+D33+D34+D35+D36+D37+D38</f>
        <v>79479.678687078878</v>
      </c>
      <c r="E39" s="7">
        <f t="shared" si="7"/>
        <v>97531.588811716065</v>
      </c>
      <c r="F39" s="7">
        <f t="shared" si="7"/>
        <v>101150.59813931951</v>
      </c>
      <c r="G39" s="7">
        <f t="shared" si="7"/>
        <v>138420.60396319843</v>
      </c>
    </row>
    <row r="40" spans="2:7" ht="18.75" x14ac:dyDescent="0.25">
      <c r="B40" s="9" t="s">
        <v>43</v>
      </c>
      <c r="C40" s="7">
        <f>C30+C39</f>
        <v>147823.32999999999</v>
      </c>
      <c r="D40" s="7">
        <f t="shared" ref="D40:G40" si="8">D30+D39</f>
        <v>154973.9486870789</v>
      </c>
      <c r="E40" s="7">
        <f t="shared" si="8"/>
        <v>173781.60881171608</v>
      </c>
      <c r="F40" s="7">
        <f t="shared" si="8"/>
        <v>188752.61813931953</v>
      </c>
      <c r="G40" s="7">
        <f t="shared" si="8"/>
        <v>217168.62396319845</v>
      </c>
    </row>
  </sheetData>
  <mergeCells count="1">
    <mergeCell ref="B3:G3"/>
  </mergeCells>
  <hyperlinks>
    <hyperlink ref="F1" location="Index_Data!A1" tooltip="Hi click here To return Index page" display="Index_Data!A1" xr:uid="{C52743ED-BE2B-4883-81AB-FFC2C10E1AA6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BB89-2110-4F39-9DED-B901CB80C5E4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3" width="18.85546875" bestFit="1" customWidth="1"/>
    <col min="4" max="4" width="17.140625" bestFit="1" customWidth="1"/>
    <col min="5" max="5" width="18.85546875" bestFit="1" customWidth="1"/>
    <col min="6" max="6" width="17.140625" bestFit="1" customWidth="1"/>
    <col min="7" max="7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120</v>
      </c>
      <c r="C3" s="32"/>
      <c r="D3" s="32"/>
      <c r="E3" s="32"/>
      <c r="F3" s="32"/>
      <c r="G3" s="32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115195.63</v>
      </c>
      <c r="D5" s="5">
        <v>129745.57</v>
      </c>
      <c r="E5" s="5">
        <v>117140</v>
      </c>
      <c r="F5" s="5">
        <v>131009</v>
      </c>
      <c r="G5" s="5">
        <v>195059</v>
      </c>
    </row>
    <row r="6" spans="2:15" ht="18.75" x14ac:dyDescent="0.25">
      <c r="B6" s="8" t="s">
        <v>98</v>
      </c>
      <c r="C6" s="4">
        <v>636.9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114558.73000000001</v>
      </c>
      <c r="D7" s="7">
        <f t="shared" ref="D7:G7" si="0">D5 - D6</f>
        <v>129745.57</v>
      </c>
      <c r="E7" s="7">
        <f t="shared" si="0"/>
        <v>117140</v>
      </c>
      <c r="F7" s="7">
        <f t="shared" si="0"/>
        <v>131009</v>
      </c>
      <c r="G7" s="7">
        <f t="shared" si="0"/>
        <v>195059</v>
      </c>
    </row>
    <row r="8" spans="2:15" ht="18.75" x14ac:dyDescent="0.25">
      <c r="B8" s="8" t="s">
        <v>59</v>
      </c>
      <c r="C8" s="5">
        <v>1104.57</v>
      </c>
      <c r="D8" s="5">
        <v>1127.1099999999999</v>
      </c>
      <c r="E8" s="5">
        <v>1186</v>
      </c>
      <c r="F8" s="5">
        <v>1222</v>
      </c>
      <c r="G8" s="5">
        <v>1136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115663.30000000002</v>
      </c>
      <c r="D10" s="7">
        <f t="shared" ref="D10:G10" si="1">SUM(D7:D9)</f>
        <v>130872.68000000001</v>
      </c>
      <c r="E10" s="7">
        <f t="shared" si="1"/>
        <v>118326</v>
      </c>
      <c r="F10" s="7">
        <f t="shared" si="1"/>
        <v>132231</v>
      </c>
      <c r="G10" s="7">
        <f t="shared" si="1"/>
        <v>196195</v>
      </c>
    </row>
    <row r="11" spans="2:15" ht="18.75" x14ac:dyDescent="0.25">
      <c r="B11" s="8" t="s">
        <v>62</v>
      </c>
      <c r="C11" s="5">
        <v>79486.399999999994</v>
      </c>
      <c r="D11" s="5">
        <v>87686.82</v>
      </c>
      <c r="E11" s="5">
        <v>77727</v>
      </c>
      <c r="F11" s="5">
        <v>86276</v>
      </c>
      <c r="G11" s="5">
        <v>125335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8644.7800000000007</v>
      </c>
      <c r="D13" s="5">
        <v>9043.09</v>
      </c>
      <c r="E13" s="5">
        <v>8832</v>
      </c>
      <c r="F13" s="5">
        <v>10782</v>
      </c>
      <c r="G13" s="5">
        <v>11936</v>
      </c>
    </row>
    <row r="14" spans="2:15" ht="18.75" x14ac:dyDescent="0.25">
      <c r="B14" s="8" t="s">
        <v>69</v>
      </c>
      <c r="C14" s="5">
        <v>15217.75</v>
      </c>
      <c r="D14" s="5">
        <v>17681.14</v>
      </c>
      <c r="E14" s="5">
        <v>16989</v>
      </c>
      <c r="F14" s="5">
        <v>18355</v>
      </c>
      <c r="G14" s="5">
        <v>36926</v>
      </c>
    </row>
    <row r="15" spans="2:15" ht="18.75" x14ac:dyDescent="0.25">
      <c r="B15" s="9" t="s">
        <v>108</v>
      </c>
      <c r="C15" s="7">
        <f>C11+C12+C13+C14</f>
        <v>103348.93</v>
      </c>
      <c r="D15" s="7">
        <f t="shared" ref="D15:G15" si="2">D11+D12+D13+D14</f>
        <v>114411.05</v>
      </c>
      <c r="E15" s="7">
        <f t="shared" si="2"/>
        <v>103548</v>
      </c>
      <c r="F15" s="7">
        <f t="shared" si="2"/>
        <v>115413</v>
      </c>
      <c r="G15" s="7">
        <f t="shared" si="2"/>
        <v>174197</v>
      </c>
    </row>
    <row r="16" spans="2:15" ht="18.75" x14ac:dyDescent="0.25">
      <c r="B16" s="9" t="s">
        <v>109</v>
      </c>
      <c r="C16" s="7">
        <f xml:space="preserve"> C10-C15-C8</f>
        <v>11209.800000000025</v>
      </c>
      <c r="D16" s="7">
        <f t="shared" ref="D16:G16" si="3" xml:space="preserve"> D10-D15-D8</f>
        <v>15334.520000000004</v>
      </c>
      <c r="E16" s="7">
        <f t="shared" si="3"/>
        <v>13592</v>
      </c>
      <c r="F16" s="7">
        <f t="shared" si="3"/>
        <v>15596</v>
      </c>
      <c r="G16" s="7">
        <f t="shared" si="3"/>
        <v>20862</v>
      </c>
    </row>
    <row r="17" spans="2:7" ht="18.75" x14ac:dyDescent="0.25">
      <c r="B17" s="9" t="s">
        <v>110</v>
      </c>
      <c r="C17" s="7">
        <f xml:space="preserve"> C16+C8</f>
        <v>12314.370000000024</v>
      </c>
      <c r="D17" s="7">
        <f t="shared" ref="D17:G17" si="4" xml:space="preserve"> D16+D8</f>
        <v>16461.630000000005</v>
      </c>
      <c r="E17" s="7">
        <f t="shared" si="4"/>
        <v>14778</v>
      </c>
      <c r="F17" s="7">
        <f t="shared" si="4"/>
        <v>16818</v>
      </c>
      <c r="G17" s="7">
        <f t="shared" si="4"/>
        <v>21998</v>
      </c>
    </row>
    <row r="18" spans="2:7" ht="18.75" x14ac:dyDescent="0.25">
      <c r="B18" s="8" t="s">
        <v>68</v>
      </c>
      <c r="C18" s="5">
        <v>4506.24</v>
      </c>
      <c r="D18" s="5">
        <v>4776.9799999999996</v>
      </c>
      <c r="E18" s="5">
        <v>5091</v>
      </c>
      <c r="F18" s="5">
        <v>6628</v>
      </c>
      <c r="G18" s="5">
        <v>6729</v>
      </c>
    </row>
    <row r="19" spans="2:7" ht="18.75" x14ac:dyDescent="0.25">
      <c r="B19" s="9" t="s">
        <v>111</v>
      </c>
      <c r="C19" s="7">
        <f xml:space="preserve"> C17-C18</f>
        <v>7808.1300000000247</v>
      </c>
      <c r="D19" s="7">
        <f t="shared" ref="D19:G19" si="5" xml:space="preserve"> D17-D18</f>
        <v>11684.650000000005</v>
      </c>
      <c r="E19" s="7">
        <f t="shared" si="5"/>
        <v>9687</v>
      </c>
      <c r="F19" s="7">
        <f t="shared" si="5"/>
        <v>10190</v>
      </c>
      <c r="G19" s="7">
        <f t="shared" si="5"/>
        <v>15269</v>
      </c>
    </row>
    <row r="20" spans="2:7" ht="18.75" x14ac:dyDescent="0.25">
      <c r="B20" s="8" t="s">
        <v>67</v>
      </c>
      <c r="C20" s="5">
        <v>3910.73</v>
      </c>
      <c r="D20" s="5">
        <v>3778.04</v>
      </c>
      <c r="E20" s="5">
        <v>4197</v>
      </c>
      <c r="F20" s="5">
        <v>3738</v>
      </c>
      <c r="G20" s="5">
        <v>3768</v>
      </c>
    </row>
    <row r="21" spans="2:7" ht="18.75" x14ac:dyDescent="0.25">
      <c r="B21" s="9" t="s">
        <v>112</v>
      </c>
      <c r="C21" s="7">
        <f xml:space="preserve"> C19-C20</f>
        <v>3897.4000000000246</v>
      </c>
      <c r="D21" s="7">
        <f t="shared" ref="D21:G21" si="6" xml:space="preserve"> D19-D20</f>
        <v>7906.6100000000051</v>
      </c>
      <c r="E21" s="7">
        <f t="shared" si="6"/>
        <v>5490</v>
      </c>
      <c r="F21" s="7">
        <f t="shared" si="6"/>
        <v>6452</v>
      </c>
      <c r="G21" s="7">
        <f t="shared" si="6"/>
        <v>11501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3897.4000000000246</v>
      </c>
      <c r="D23" s="7">
        <f t="shared" ref="D23:G23" si="7" xml:space="preserve"> D21+D22</f>
        <v>7906.6100000000051</v>
      </c>
      <c r="E23" s="7">
        <f t="shared" si="7"/>
        <v>5490</v>
      </c>
      <c r="F23" s="7">
        <f t="shared" si="7"/>
        <v>6452</v>
      </c>
      <c r="G23" s="7">
        <f t="shared" si="7"/>
        <v>11501</v>
      </c>
    </row>
    <row r="24" spans="2:7" ht="18.75" x14ac:dyDescent="0.25">
      <c r="B24" s="8" t="s">
        <v>72</v>
      </c>
      <c r="C24" s="4">
        <v>1774.16</v>
      </c>
      <c r="D24" s="4">
        <v>0</v>
      </c>
      <c r="E24" s="4">
        <v>-284</v>
      </c>
      <c r="F24" s="4">
        <v>-492</v>
      </c>
      <c r="G24" s="5">
        <v>582</v>
      </c>
    </row>
    <row r="25" spans="2:7" ht="18.75" x14ac:dyDescent="0.25">
      <c r="B25" s="9" t="s">
        <v>115</v>
      </c>
      <c r="C25" s="7">
        <f xml:space="preserve"> C23+C24</f>
        <v>5671.560000000025</v>
      </c>
      <c r="D25" s="7">
        <f t="shared" ref="D25:G25" si="8" xml:space="preserve"> D23+D24</f>
        <v>7906.6100000000051</v>
      </c>
      <c r="E25" s="7">
        <f t="shared" si="8"/>
        <v>5206</v>
      </c>
      <c r="F25" s="7">
        <f t="shared" si="8"/>
        <v>5960</v>
      </c>
      <c r="G25" s="7">
        <f t="shared" si="8"/>
        <v>12083</v>
      </c>
    </row>
    <row r="26" spans="2:7" ht="18.75" x14ac:dyDescent="0.25">
      <c r="B26" s="8" t="s">
        <v>79</v>
      </c>
      <c r="C26" s="5">
        <v>2074.17</v>
      </c>
      <c r="D26" s="5">
        <v>2588.09</v>
      </c>
      <c r="E26" s="5">
        <v>2157</v>
      </c>
      <c r="F26" s="5">
        <v>2723</v>
      </c>
      <c r="G26" s="5">
        <v>5373</v>
      </c>
    </row>
    <row r="27" spans="2:7" ht="18.75" x14ac:dyDescent="0.25">
      <c r="B27" s="9" t="s">
        <v>116</v>
      </c>
      <c r="C27" s="7">
        <f xml:space="preserve"> C25-C26</f>
        <v>3597.3900000000249</v>
      </c>
      <c r="D27" s="7">
        <f t="shared" ref="D27:G27" si="9" xml:space="preserve"> D25-D26</f>
        <v>5318.520000000005</v>
      </c>
      <c r="E27" s="7">
        <f t="shared" si="9"/>
        <v>3049</v>
      </c>
      <c r="F27" s="7">
        <f t="shared" si="9"/>
        <v>3237</v>
      </c>
      <c r="G27" s="7">
        <f t="shared" si="9"/>
        <v>6710</v>
      </c>
    </row>
    <row r="28" spans="2:7" ht="18.75" x14ac:dyDescent="0.25">
      <c r="B28" s="8" t="s">
        <v>88</v>
      </c>
      <c r="C28" s="4">
        <v>293.76</v>
      </c>
      <c r="D28" s="4">
        <v>269.45999999999998</v>
      </c>
      <c r="E28" s="4">
        <v>267</v>
      </c>
      <c r="F28" s="4">
        <v>222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53.41</v>
      </c>
      <c r="E29" s="4">
        <v>56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3303.6300000000247</v>
      </c>
      <c r="D30" s="7">
        <f t="shared" ref="D30:G30" si="10" xml:space="preserve"> D27-D28-D29</f>
        <v>4995.6500000000051</v>
      </c>
      <c r="E30" s="7">
        <f t="shared" si="10"/>
        <v>2726</v>
      </c>
      <c r="F30" s="7">
        <f t="shared" si="10"/>
        <v>3015</v>
      </c>
      <c r="G30" s="7">
        <f t="shared" si="10"/>
        <v>6710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27</v>
      </c>
      <c r="D34" s="4">
        <v>25</v>
      </c>
      <c r="E34" s="4">
        <v>17</v>
      </c>
      <c r="F34" s="4">
        <v>16</v>
      </c>
      <c r="G34" s="4">
        <v>62</v>
      </c>
    </row>
    <row r="35" spans="2:7" ht="18.75" x14ac:dyDescent="0.25">
      <c r="B35" s="8" t="s">
        <v>118</v>
      </c>
      <c r="C35" s="4">
        <f>C27/C34</f>
        <v>133.23666666666759</v>
      </c>
      <c r="D35" s="4">
        <f t="shared" ref="D35:G35" si="11">D27/D34</f>
        <v>212.74080000000021</v>
      </c>
      <c r="E35" s="4">
        <f t="shared" si="11"/>
        <v>179.35294117647058</v>
      </c>
      <c r="F35" s="4">
        <f t="shared" si="11"/>
        <v>202.3125</v>
      </c>
      <c r="G35" s="4">
        <f t="shared" si="11"/>
        <v>108.2258064516129</v>
      </c>
    </row>
  </sheetData>
  <mergeCells count="1">
    <mergeCell ref="B3:G3"/>
  </mergeCells>
  <hyperlinks>
    <hyperlink ref="F1" location="Index_Data!A1" tooltip="Hi click here To return Index page" display="Index_Data!A1" xr:uid="{5E6B1688-B531-4E7F-83BD-2310691832D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3D0E3-D078-4993-AF5E-2BEA86AB2284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128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4">
        <v>222.89</v>
      </c>
      <c r="D5" s="4">
        <v>222.39</v>
      </c>
      <c r="E5" s="4">
        <v>222</v>
      </c>
      <c r="F5" s="4">
        <v>222</v>
      </c>
      <c r="G5" s="4">
        <v>222</v>
      </c>
      <c r="H5" s="24">
        <f>G5</f>
        <v>222</v>
      </c>
      <c r="I5" s="24">
        <f t="shared" ref="I5:L5" si="0">H5</f>
        <v>222</v>
      </c>
      <c r="J5" s="24">
        <f t="shared" si="0"/>
        <v>222</v>
      </c>
      <c r="K5" s="24">
        <f t="shared" si="0"/>
        <v>222</v>
      </c>
      <c r="L5" s="24">
        <f t="shared" si="0"/>
        <v>222</v>
      </c>
    </row>
    <row r="6" spans="2:15" x14ac:dyDescent="0.25">
      <c r="B6" s="17" t="s">
        <v>203</v>
      </c>
      <c r="C6" s="18">
        <f>C5/Balance_Sheet!C74</f>
        <v>1.5078134148378338E-3</v>
      </c>
      <c r="D6" s="18">
        <f>D5/Balance_Sheet!D74</f>
        <v>1.4350153808692491E-3</v>
      </c>
      <c r="E6" s="18">
        <f>E5/Balance_Sheet!E74</f>
        <v>1.2774654436565045E-3</v>
      </c>
      <c r="F6" s="18">
        <f>F5/Balance_Sheet!F74</f>
        <v>1.1761426261973245E-3</v>
      </c>
      <c r="G6" s="18">
        <f>G5/Balance_Sheet!G74</f>
        <v>1.0222471181546939E-3</v>
      </c>
      <c r="H6" s="25">
        <f>G6</f>
        <v>1.0222471181546939E-3</v>
      </c>
      <c r="I6" s="25">
        <f t="shared" ref="I6:L6" si="1">H6</f>
        <v>1.0222471181546939E-3</v>
      </c>
      <c r="J6" s="25">
        <f t="shared" si="1"/>
        <v>1.0222471181546939E-3</v>
      </c>
      <c r="K6" s="25">
        <f t="shared" si="1"/>
        <v>1.0222471181546939E-3</v>
      </c>
      <c r="L6" s="25">
        <f t="shared" si="1"/>
        <v>1.0222471181546939E-3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4">
        <f>G7</f>
        <v>0</v>
      </c>
      <c r="I7" s="24">
        <f t="shared" ref="I7:L7" si="2">H7</f>
        <v>0</v>
      </c>
      <c r="J7" s="24">
        <f t="shared" si="2"/>
        <v>0</v>
      </c>
      <c r="K7" s="24">
        <f t="shared" si="2"/>
        <v>0</v>
      </c>
      <c r="L7" s="24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6">
        <f>C5+C7</f>
        <v>222.89</v>
      </c>
      <c r="D9" s="6">
        <f t="shared" ref="D9:L9" si="4">D5+D7</f>
        <v>222.39</v>
      </c>
      <c r="E9" s="6">
        <f t="shared" si="4"/>
        <v>222</v>
      </c>
      <c r="F9" s="6">
        <f t="shared" si="4"/>
        <v>222</v>
      </c>
      <c r="G9" s="6">
        <f t="shared" si="4"/>
        <v>222</v>
      </c>
      <c r="H9" s="26">
        <f t="shared" si="4"/>
        <v>222</v>
      </c>
      <c r="I9" s="26">
        <f t="shared" si="4"/>
        <v>222</v>
      </c>
      <c r="J9" s="26">
        <f t="shared" si="4"/>
        <v>222</v>
      </c>
      <c r="K9" s="26">
        <f t="shared" si="4"/>
        <v>222</v>
      </c>
      <c r="L9" s="26">
        <f t="shared" si="4"/>
        <v>222</v>
      </c>
    </row>
    <row r="10" spans="2:15" x14ac:dyDescent="0.25">
      <c r="B10" s="19" t="s">
        <v>205</v>
      </c>
      <c r="C10" s="20">
        <f>C9/Balance_Sheet!C74</f>
        <v>1.5078134148378338E-3</v>
      </c>
      <c r="D10" s="20">
        <f>D9/Balance_Sheet!D74</f>
        <v>1.4350153808692491E-3</v>
      </c>
      <c r="E10" s="20">
        <f>E9/Balance_Sheet!E74</f>
        <v>1.2774654436565045E-3</v>
      </c>
      <c r="F10" s="20">
        <f>F9/Balance_Sheet!F74</f>
        <v>1.1761426261973245E-3</v>
      </c>
      <c r="G10" s="20">
        <f>G9/Balance_Sheet!G74</f>
        <v>1.0222471181546939E-3</v>
      </c>
      <c r="H10" s="27">
        <f>H9/Balance_Sheet!H74</f>
        <v>9.503664981655107E-4</v>
      </c>
      <c r="I10" s="27">
        <f>I9/Balance_Sheet!I74</f>
        <v>8.4744244804474671E-4</v>
      </c>
      <c r="J10" s="27">
        <f>J9/Balance_Sheet!J74</f>
        <v>7.6517231072483188E-4</v>
      </c>
      <c r="K10" s="27">
        <f>K9/Balance_Sheet!K74</f>
        <v>6.8786172064165042E-4</v>
      </c>
      <c r="L10" s="27">
        <f>L9/Balance_Sheet!L74</f>
        <v>6.2501596276854797E-4</v>
      </c>
    </row>
    <row r="11" spans="2:15" ht="18.75" x14ac:dyDescent="0.25">
      <c r="B11" s="8" t="s">
        <v>7</v>
      </c>
      <c r="C11" s="5">
        <v>54624.94</v>
      </c>
      <c r="D11" s="5">
        <f>Income_Statement!D55+C11</f>
        <v>59621.598687078891</v>
      </c>
      <c r="E11" s="5">
        <f>Income_Statement!E55+D11</f>
        <v>62348.608811716083</v>
      </c>
      <c r="F11" s="5">
        <f>Income_Statement!F55+E11</f>
        <v>65364.618139319529</v>
      </c>
      <c r="G11" s="5">
        <f>Income_Statement!G55+F11</f>
        <v>72075.62396319845</v>
      </c>
      <c r="H11" s="28">
        <f>H74-H9-H21-H33-H35</f>
        <v>97936.59592825998</v>
      </c>
      <c r="I11" s="28">
        <f t="shared" ref="I11:L11" si="5">I74-I9-I21-I33-I35</f>
        <v>109858.20149777463</v>
      </c>
      <c r="J11" s="28">
        <f t="shared" si="5"/>
        <v>121693.8576907797</v>
      </c>
      <c r="K11" s="28">
        <f t="shared" si="5"/>
        <v>135396.29175313233</v>
      </c>
      <c r="L11" s="28">
        <f t="shared" si="5"/>
        <v>149032.80124229379</v>
      </c>
    </row>
    <row r="12" spans="2:15" x14ac:dyDescent="0.25">
      <c r="B12" s="17" t="s">
        <v>206</v>
      </c>
      <c r="C12" s="18">
        <f>C11/Balance_Sheet!C74</f>
        <v>0.36952854464853424</v>
      </c>
      <c r="D12" s="18">
        <f>D11/Balance_Sheet!D74</f>
        <v>0.38472013646284475</v>
      </c>
      <c r="E12" s="18">
        <f>E11/Balance_Sheet!E74</f>
        <v>0.35877564512173304</v>
      </c>
      <c r="F12" s="18">
        <f>F11/Balance_Sheet!F74</f>
        <v>0.34629780918362407</v>
      </c>
      <c r="G12" s="18">
        <f>G11/Balance_Sheet!G74</f>
        <v>0.33188783281793249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54847.83</v>
      </c>
      <c r="D13" s="7">
        <f t="shared" ref="D13:L13" si="6">D9+D11</f>
        <v>59843.988687078891</v>
      </c>
      <c r="E13" s="7">
        <f t="shared" si="6"/>
        <v>62570.608811716083</v>
      </c>
      <c r="F13" s="7">
        <f t="shared" si="6"/>
        <v>65586.618139319529</v>
      </c>
      <c r="G13" s="7">
        <f t="shared" si="6"/>
        <v>72297.62396319845</v>
      </c>
      <c r="H13" s="29">
        <f t="shared" si="6"/>
        <v>98158.59592825998</v>
      </c>
      <c r="I13" s="29">
        <f t="shared" si="6"/>
        <v>110080.20149777463</v>
      </c>
      <c r="J13" s="29">
        <f t="shared" si="6"/>
        <v>121915.8576907797</v>
      </c>
      <c r="K13" s="29">
        <f t="shared" si="6"/>
        <v>135618.29175313233</v>
      </c>
      <c r="L13" s="29">
        <f t="shared" si="6"/>
        <v>149254.80124229379</v>
      </c>
    </row>
    <row r="14" spans="2:15" x14ac:dyDescent="0.25">
      <c r="B14" s="19" t="s">
        <v>207</v>
      </c>
      <c r="C14" s="20">
        <f>C13/Balance_Sheet!C74</f>
        <v>0.37103635806337204</v>
      </c>
      <c r="D14" s="20">
        <f>D13/Balance_Sheet!D74</f>
        <v>0.38615515184371396</v>
      </c>
      <c r="E14" s="20">
        <f>E13/Balance_Sheet!E74</f>
        <v>0.36005311056538952</v>
      </c>
      <c r="F14" s="20">
        <f>F13/Balance_Sheet!F74</f>
        <v>0.34747395180982138</v>
      </c>
      <c r="G14" s="20">
        <f>G13/Balance_Sheet!G74</f>
        <v>0.33291007993608718</v>
      </c>
      <c r="H14" s="27">
        <f>H13/Balance_Sheet!H74</f>
        <v>0.42021009494226935</v>
      </c>
      <c r="I14" s="27">
        <f>I13/Balance_Sheet!I74</f>
        <v>0.42021006954294199</v>
      </c>
      <c r="J14" s="27">
        <f>J13/Balance_Sheet!J74</f>
        <v>0.42021008352816963</v>
      </c>
      <c r="K14" s="27">
        <f>K13/Balance_Sheet!K74</f>
        <v>0.42021005187293226</v>
      </c>
      <c r="L14" s="27">
        <f>L13/Balance_Sheet!L74</f>
        <v>0.42021005989315552</v>
      </c>
    </row>
    <row r="15" spans="2:15" ht="18.75" x14ac:dyDescent="0.25">
      <c r="B15" s="8" t="s">
        <v>12</v>
      </c>
      <c r="C15" s="5">
        <v>47874.26</v>
      </c>
      <c r="D15" s="5">
        <v>48031.61</v>
      </c>
      <c r="E15" s="5">
        <v>58379</v>
      </c>
      <c r="F15" s="5">
        <v>58985</v>
      </c>
      <c r="G15" s="5">
        <v>51635</v>
      </c>
      <c r="H15" s="28">
        <f>ROUND(H74*H16,2)</f>
        <v>55540.39</v>
      </c>
      <c r="I15" s="28">
        <f t="shared" ref="I15:L15" si="7">ROUND(I74*I16,2)</f>
        <v>62285.919999999998</v>
      </c>
      <c r="J15" s="28">
        <f t="shared" si="7"/>
        <v>68982.8</v>
      </c>
      <c r="K15" s="28">
        <f t="shared" si="7"/>
        <v>76735.960000000006</v>
      </c>
      <c r="L15" s="28">
        <f t="shared" si="7"/>
        <v>84451.81</v>
      </c>
    </row>
    <row r="16" spans="2:15" x14ac:dyDescent="0.25">
      <c r="B16" s="17" t="s">
        <v>208</v>
      </c>
      <c r="C16" s="18">
        <f>C15/Balance_Sheet!C74</f>
        <v>0.32386132824906599</v>
      </c>
      <c r="D16" s="18">
        <f>D15/Balance_Sheet!D74</f>
        <v>0.3099334462786692</v>
      </c>
      <c r="E16" s="18">
        <f>E15/Balance_Sheet!E74</f>
        <v>0.33593313123974361</v>
      </c>
      <c r="F16" s="18">
        <f>F15/Balance_Sheet!F74</f>
        <v>0.31249897660472603</v>
      </c>
      <c r="G16" s="18">
        <f>G15/Balance_Sheet!G74</f>
        <v>0.23776454930593521</v>
      </c>
      <c r="H16" s="25">
        <f>G16</f>
        <v>0.23776454930593521</v>
      </c>
      <c r="I16" s="25">
        <f t="shared" ref="I16:L16" si="8">H16</f>
        <v>0.23776454930593521</v>
      </c>
      <c r="J16" s="25">
        <f t="shared" si="8"/>
        <v>0.23776454930593521</v>
      </c>
      <c r="K16" s="25">
        <f t="shared" si="8"/>
        <v>0.23776454930593521</v>
      </c>
      <c r="L16" s="25">
        <f t="shared" si="8"/>
        <v>0.23776454930593521</v>
      </c>
    </row>
    <row r="17" spans="2:12" ht="18.75" x14ac:dyDescent="0.25">
      <c r="B17" s="8" t="s">
        <v>13</v>
      </c>
      <c r="C17" s="5">
        <v>3867.21</v>
      </c>
      <c r="D17" s="5">
        <v>4453.47</v>
      </c>
      <c r="E17" s="5">
        <v>4671</v>
      </c>
      <c r="F17" s="5">
        <v>4493</v>
      </c>
      <c r="G17" s="5">
        <v>5631</v>
      </c>
      <c r="H17" s="28">
        <f>H74*H18</f>
        <v>6111.0611684465857</v>
      </c>
      <c r="I17" s="28">
        <f t="shared" ref="I17:L17" si="9">I74*I18</f>
        <v>6853.2651581611062</v>
      </c>
      <c r="J17" s="28">
        <f t="shared" si="9"/>
        <v>7590.1175739491373</v>
      </c>
      <c r="K17" s="28">
        <f t="shared" si="9"/>
        <v>8443.1908746342779</v>
      </c>
      <c r="L17" s="28">
        <f t="shared" si="9"/>
        <v>9292.1591586333689</v>
      </c>
    </row>
    <row r="18" spans="2:12" x14ac:dyDescent="0.25">
      <c r="B18" s="17" t="s">
        <v>209</v>
      </c>
      <c r="C18" s="18">
        <f>C17/Balance_Sheet!C74</f>
        <v>2.6161026138431603E-2</v>
      </c>
      <c r="D18" s="18">
        <f>D17/Balance_Sheet!D74</f>
        <v>2.8736894411798081E-2</v>
      </c>
      <c r="E18" s="18">
        <f>E17/Balance_Sheet!E74</f>
        <v>2.6878563456394292E-2</v>
      </c>
      <c r="F18" s="18">
        <f>F17/Balance_Sheet!F74</f>
        <v>2.3803643331101704E-2</v>
      </c>
      <c r="G18" s="18">
        <f>G17/Balance_Sheet!G74</f>
        <v>2.5929160010491354E-2</v>
      </c>
      <c r="H18" s="25">
        <f>MEDIAN(C18:G18)</f>
        <v>2.6161026138431603E-2</v>
      </c>
      <c r="I18" s="25">
        <f t="shared" ref="I18:L18" si="10">H18</f>
        <v>2.6161026138431603E-2</v>
      </c>
      <c r="J18" s="25">
        <f t="shared" si="10"/>
        <v>2.6161026138431603E-2</v>
      </c>
      <c r="K18" s="25">
        <f t="shared" si="10"/>
        <v>2.6161026138431603E-2</v>
      </c>
      <c r="L18" s="25">
        <f t="shared" si="10"/>
        <v>2.6161026138431603E-2</v>
      </c>
    </row>
    <row r="19" spans="2:12" ht="18.75" x14ac:dyDescent="0.25">
      <c r="B19" s="8" t="s">
        <v>18</v>
      </c>
      <c r="C19" s="5">
        <v>3398.16</v>
      </c>
      <c r="D19" s="5">
        <v>4225.7299999999996</v>
      </c>
      <c r="E19" s="5">
        <v>8717</v>
      </c>
      <c r="F19" s="5">
        <v>6029</v>
      </c>
      <c r="G19" s="5">
        <v>11600</v>
      </c>
      <c r="H19" s="28">
        <f>ROUND(H74*H20,2)</f>
        <v>12477.36</v>
      </c>
      <c r="I19" s="28">
        <f t="shared" ref="I19:L19" si="11">ROUND(I74*I20,2)</f>
        <v>13992.77</v>
      </c>
      <c r="J19" s="28">
        <f t="shared" si="11"/>
        <v>15497.25</v>
      </c>
      <c r="K19" s="28">
        <f t="shared" si="11"/>
        <v>17239.03</v>
      </c>
      <c r="L19" s="28">
        <f t="shared" si="11"/>
        <v>18972.419999999998</v>
      </c>
    </row>
    <row r="20" spans="2:12" x14ac:dyDescent="0.25">
      <c r="B20" s="17" t="s">
        <v>210</v>
      </c>
      <c r="C20" s="18">
        <f>C19/Balance_Sheet!C74</f>
        <v>2.2987981667034561E-2</v>
      </c>
      <c r="D20" s="18">
        <f>D19/Balance_Sheet!D74</f>
        <v>2.7267357099692486E-2</v>
      </c>
      <c r="E20" s="18">
        <f>E19/Balance_Sheet!E74</f>
        <v>5.016065888447635E-2</v>
      </c>
      <c r="F20" s="18">
        <f>F19/Balance_Sheet!F74</f>
        <v>3.1941278798845354E-2</v>
      </c>
      <c r="G20" s="18">
        <f>G19/Balance_Sheet!G74</f>
        <v>5.3414714281956974E-2</v>
      </c>
      <c r="H20" s="25">
        <f>G20</f>
        <v>5.3414714281956974E-2</v>
      </c>
      <c r="I20" s="25">
        <f t="shared" ref="I20:L20" si="12">H20</f>
        <v>5.3414714281956974E-2</v>
      </c>
      <c r="J20" s="25">
        <f t="shared" si="12"/>
        <v>5.3414714281956974E-2</v>
      </c>
      <c r="K20" s="25">
        <f t="shared" si="12"/>
        <v>5.3414714281956974E-2</v>
      </c>
      <c r="L20" s="25">
        <f t="shared" si="12"/>
        <v>5.3414714281956974E-2</v>
      </c>
    </row>
    <row r="21" spans="2:12" ht="18.75" x14ac:dyDescent="0.25">
      <c r="B21" s="9" t="s">
        <v>123</v>
      </c>
      <c r="C21" s="7">
        <f>C15+C17+C19</f>
        <v>55139.630000000005</v>
      </c>
      <c r="D21" s="7">
        <f t="shared" ref="D21:G21" si="13">D15+D17+D19</f>
        <v>56710.81</v>
      </c>
      <c r="E21" s="7">
        <f t="shared" si="13"/>
        <v>71767</v>
      </c>
      <c r="F21" s="7">
        <f t="shared" si="13"/>
        <v>69507</v>
      </c>
      <c r="G21" s="7">
        <f t="shared" si="13"/>
        <v>68866</v>
      </c>
      <c r="H21" s="29">
        <f>ROUND(H74*H22,2)</f>
        <v>74074.649999999994</v>
      </c>
      <c r="I21" s="29">
        <f t="shared" ref="I21:L21" si="14">ROUND(I74*I22,2)</f>
        <v>83071.210000000006</v>
      </c>
      <c r="J21" s="29">
        <f t="shared" si="14"/>
        <v>92002.9</v>
      </c>
      <c r="K21" s="29">
        <f t="shared" si="14"/>
        <v>102343.35</v>
      </c>
      <c r="L21" s="29">
        <f t="shared" si="14"/>
        <v>112634.04</v>
      </c>
    </row>
    <row r="22" spans="2:12" x14ac:dyDescent="0.25">
      <c r="B22" s="19" t="s">
        <v>211</v>
      </c>
      <c r="C22" s="20">
        <f>C21/Balance_Sheet!C74</f>
        <v>0.37301033605453221</v>
      </c>
      <c r="D22" s="20">
        <f>D21/Balance_Sheet!D74</f>
        <v>0.36593769779015972</v>
      </c>
      <c r="E22" s="20">
        <f>E21/Balance_Sheet!E74</f>
        <v>0.41297235358061424</v>
      </c>
      <c r="F22" s="20">
        <f>F21/Balance_Sheet!F74</f>
        <v>0.36824389873467311</v>
      </c>
      <c r="G22" s="20">
        <f>G21/Balance_Sheet!G74</f>
        <v>0.31710842359838354</v>
      </c>
      <c r="H22" s="27">
        <f>G22</f>
        <v>0.31710842359838354</v>
      </c>
      <c r="I22" s="27">
        <f t="shared" ref="I22:L22" si="15">H22</f>
        <v>0.31710842359838354</v>
      </c>
      <c r="J22" s="27">
        <f t="shared" si="15"/>
        <v>0.31710842359838354</v>
      </c>
      <c r="K22" s="27">
        <f t="shared" si="15"/>
        <v>0.31710842359838354</v>
      </c>
      <c r="L22" s="27">
        <f t="shared" si="15"/>
        <v>0.31710842359838354</v>
      </c>
    </row>
    <row r="23" spans="2:12" ht="18.75" x14ac:dyDescent="0.25">
      <c r="B23" s="8" t="s">
        <v>15</v>
      </c>
      <c r="C23" s="5">
        <v>7081.05</v>
      </c>
      <c r="D23" s="5">
        <v>7440.11</v>
      </c>
      <c r="E23" s="5">
        <v>8337</v>
      </c>
      <c r="F23" s="5">
        <v>8146</v>
      </c>
      <c r="G23" s="5">
        <v>6848</v>
      </c>
      <c r="H23" s="28">
        <f>H74*H24</f>
        <v>11189.650855999207</v>
      </c>
      <c r="I23" s="28">
        <f t="shared" ref="I23:L23" si="16">I74*I24</f>
        <v>12548.662536608226</v>
      </c>
      <c r="J23" s="28">
        <f t="shared" si="16"/>
        <v>13897.875224519106</v>
      </c>
      <c r="K23" s="28">
        <f t="shared" si="16"/>
        <v>15459.894017348179</v>
      </c>
      <c r="L23" s="28">
        <f t="shared" si="16"/>
        <v>17014.396324544261</v>
      </c>
    </row>
    <row r="24" spans="2:12" x14ac:dyDescent="0.25">
      <c r="B24" s="17" t="s">
        <v>212</v>
      </c>
      <c r="C24" s="18">
        <f>C23/Balance_Sheet!C74</f>
        <v>4.7902113962660704E-2</v>
      </c>
      <c r="D24" s="18">
        <f>D23/Balance_Sheet!D74</f>
        <v>4.8008778656230537E-2</v>
      </c>
      <c r="E24" s="18">
        <f>E23/Balance_Sheet!E74</f>
        <v>4.7974006323262514E-2</v>
      </c>
      <c r="F24" s="18">
        <f>F23/Balance_Sheet!F74</f>
        <v>4.3157017265781104E-2</v>
      </c>
      <c r="G24" s="18">
        <f>G23/Balance_Sheet!G74</f>
        <v>3.1533100293348396E-2</v>
      </c>
      <c r="H24" s="25">
        <f>MEDIAN(C24:G24)</f>
        <v>4.7902113962660704E-2</v>
      </c>
      <c r="I24" s="25">
        <f t="shared" ref="I24:L24" si="17">H24</f>
        <v>4.7902113962660704E-2</v>
      </c>
      <c r="J24" s="25">
        <f t="shared" si="17"/>
        <v>4.7902113962660704E-2</v>
      </c>
      <c r="K24" s="25">
        <f t="shared" si="17"/>
        <v>4.7902113962660704E-2</v>
      </c>
      <c r="L24" s="25">
        <f t="shared" si="17"/>
        <v>4.7902113962660704E-2</v>
      </c>
    </row>
    <row r="25" spans="2:12" ht="18.75" x14ac:dyDescent="0.25">
      <c r="B25" s="8" t="s">
        <v>21</v>
      </c>
      <c r="C25" s="5">
        <v>1872.44</v>
      </c>
      <c r="D25" s="5">
        <v>1978.08</v>
      </c>
      <c r="E25" s="5">
        <v>2211</v>
      </c>
      <c r="F25" s="5">
        <v>2610</v>
      </c>
      <c r="G25" s="5">
        <v>2841</v>
      </c>
      <c r="H25" s="28">
        <f>H74*H26</f>
        <v>2981.5837246851174</v>
      </c>
      <c r="I25" s="28">
        <f t="shared" ref="I25:L25" si="18">I74*I26</f>
        <v>3343.7046845529921</v>
      </c>
      <c r="J25" s="28">
        <f t="shared" si="18"/>
        <v>3703.2146141462795</v>
      </c>
      <c r="K25" s="28">
        <f t="shared" si="18"/>
        <v>4119.4286560575601</v>
      </c>
      <c r="L25" s="28">
        <f t="shared" si="18"/>
        <v>4533.6398623559562</v>
      </c>
    </row>
    <row r="26" spans="2:12" x14ac:dyDescent="0.25">
      <c r="B26" s="17" t="s">
        <v>213</v>
      </c>
      <c r="C26" s="18">
        <f>C25/Balance_Sheet!C74</f>
        <v>1.2666742117093427E-2</v>
      </c>
      <c r="D26" s="18">
        <f>D25/Balance_Sheet!D74</f>
        <v>1.2763951727100339E-2</v>
      </c>
      <c r="E26" s="18">
        <f>E25/Balance_Sheet!E74</f>
        <v>1.2722865296957349E-2</v>
      </c>
      <c r="F26" s="18">
        <f>F25/Balance_Sheet!F74</f>
        <v>1.382762276745503E-2</v>
      </c>
      <c r="G26" s="18">
        <f>G25/Balance_Sheet!G74</f>
        <v>1.3082000282331014E-2</v>
      </c>
      <c r="H26" s="25">
        <f>MEDIAN(C26:G26)</f>
        <v>1.2763951727100339E-2</v>
      </c>
      <c r="I26" s="25">
        <f t="shared" ref="I26:L26" si="19">H26</f>
        <v>1.2763951727100339E-2</v>
      </c>
      <c r="J26" s="25">
        <f t="shared" si="19"/>
        <v>1.2763951727100339E-2</v>
      </c>
      <c r="K26" s="25">
        <f t="shared" si="19"/>
        <v>1.2763951727100339E-2</v>
      </c>
      <c r="L26" s="25">
        <f t="shared" si="19"/>
        <v>1.2763951727100339E-2</v>
      </c>
    </row>
    <row r="27" spans="2:12" ht="18.75" x14ac:dyDescent="0.25">
      <c r="B27" s="8" t="s">
        <v>14</v>
      </c>
      <c r="C27" s="5">
        <v>1383.67</v>
      </c>
      <c r="D27" s="5">
        <v>1456.36</v>
      </c>
      <c r="E27" s="5">
        <v>2597</v>
      </c>
      <c r="F27" s="5">
        <v>3039</v>
      </c>
      <c r="G27" s="5">
        <v>3473</v>
      </c>
      <c r="H27" s="28">
        <f>ROUND(H74*H28,2)</f>
        <v>3735.68</v>
      </c>
      <c r="I27" s="28">
        <f t="shared" ref="I27:L27" si="20">ROUND(I74*I28,2)</f>
        <v>4189.3900000000003</v>
      </c>
      <c r="J27" s="28">
        <f t="shared" si="20"/>
        <v>4639.82</v>
      </c>
      <c r="K27" s="28">
        <f t="shared" si="20"/>
        <v>5161.3100000000004</v>
      </c>
      <c r="L27" s="28">
        <f t="shared" si="20"/>
        <v>5680.28</v>
      </c>
    </row>
    <row r="28" spans="2:12" x14ac:dyDescent="0.25">
      <c r="B28" s="17" t="s">
        <v>214</v>
      </c>
      <c r="C28" s="18">
        <f>C27/Balance_Sheet!C74</f>
        <v>9.3602951577399871E-3</v>
      </c>
      <c r="D28" s="18">
        <f>D27/Balance_Sheet!D74</f>
        <v>9.3974504253012264E-3</v>
      </c>
      <c r="E28" s="18">
        <f>E27/Balance_Sheet!E74</f>
        <v>1.4944043951242983E-2</v>
      </c>
      <c r="F28" s="18">
        <f>F27/Balance_Sheet!F74</f>
        <v>1.6100438923484995E-2</v>
      </c>
      <c r="G28" s="18">
        <f>G27/Balance_Sheet!G74</f>
        <v>1.5992181267347982E-2</v>
      </c>
      <c r="H28" s="25">
        <f>G28</f>
        <v>1.5992181267347982E-2</v>
      </c>
      <c r="I28" s="25">
        <f t="shared" ref="I28:L28" si="21">H28</f>
        <v>1.5992181267347982E-2</v>
      </c>
      <c r="J28" s="25">
        <f t="shared" si="21"/>
        <v>1.5992181267347982E-2</v>
      </c>
      <c r="K28" s="25">
        <f t="shared" si="21"/>
        <v>1.5992181267347982E-2</v>
      </c>
      <c r="L28" s="25">
        <f t="shared" si="21"/>
        <v>1.5992181267347982E-2</v>
      </c>
    </row>
    <row r="29" spans="2:12" ht="18.75" x14ac:dyDescent="0.25">
      <c r="B29" s="8" t="s">
        <v>19</v>
      </c>
      <c r="C29" s="5">
        <v>20404.8</v>
      </c>
      <c r="D29" s="5">
        <v>20722.849999999999</v>
      </c>
      <c r="E29" s="5">
        <v>18300</v>
      </c>
      <c r="F29" s="5">
        <v>28280</v>
      </c>
      <c r="G29" s="5">
        <v>41382</v>
      </c>
      <c r="H29" s="28">
        <f>H74*H30</f>
        <v>32244.171102660286</v>
      </c>
      <c r="I29" s="28">
        <f t="shared" ref="I29:L29" si="22">I74*I30</f>
        <v>36160.308051345994</v>
      </c>
      <c r="J29" s="28">
        <f t="shared" si="22"/>
        <v>40048.20815857358</v>
      </c>
      <c r="K29" s="28">
        <f t="shared" si="22"/>
        <v>44549.331729783873</v>
      </c>
      <c r="L29" s="28">
        <f t="shared" si="22"/>
        <v>49028.795746825788</v>
      </c>
    </row>
    <row r="30" spans="2:12" x14ac:dyDescent="0.25">
      <c r="B30" s="17" t="s">
        <v>215</v>
      </c>
      <c r="C30" s="18">
        <f>C29/Balance_Sheet!C74</f>
        <v>0.13803504494182348</v>
      </c>
      <c r="D30" s="18">
        <f>D29/Balance_Sheet!D74</f>
        <v>0.1337182808824422</v>
      </c>
      <c r="E30" s="18">
        <f>E29/Balance_Sheet!E74</f>
        <v>0.10530458386898213</v>
      </c>
      <c r="F30" s="18">
        <f>F29/Balance_Sheet!F74</f>
        <v>0.14982573634621771</v>
      </c>
      <c r="G30" s="18">
        <f>G29/Balance_Sheet!G74</f>
        <v>0.19055238848413306</v>
      </c>
      <c r="H30" s="25">
        <f>MEDIAN(C30:G30)</f>
        <v>0.13803504494182348</v>
      </c>
      <c r="I30" s="25">
        <f t="shared" ref="I30:L30" si="23">H30</f>
        <v>0.13803504494182348</v>
      </c>
      <c r="J30" s="25">
        <f t="shared" si="23"/>
        <v>0.13803504494182348</v>
      </c>
      <c r="K30" s="25">
        <f t="shared" si="23"/>
        <v>0.13803504494182348</v>
      </c>
      <c r="L30" s="25">
        <f t="shared" si="23"/>
        <v>0.13803504494182348</v>
      </c>
    </row>
    <row r="31" spans="2:12" ht="18.75" x14ac:dyDescent="0.25">
      <c r="B31" s="8" t="s">
        <v>20</v>
      </c>
      <c r="C31" s="5">
        <v>7085.27</v>
      </c>
      <c r="D31" s="5">
        <v>6812.27</v>
      </c>
      <c r="E31" s="5">
        <v>7989</v>
      </c>
      <c r="F31" s="5">
        <v>11574</v>
      </c>
      <c r="G31" s="5">
        <v>21450</v>
      </c>
      <c r="H31" s="28">
        <f>H74*H32</f>
        <v>11196.319404676637</v>
      </c>
      <c r="I31" s="28">
        <f t="shared" ref="I31:L31" si="24">I74*I32</f>
        <v>12556.140997557448</v>
      </c>
      <c r="J31" s="28">
        <f t="shared" si="24"/>
        <v>13906.157757963649</v>
      </c>
      <c r="K31" s="28">
        <f t="shared" si="24"/>
        <v>15469.107446536394</v>
      </c>
      <c r="L31" s="28">
        <f t="shared" si="24"/>
        <v>17024.536169975319</v>
      </c>
    </row>
    <row r="32" spans="2:12" x14ac:dyDescent="0.25">
      <c r="B32" s="17" t="s">
        <v>216</v>
      </c>
      <c r="C32" s="18">
        <f>C31/Balance_Sheet!C74</f>
        <v>4.793066155389681E-2</v>
      </c>
      <c r="D32" s="18">
        <f>D31/Balance_Sheet!D74</f>
        <v>4.3957517103440626E-2</v>
      </c>
      <c r="E32" s="18">
        <f>E31/Balance_Sheet!E74</f>
        <v>4.5971492925098265E-2</v>
      </c>
      <c r="F32" s="18">
        <f>F31/Balance_Sheet!F74</f>
        <v>6.1318354754990236E-2</v>
      </c>
      <c r="G32" s="18">
        <f>G31/Balance_Sheet!G74</f>
        <v>9.8771174254135952E-2</v>
      </c>
      <c r="H32" s="25">
        <f>MEDIAN(C32:G32)</f>
        <v>4.793066155389681E-2</v>
      </c>
      <c r="I32" s="25">
        <f t="shared" ref="I32:L32" si="25">H32</f>
        <v>4.793066155389681E-2</v>
      </c>
      <c r="J32" s="25">
        <f t="shared" si="25"/>
        <v>4.793066155389681E-2</v>
      </c>
      <c r="K32" s="25">
        <f t="shared" si="25"/>
        <v>4.793066155389681E-2</v>
      </c>
      <c r="L32" s="25">
        <f t="shared" si="25"/>
        <v>4.793066155389681E-2</v>
      </c>
    </row>
    <row r="33" spans="2:12" ht="18.75" x14ac:dyDescent="0.25">
      <c r="B33" s="9" t="s">
        <v>22</v>
      </c>
      <c r="C33" s="7">
        <f>C23+C25+C27+C29+C31</f>
        <v>37827.229999999996</v>
      </c>
      <c r="D33" s="7">
        <f t="shared" ref="D33:L33" si="26">D23+D25+D27+D29+D31</f>
        <v>38409.67</v>
      </c>
      <c r="E33" s="7">
        <f t="shared" si="26"/>
        <v>39434</v>
      </c>
      <c r="F33" s="7">
        <f t="shared" si="26"/>
        <v>53649</v>
      </c>
      <c r="G33" s="7">
        <f t="shared" si="26"/>
        <v>75994</v>
      </c>
      <c r="H33" s="29">
        <f t="shared" si="26"/>
        <v>61347.405088021245</v>
      </c>
      <c r="I33" s="29">
        <f t="shared" si="26"/>
        <v>68798.206270064664</v>
      </c>
      <c r="J33" s="29">
        <f t="shared" si="26"/>
        <v>76195.275755202616</v>
      </c>
      <c r="K33" s="29">
        <f t="shared" si="26"/>
        <v>84759.07184972601</v>
      </c>
      <c r="L33" s="29">
        <f t="shared" si="26"/>
        <v>93281.648103701329</v>
      </c>
    </row>
    <row r="34" spans="2:12" x14ac:dyDescent="0.25">
      <c r="B34" s="19" t="s">
        <v>217</v>
      </c>
      <c r="C34" s="20">
        <f>C33/Balance_Sheet!C74</f>
        <v>0.25589485773321435</v>
      </c>
      <c r="D34" s="20">
        <f>D33/Balance_Sheet!D74</f>
        <v>0.24784597879451492</v>
      </c>
      <c r="E34" s="20">
        <f>E33/Balance_Sheet!E74</f>
        <v>0.22691699236554325</v>
      </c>
      <c r="F34" s="20">
        <f>F33/Balance_Sheet!F74</f>
        <v>0.28422917005792908</v>
      </c>
      <c r="G34" s="20">
        <f>G33/Balance_Sheet!G74</f>
        <v>0.34993084458129642</v>
      </c>
      <c r="H34" s="27">
        <f>H33/Balance_Sheet!H74</f>
        <v>0.26262395741010713</v>
      </c>
      <c r="I34" s="27">
        <f>I33/Balance_Sheet!I74</f>
        <v>0.26262396550716688</v>
      </c>
      <c r="J34" s="27">
        <f>J33/Balance_Sheet!J74</f>
        <v>0.26262394241407272</v>
      </c>
      <c r="K34" s="27">
        <f>K33/Balance_Sheet!K74</f>
        <v>0.26262396847991809</v>
      </c>
      <c r="L34" s="27">
        <f>L33/Balance_Sheet!L74</f>
        <v>0.2626239599016747</v>
      </c>
    </row>
    <row r="35" spans="2:12" ht="18.75" x14ac:dyDescent="0.25">
      <c r="B35" s="8" t="s">
        <v>10</v>
      </c>
      <c r="C35" s="4">
        <v>8.64</v>
      </c>
      <c r="D35" s="4">
        <v>9.48</v>
      </c>
      <c r="E35" s="4">
        <v>10</v>
      </c>
      <c r="F35" s="4">
        <v>10</v>
      </c>
      <c r="G35" s="4">
        <v>11</v>
      </c>
      <c r="H35" s="24">
        <f>H74*H36</f>
        <v>13.441818983754075</v>
      </c>
      <c r="I35" s="24">
        <f t="shared" ref="I35:L35" si="27">I74*I36</f>
        <v>15.074362236679601</v>
      </c>
      <c r="J35" s="24">
        <f t="shared" si="27"/>
        <v>16.695134229914672</v>
      </c>
      <c r="K35" s="24">
        <f t="shared" si="27"/>
        <v>18.571544328195213</v>
      </c>
      <c r="L35" s="24">
        <f t="shared" si="27"/>
        <v>20.438925079575409</v>
      </c>
    </row>
    <row r="36" spans="2:12" x14ac:dyDescent="0.25">
      <c r="B36" s="17" t="s">
        <v>218</v>
      </c>
      <c r="C36" s="18">
        <f>C35/Balance_Sheet!C74</f>
        <v>5.8448148881506062E-5</v>
      </c>
      <c r="D36" s="18">
        <f>D35/Balance_Sheet!D74</f>
        <v>6.1171571611315628E-5</v>
      </c>
      <c r="E36" s="18">
        <f>E35/Balance_Sheet!E74</f>
        <v>5.7543488452995696E-5</v>
      </c>
      <c r="F36" s="18">
        <f>F35/Balance_Sheet!F74</f>
        <v>5.2979397576456053E-5</v>
      </c>
      <c r="G36" s="18">
        <f>G35/Balance_Sheet!G74</f>
        <v>5.0651884232890237E-5</v>
      </c>
      <c r="H36" s="25">
        <f>MEDIAN(C36:G36)</f>
        <v>5.7543488452995696E-5</v>
      </c>
      <c r="I36" s="25">
        <f t="shared" ref="I36:L36" si="28">H36</f>
        <v>5.7543488452995696E-5</v>
      </c>
      <c r="J36" s="25">
        <f t="shared" si="28"/>
        <v>5.7543488452995696E-5</v>
      </c>
      <c r="K36" s="25">
        <f t="shared" si="28"/>
        <v>5.7543488452995696E-5</v>
      </c>
      <c r="L36" s="25">
        <f t="shared" si="28"/>
        <v>5.7543488452995696E-5</v>
      </c>
    </row>
    <row r="37" spans="2:12" ht="18.75" x14ac:dyDescent="0.25">
      <c r="B37" s="9" t="s">
        <v>124</v>
      </c>
      <c r="C37" s="7">
        <f>C13+C21+C33+C35</f>
        <v>147823.33000000002</v>
      </c>
      <c r="D37" s="7">
        <f t="shared" ref="D37:L37" si="29">D13+D21+D33+D35</f>
        <v>154973.9486870789</v>
      </c>
      <c r="E37" s="7">
        <f t="shared" si="29"/>
        <v>173781.60881171608</v>
      </c>
      <c r="F37" s="7">
        <f t="shared" si="29"/>
        <v>188752.61813931953</v>
      </c>
      <c r="G37" s="7">
        <f t="shared" si="29"/>
        <v>217168.62396319845</v>
      </c>
      <c r="H37" s="29">
        <f t="shared" si="29"/>
        <v>233594.09283526498</v>
      </c>
      <c r="I37" s="29">
        <f t="shared" si="29"/>
        <v>261964.692130076</v>
      </c>
      <c r="J37" s="29">
        <f t="shared" si="29"/>
        <v>290130.72858021222</v>
      </c>
      <c r="K37" s="29">
        <f t="shared" si="29"/>
        <v>322739.28514718654</v>
      </c>
      <c r="L37" s="29">
        <f t="shared" si="29"/>
        <v>355190.92827107472</v>
      </c>
    </row>
    <row r="38" spans="2:12" x14ac:dyDescent="0.25">
      <c r="B38" s="19" t="s">
        <v>219</v>
      </c>
      <c r="C38" s="20">
        <f>C37/Balance_Sheet!C74</f>
        <v>1.0000000000000002</v>
      </c>
      <c r="D38" s="20">
        <f>D37/Balance_Sheet!D74</f>
        <v>1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7">
        <f>H37/Balance_Sheet!H74</f>
        <v>1</v>
      </c>
      <c r="I38" s="27">
        <f>I37/Balance_Sheet!I74</f>
        <v>1</v>
      </c>
      <c r="J38" s="27">
        <f>J37/Balance_Sheet!J74</f>
        <v>1</v>
      </c>
      <c r="K38" s="27">
        <f>K37/Balance_Sheet!K74</f>
        <v>1</v>
      </c>
      <c r="L38" s="27">
        <f>L37/Balance_Sheet!L74</f>
        <v>1.0000000000000002</v>
      </c>
    </row>
    <row r="39" spans="2:12" ht="18.75" x14ac:dyDescent="0.25">
      <c r="B39" s="8"/>
      <c r="C39" s="5"/>
      <c r="D39" s="4"/>
      <c r="E39" s="4"/>
      <c r="F39" s="4"/>
      <c r="G39" s="4"/>
      <c r="H39" s="24"/>
      <c r="I39" s="24"/>
      <c r="J39" s="24"/>
      <c r="K39" s="24"/>
      <c r="L39" s="24"/>
    </row>
    <row r="40" spans="2:12" ht="18.75" x14ac:dyDescent="0.25">
      <c r="B40" s="8" t="s">
        <v>26</v>
      </c>
      <c r="C40" s="5">
        <v>63910.31</v>
      </c>
      <c r="D40" s="5">
        <v>64208.08</v>
      </c>
      <c r="E40" s="5">
        <v>66089</v>
      </c>
      <c r="F40" s="5">
        <v>70870</v>
      </c>
      <c r="G40" s="5">
        <v>87854</v>
      </c>
      <c r="H40" s="28">
        <f>ROUND(H74*H41,2)</f>
        <v>94498.8</v>
      </c>
      <c r="I40" s="28">
        <f t="shared" ref="I40:L40" si="30">ROUND(I74*I41,2)</f>
        <v>105975.93</v>
      </c>
      <c r="J40" s="28">
        <f t="shared" si="30"/>
        <v>117370.29</v>
      </c>
      <c r="K40" s="28">
        <f t="shared" si="30"/>
        <v>130561.85</v>
      </c>
      <c r="L40" s="28">
        <f t="shared" si="30"/>
        <v>143689.93</v>
      </c>
    </row>
    <row r="41" spans="2:12" x14ac:dyDescent="0.25">
      <c r="B41" s="17" t="s">
        <v>220</v>
      </c>
      <c r="C41" s="18">
        <f>C40/Balance_Sheet!C74</f>
        <v>0.43234251318787098</v>
      </c>
      <c r="D41" s="18">
        <f>D40/Balance_Sheet!D74</f>
        <v>0.41431531263133786</v>
      </c>
      <c r="E41" s="18">
        <f>E40/Balance_Sheet!E74</f>
        <v>0.38029916083700327</v>
      </c>
      <c r="F41" s="18">
        <f>F40/Balance_Sheet!F74</f>
        <v>0.37546499062434407</v>
      </c>
      <c r="G41" s="18">
        <f>G40/Balance_Sheet!G74</f>
        <v>0.40454278521784898</v>
      </c>
      <c r="H41" s="25">
        <f>G41</f>
        <v>0.40454278521784898</v>
      </c>
      <c r="I41" s="25">
        <f t="shared" ref="I41:L41" si="31">H41</f>
        <v>0.40454278521784898</v>
      </c>
      <c r="J41" s="25">
        <f t="shared" si="31"/>
        <v>0.40454278521784898</v>
      </c>
      <c r="K41" s="25">
        <f t="shared" si="31"/>
        <v>0.40454278521784898</v>
      </c>
      <c r="L41" s="25">
        <f t="shared" si="31"/>
        <v>0.40454278521784898</v>
      </c>
    </row>
    <row r="42" spans="2:12" ht="18.75" x14ac:dyDescent="0.25">
      <c r="B42" s="8" t="s">
        <v>27</v>
      </c>
      <c r="C42" s="4">
        <v>3348.68</v>
      </c>
      <c r="D42" s="5">
        <v>3076.53</v>
      </c>
      <c r="E42" s="5">
        <v>3008</v>
      </c>
      <c r="F42" s="5">
        <v>6082</v>
      </c>
      <c r="G42" s="5">
        <v>0</v>
      </c>
      <c r="H42" s="28">
        <f>ROUND(H74*H43,2)</f>
        <v>0</v>
      </c>
      <c r="I42" s="28">
        <f t="shared" ref="I42:L42" si="32">ROUND(I74*I43,2)</f>
        <v>0</v>
      </c>
      <c r="J42" s="28">
        <f t="shared" si="32"/>
        <v>0</v>
      </c>
      <c r="K42" s="28">
        <f t="shared" si="32"/>
        <v>0</v>
      </c>
      <c r="L42" s="28">
        <f t="shared" si="32"/>
        <v>0</v>
      </c>
    </row>
    <row r="43" spans="2:12" x14ac:dyDescent="0.25">
      <c r="B43" s="17" t="s">
        <v>221</v>
      </c>
      <c r="C43" s="18">
        <f>C42/Balance_Sheet!C74</f>
        <v>2.2653257777375195E-2</v>
      </c>
      <c r="D43" s="18">
        <f>D42/Balance_Sheet!D74</f>
        <v>1.9851917216177309E-2</v>
      </c>
      <c r="E43" s="18">
        <f>E42/Balance_Sheet!E74</f>
        <v>1.7309081326661105E-2</v>
      </c>
      <c r="F43" s="18">
        <f>F42/Balance_Sheet!F74</f>
        <v>3.2222069606000575E-2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4776.9799999999996</v>
      </c>
      <c r="E44" s="5">
        <f>Income_Statement!E31+D44</f>
        <v>9867.98</v>
      </c>
      <c r="F44" s="5">
        <f>Income_Statement!F31+E44</f>
        <v>16495.98</v>
      </c>
      <c r="G44" s="5">
        <f>Income_Statement!G31+F44</f>
        <v>23224.98</v>
      </c>
      <c r="H44" s="28">
        <f>Income_Statement!H31+G44</f>
        <v>30462.925058847632</v>
      </c>
      <c r="I44" s="28">
        <f>Income_Statement!I31+H44</f>
        <v>38579.937750017067</v>
      </c>
      <c r="J44" s="28">
        <f>Income_Statement!J31+I44</f>
        <v>47569.678472238025</v>
      </c>
      <c r="K44" s="28">
        <f>Income_Statement!K31+J44</f>
        <v>57569.80013602112</v>
      </c>
      <c r="L44" s="28">
        <f>Income_Statement!L31+K44</f>
        <v>68575.440618753841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3.0824406556521359E-2</v>
      </c>
      <c r="E45" s="18">
        <f>E44/Balance_Sheet!E74</f>
        <v>5.678379931843925E-2</v>
      </c>
      <c r="F45" s="18">
        <f>F44/Balance_Sheet!F74</f>
        <v>8.7394708283326752E-2</v>
      </c>
      <c r="G45" s="18">
        <f>G44/Balance_Sheet!G74</f>
        <v>0.10694445438829009</v>
      </c>
      <c r="H45" s="25">
        <f>H44/Balance_Sheet!H74</f>
        <v>0.13040965500925861</v>
      </c>
      <c r="I45" s="25">
        <f>I44/Balance_Sheet!I74</f>
        <v>0.14727151753283063</v>
      </c>
      <c r="J45" s="25">
        <f>J44/Balance_Sheet!J74</f>
        <v>0.16395946304972819</v>
      </c>
      <c r="K45" s="25">
        <f>K44/Balance_Sheet!K74</f>
        <v>0.17837865666017752</v>
      </c>
      <c r="L45" s="25">
        <f>L44/Balance_Sheet!L74</f>
        <v>0.19306641910183706</v>
      </c>
    </row>
    <row r="46" spans="2:12" ht="18.75" x14ac:dyDescent="0.25">
      <c r="B46" s="9" t="s">
        <v>126</v>
      </c>
      <c r="C46" s="7">
        <f>C40+C42-C44</f>
        <v>67258.989999999991</v>
      </c>
      <c r="D46" s="7">
        <f t="shared" ref="D46:L46" si="34">D40+D42-D44</f>
        <v>62507.630000000005</v>
      </c>
      <c r="E46" s="7">
        <f t="shared" si="34"/>
        <v>59229.020000000004</v>
      </c>
      <c r="F46" s="7">
        <f t="shared" si="34"/>
        <v>60456.020000000004</v>
      </c>
      <c r="G46" s="7">
        <f t="shared" si="34"/>
        <v>64629.020000000004</v>
      </c>
      <c r="H46" s="29">
        <f t="shared" si="34"/>
        <v>64035.874941152375</v>
      </c>
      <c r="I46" s="29">
        <f t="shared" si="34"/>
        <v>67395.992249982926</v>
      </c>
      <c r="J46" s="29">
        <f t="shared" si="34"/>
        <v>69800.611527761968</v>
      </c>
      <c r="K46" s="29">
        <f t="shared" si="34"/>
        <v>72992.049863978886</v>
      </c>
      <c r="L46" s="29">
        <f t="shared" si="34"/>
        <v>75114.489381246152</v>
      </c>
    </row>
    <row r="47" spans="2:12" x14ac:dyDescent="0.25">
      <c r="B47" s="19" t="s">
        <v>223</v>
      </c>
      <c r="C47" s="20">
        <f>C46/Balance_Sheet!C74</f>
        <v>0.45499577096524613</v>
      </c>
      <c r="D47" s="20">
        <f>D46/Balance_Sheet!D74</f>
        <v>0.4033428232909938</v>
      </c>
      <c r="E47" s="20">
        <f>E46/Balance_Sheet!E74</f>
        <v>0.34082444284522517</v>
      </c>
      <c r="F47" s="20">
        <f>F46/Balance_Sheet!F74</f>
        <v>0.32029235194701788</v>
      </c>
      <c r="G47" s="20">
        <f>G46/Balance_Sheet!G74</f>
        <v>0.29759833082955889</v>
      </c>
      <c r="H47" s="27">
        <f>H46/Balance_Sheet!H74</f>
        <v>0.27413310912066469</v>
      </c>
      <c r="I47" s="27">
        <f>I46/Balance_Sheet!I74</f>
        <v>0.25727128225554191</v>
      </c>
      <c r="J47" s="27">
        <f>J46/Balance_Sheet!J74</f>
        <v>0.24058331176893677</v>
      </c>
      <c r="K47" s="27">
        <f>K46/Balance_Sheet!K74</f>
        <v>0.22616413068737687</v>
      </c>
      <c r="L47" s="27">
        <f>L46/Balance_Sheet!L74</f>
        <v>0.21147637341661008</v>
      </c>
    </row>
    <row r="48" spans="2:12" ht="18.75" x14ac:dyDescent="0.25">
      <c r="B48" s="8" t="s">
        <v>30</v>
      </c>
      <c r="C48" s="5">
        <v>6877.83</v>
      </c>
      <c r="D48" s="5">
        <v>5156.7</v>
      </c>
      <c r="E48" s="5">
        <v>3132</v>
      </c>
      <c r="F48" s="5">
        <v>7716</v>
      </c>
      <c r="G48" s="5">
        <v>8667</v>
      </c>
      <c r="H48" s="28">
        <f>H74*H49</f>
        <v>9322.525352218121</v>
      </c>
      <c r="I48" s="28">
        <f t="shared" ref="I48:L48" si="35">I74*I49</f>
        <v>10454.769870789993</v>
      </c>
      <c r="J48" s="28">
        <f t="shared" si="35"/>
        <v>11578.850474416686</v>
      </c>
      <c r="K48" s="28">
        <f t="shared" si="35"/>
        <v>12880.227969048963</v>
      </c>
      <c r="L48" s="28">
        <f t="shared" si="35"/>
        <v>14175.343192518816</v>
      </c>
    </row>
    <row r="49" spans="2:12" x14ac:dyDescent="0.25">
      <c r="B49" s="17" t="s">
        <v>224</v>
      </c>
      <c r="C49" s="18">
        <f>C48/Balance_Sheet!C74</f>
        <v>4.6527364794176941E-2</v>
      </c>
      <c r="D49" s="18">
        <f>D48/Balance_Sheet!D74</f>
        <v>3.327462482363621E-2</v>
      </c>
      <c r="E49" s="18">
        <f>E48/Balance_Sheet!E74</f>
        <v>1.8022620583478251E-2</v>
      </c>
      <c r="F49" s="18">
        <f>F48/Balance_Sheet!F74</f>
        <v>4.0878903169993493E-2</v>
      </c>
      <c r="G49" s="18">
        <f>G48/Balance_Sheet!G74</f>
        <v>3.9909080058769059E-2</v>
      </c>
      <c r="H49" s="25">
        <f>MEDIAN(C49:G49)</f>
        <v>3.9909080058769059E-2</v>
      </c>
      <c r="I49" s="25">
        <f t="shared" ref="I49:L49" si="36">H49</f>
        <v>3.9909080058769059E-2</v>
      </c>
      <c r="J49" s="25">
        <f t="shared" si="36"/>
        <v>3.9909080058769059E-2</v>
      </c>
      <c r="K49" s="25">
        <f t="shared" si="36"/>
        <v>3.9909080058769059E-2</v>
      </c>
      <c r="L49" s="25">
        <f t="shared" si="36"/>
        <v>3.9909080058769059E-2</v>
      </c>
    </row>
    <row r="50" spans="2:12" ht="18.75" x14ac:dyDescent="0.25">
      <c r="B50" s="8" t="s">
        <v>36</v>
      </c>
      <c r="C50" s="5">
        <v>3903.48</v>
      </c>
      <c r="D50" s="5">
        <v>3855.31</v>
      </c>
      <c r="E50" s="5">
        <v>6279</v>
      </c>
      <c r="F50" s="5">
        <v>9417</v>
      </c>
      <c r="G50" s="5">
        <v>5452</v>
      </c>
      <c r="H50" s="28">
        <f>H74*H51</f>
        <v>6168.3759221267728</v>
      </c>
      <c r="I50" s="28">
        <f t="shared" ref="I50:L50" si="37">I74*I51</f>
        <v>6917.5409350872369</v>
      </c>
      <c r="J50" s="28">
        <f t="shared" si="37"/>
        <v>7661.3041824878856</v>
      </c>
      <c r="K50" s="28">
        <f t="shared" si="37"/>
        <v>8522.3783335576318</v>
      </c>
      <c r="L50" s="28">
        <f t="shared" si="37"/>
        <v>9379.308967587016</v>
      </c>
    </row>
    <row r="51" spans="2:12" x14ac:dyDescent="0.25">
      <c r="B51" s="17" t="s">
        <v>225</v>
      </c>
      <c r="C51" s="18">
        <f>C50/Balance_Sheet!C74</f>
        <v>2.6406386596757092E-2</v>
      </c>
      <c r="D51" s="18">
        <f>D50/Balance_Sheet!D74</f>
        <v>2.4877148918652031E-2</v>
      </c>
      <c r="E51" s="18">
        <f>E50/Balance_Sheet!E74</f>
        <v>3.6131556399636E-2</v>
      </c>
      <c r="F51" s="18">
        <f>F50/Balance_Sheet!F74</f>
        <v>4.9890698697748669E-2</v>
      </c>
      <c r="G51" s="18">
        <f>G50/Balance_Sheet!G74</f>
        <v>2.5104915712519778E-2</v>
      </c>
      <c r="H51" s="25">
        <f>MEDIAN(C51:G51)</f>
        <v>2.6406386596757092E-2</v>
      </c>
      <c r="I51" s="25">
        <f t="shared" ref="I51:L51" si="38">H51</f>
        <v>2.6406386596757092E-2</v>
      </c>
      <c r="J51" s="25">
        <f t="shared" si="38"/>
        <v>2.6406386596757092E-2</v>
      </c>
      <c r="K51" s="25">
        <f t="shared" si="38"/>
        <v>2.6406386596757092E-2</v>
      </c>
      <c r="L51" s="25">
        <f t="shared" si="38"/>
        <v>2.6406386596757092E-2</v>
      </c>
    </row>
    <row r="52" spans="2:12" ht="18.75" x14ac:dyDescent="0.25">
      <c r="B52" s="8" t="s">
        <v>28</v>
      </c>
      <c r="C52" s="4">
        <v>19888.439999999999</v>
      </c>
      <c r="D52" s="5">
        <v>3974.63</v>
      </c>
      <c r="E52" s="5">
        <v>7610</v>
      </c>
      <c r="F52" s="5">
        <v>10013</v>
      </c>
      <c r="G52" s="5">
        <v>0</v>
      </c>
      <c r="H52" s="28">
        <f>H74*H53</f>
        <v>10229.224246636852</v>
      </c>
      <c r="I52" s="28">
        <f t="shared" ref="I52:L52" si="39">I74*I53</f>
        <v>11471.589662113176</v>
      </c>
      <c r="J52" s="28">
        <f t="shared" si="39"/>
        <v>12704.997148965063</v>
      </c>
      <c r="K52" s="28">
        <f t="shared" si="39"/>
        <v>14132.945233756558</v>
      </c>
      <c r="L52" s="28">
        <f t="shared" si="39"/>
        <v>15554.021985556885</v>
      </c>
    </row>
    <row r="53" spans="2:12" x14ac:dyDescent="0.25">
      <c r="B53" s="17" t="s">
        <v>226</v>
      </c>
      <c r="C53" s="18">
        <f>C52/Balance_Sheet!C74</f>
        <v>0.13454195626630791</v>
      </c>
      <c r="D53" s="18">
        <f>D52/Balance_Sheet!D74</f>
        <v>2.5647084775683907E-2</v>
      </c>
      <c r="E53" s="18">
        <f>E52/Balance_Sheet!E74</f>
        <v>4.3790594712729725E-2</v>
      </c>
      <c r="F53" s="18">
        <f>F52/Balance_Sheet!F74</f>
        <v>5.3048270793305444E-2</v>
      </c>
      <c r="G53" s="18">
        <f>G52/Balance_Sheet!G74</f>
        <v>0</v>
      </c>
      <c r="H53" s="25">
        <f>MEDIAN(C53:G53)</f>
        <v>4.3790594712729725E-2</v>
      </c>
      <c r="I53" s="25">
        <f t="shared" ref="I53:L53" si="40">H53</f>
        <v>4.3790594712729725E-2</v>
      </c>
      <c r="J53" s="25">
        <f t="shared" si="40"/>
        <v>4.3790594712729725E-2</v>
      </c>
      <c r="K53" s="25">
        <f t="shared" si="40"/>
        <v>4.3790594712729725E-2</v>
      </c>
      <c r="L53" s="25">
        <f t="shared" si="40"/>
        <v>4.3790594712729725E-2</v>
      </c>
    </row>
    <row r="54" spans="2:12" ht="18.75" x14ac:dyDescent="0.25">
      <c r="B54" s="9" t="s">
        <v>127</v>
      </c>
      <c r="C54" s="7">
        <f>C46+C48+C50+C52</f>
        <v>97928.739999999991</v>
      </c>
      <c r="D54" s="7">
        <f t="shared" ref="D54:L54" si="41">D46+D48+D50+D52</f>
        <v>75494.27</v>
      </c>
      <c r="E54" s="7">
        <f t="shared" si="41"/>
        <v>76250.02</v>
      </c>
      <c r="F54" s="7">
        <f t="shared" si="41"/>
        <v>87602.02</v>
      </c>
      <c r="G54" s="7">
        <f t="shared" si="41"/>
        <v>78748.02</v>
      </c>
      <c r="H54" s="29">
        <f t="shared" si="41"/>
        <v>89756.000462134107</v>
      </c>
      <c r="I54" s="29">
        <f t="shared" si="41"/>
        <v>96239.892717973329</v>
      </c>
      <c r="J54" s="29">
        <f t="shared" si="41"/>
        <v>101745.76333363161</v>
      </c>
      <c r="K54" s="29">
        <f t="shared" si="41"/>
        <v>108527.60140034204</v>
      </c>
      <c r="L54" s="29">
        <f t="shared" si="41"/>
        <v>114223.16352690887</v>
      </c>
    </row>
    <row r="55" spans="2:12" x14ac:dyDescent="0.25">
      <c r="B55" s="19" t="s">
        <v>227</v>
      </c>
      <c r="C55" s="20">
        <f>C54/Balance_Sheet!C74</f>
        <v>0.66247147862248812</v>
      </c>
      <c r="D55" s="20">
        <f>D54/Balance_Sheet!D74</f>
        <v>0.48714168180896594</v>
      </c>
      <c r="E55" s="20">
        <f>E54/Balance_Sheet!E74</f>
        <v>0.43876921454106915</v>
      </c>
      <c r="F55" s="20">
        <f>F54/Balance_Sheet!F74</f>
        <v>0.4641102246080655</v>
      </c>
      <c r="G55" s="20">
        <f>G54/Balance_Sheet!G74</f>
        <v>0.36261232660084775</v>
      </c>
      <c r="H55" s="27">
        <f>H54/Balance_Sheet!H74</f>
        <v>0.38423917048892053</v>
      </c>
      <c r="I55" s="27">
        <f>I54/Balance_Sheet!I74</f>
        <v>0.36737734362379781</v>
      </c>
      <c r="J55" s="27">
        <f>J54/Balance_Sheet!J74</f>
        <v>0.35068937313719267</v>
      </c>
      <c r="K55" s="27">
        <f>K54/Balance_Sheet!K74</f>
        <v>0.33627019205563274</v>
      </c>
      <c r="L55" s="27">
        <f>L54/Balance_Sheet!L74</f>
        <v>0.32158243478486598</v>
      </c>
    </row>
    <row r="56" spans="2:12" ht="18.75" x14ac:dyDescent="0.25">
      <c r="B56" s="8" t="s">
        <v>31</v>
      </c>
      <c r="C56" s="5">
        <v>813.45</v>
      </c>
      <c r="D56" s="4">
        <v>802.94</v>
      </c>
      <c r="E56" s="4">
        <v>910</v>
      </c>
      <c r="F56" s="4">
        <v>887</v>
      </c>
      <c r="G56" s="4">
        <v>1207</v>
      </c>
      <c r="H56" s="24">
        <f>H74*H57</f>
        <v>1223.205527521621</v>
      </c>
      <c r="I56" s="24">
        <f t="shared" ref="I56:L56" si="42">I74*I57</f>
        <v>1371.7669635378438</v>
      </c>
      <c r="J56" s="24">
        <f t="shared" si="42"/>
        <v>1519.2572149222351</v>
      </c>
      <c r="K56" s="24">
        <f t="shared" si="42"/>
        <v>1690.0105338657645</v>
      </c>
      <c r="L56" s="24">
        <f t="shared" si="42"/>
        <v>1859.9421822413622</v>
      </c>
    </row>
    <row r="57" spans="2:12" x14ac:dyDescent="0.25">
      <c r="B57" s="17" t="s">
        <v>228</v>
      </c>
      <c r="C57" s="18">
        <f>C56/Balance_Sheet!C74</f>
        <v>5.5028526282015168E-3</v>
      </c>
      <c r="D57" s="18">
        <f>D56/Balance_Sheet!D74</f>
        <v>5.181128872319596E-3</v>
      </c>
      <c r="E57" s="18">
        <f>E56/Balance_Sheet!E74</f>
        <v>5.2364574492226087E-3</v>
      </c>
      <c r="F57" s="18">
        <f>F56/Balance_Sheet!F74</f>
        <v>4.6992725650316517E-3</v>
      </c>
      <c r="G57" s="18">
        <f>G56/Balance_Sheet!G74</f>
        <v>5.5578931153725921E-3</v>
      </c>
      <c r="H57" s="25">
        <f>MEDIAN(C57:G57)</f>
        <v>5.2364574492226087E-3</v>
      </c>
      <c r="I57" s="25">
        <f t="shared" ref="I57:L57" si="43">H57</f>
        <v>5.2364574492226087E-3</v>
      </c>
      <c r="J57" s="25">
        <f t="shared" si="43"/>
        <v>5.2364574492226087E-3</v>
      </c>
      <c r="K57" s="25">
        <f t="shared" si="43"/>
        <v>5.2364574492226087E-3</v>
      </c>
      <c r="L57" s="25">
        <f t="shared" si="43"/>
        <v>5.2364574492226087E-3</v>
      </c>
    </row>
    <row r="58" spans="2:12" ht="18.75" x14ac:dyDescent="0.25">
      <c r="B58" s="8" t="s">
        <v>32</v>
      </c>
      <c r="C58" s="4">
        <v>77.48</v>
      </c>
      <c r="D58" s="4">
        <v>72.53</v>
      </c>
      <c r="E58" s="4">
        <v>12</v>
      </c>
      <c r="F58" s="4">
        <v>12</v>
      </c>
      <c r="G58" s="4">
        <v>50</v>
      </c>
      <c r="H58" s="24">
        <f>ROUND(H74*H59,2)</f>
        <v>53.78</v>
      </c>
      <c r="I58" s="24">
        <f t="shared" ref="I58:L58" si="44">ROUND(I74*I59,2)</f>
        <v>60.31</v>
      </c>
      <c r="J58" s="24">
        <f t="shared" si="44"/>
        <v>66.8</v>
      </c>
      <c r="K58" s="24">
        <f t="shared" si="44"/>
        <v>74.31</v>
      </c>
      <c r="L58" s="24">
        <f t="shared" si="44"/>
        <v>81.78</v>
      </c>
    </row>
    <row r="59" spans="2:12" x14ac:dyDescent="0.25">
      <c r="B59" s="17" t="s">
        <v>229</v>
      </c>
      <c r="C59" s="18">
        <f>C58/Balance_Sheet!C74</f>
        <v>5.2413918696054282E-4</v>
      </c>
      <c r="D59" s="18">
        <f>D58/Balance_Sheet!D74</f>
        <v>4.6801414440598337E-4</v>
      </c>
      <c r="E59" s="18">
        <f>E58/Balance_Sheet!E74</f>
        <v>6.9052186143594844E-5</v>
      </c>
      <c r="F59" s="18">
        <f>F58/Balance_Sheet!F74</f>
        <v>6.3575277091747266E-5</v>
      </c>
      <c r="G59" s="18">
        <f>G58/Balance_Sheet!G74</f>
        <v>2.3023583742222834E-4</v>
      </c>
      <c r="H59" s="25">
        <f>G59</f>
        <v>2.3023583742222834E-4</v>
      </c>
      <c r="I59" s="25">
        <f t="shared" ref="I59:L59" si="45">H59</f>
        <v>2.3023583742222834E-4</v>
      </c>
      <c r="J59" s="25">
        <f t="shared" si="45"/>
        <v>2.3023583742222834E-4</v>
      </c>
      <c r="K59" s="25">
        <f t="shared" si="45"/>
        <v>2.3023583742222834E-4</v>
      </c>
      <c r="L59" s="25">
        <f t="shared" si="45"/>
        <v>2.3023583742222834E-4</v>
      </c>
    </row>
    <row r="60" spans="2:12" ht="18.75" x14ac:dyDescent="0.25">
      <c r="B60" s="8" t="s">
        <v>33</v>
      </c>
      <c r="C60" s="5">
        <v>2943.89</v>
      </c>
      <c r="D60" s="5">
        <v>2649.69</v>
      </c>
      <c r="E60" s="5">
        <v>2276</v>
      </c>
      <c r="F60" s="5">
        <v>2985</v>
      </c>
      <c r="G60" s="5">
        <v>2776</v>
      </c>
      <c r="H60" s="28"/>
      <c r="I60" s="28"/>
      <c r="J60" s="28"/>
      <c r="K60" s="28"/>
      <c r="L60" s="28"/>
    </row>
    <row r="61" spans="2:12" x14ac:dyDescent="0.25">
      <c r="B61" s="17" t="s">
        <v>230</v>
      </c>
      <c r="C61" s="18">
        <f>C60/Balance_Sheet!C74</f>
        <v>1.991492141328436E-2</v>
      </c>
      <c r="D61" s="18">
        <f>D60/Balance_Sheet!D74</f>
        <v>1.7097647846285539E-2</v>
      </c>
      <c r="E61" s="18">
        <f>E60/Balance_Sheet!E74</f>
        <v>1.3096897971901821E-2</v>
      </c>
      <c r="F61" s="18">
        <f>F60/Balance_Sheet!F74</f>
        <v>1.5814350176572133E-2</v>
      </c>
      <c r="G61" s="18">
        <f>G60/Balance_Sheet!G74</f>
        <v>1.2782693693682118E-2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57.95</v>
      </c>
      <c r="D62" s="4">
        <v>57.74</v>
      </c>
      <c r="E62" s="4">
        <v>55</v>
      </c>
      <c r="F62" s="4">
        <v>47</v>
      </c>
      <c r="G62" s="4">
        <v>7</v>
      </c>
      <c r="H62" s="24">
        <f>ROUND(H74*H63,2)</f>
        <v>7.53</v>
      </c>
      <c r="I62" s="24">
        <f t="shared" ref="I62:L62" si="46">ROUND(I74*I63,2)</f>
        <v>8.44</v>
      </c>
      <c r="J62" s="24">
        <f t="shared" si="46"/>
        <v>9.35</v>
      </c>
      <c r="K62" s="24">
        <f t="shared" si="46"/>
        <v>10.4</v>
      </c>
      <c r="L62" s="24">
        <f t="shared" si="46"/>
        <v>11.45</v>
      </c>
    </row>
    <row r="63" spans="2:12" x14ac:dyDescent="0.25">
      <c r="B63" s="17" t="s">
        <v>231</v>
      </c>
      <c r="C63" s="18">
        <f>C62/Balance_Sheet!C74</f>
        <v>3.9202201709297179E-4</v>
      </c>
      <c r="D63" s="18">
        <f>D62/Balance_Sheet!D74</f>
        <v>3.7257874945541817E-4</v>
      </c>
      <c r="E63" s="18">
        <f>E62/Balance_Sheet!E74</f>
        <v>3.1648918649147633E-4</v>
      </c>
      <c r="F63" s="18">
        <f>F62/Balance_Sheet!F74</f>
        <v>2.4900316860934347E-4</v>
      </c>
      <c r="G63" s="18">
        <f>G62/Balance_Sheet!G74</f>
        <v>3.2233017239111968E-5</v>
      </c>
      <c r="H63" s="25">
        <f>G63</f>
        <v>3.2233017239111968E-5</v>
      </c>
      <c r="I63" s="25">
        <f t="shared" ref="I63:L63" si="47">H63</f>
        <v>3.2233017239111968E-5</v>
      </c>
      <c r="J63" s="25">
        <f t="shared" si="47"/>
        <v>3.2233017239111968E-5</v>
      </c>
      <c r="K63" s="25">
        <f t="shared" si="47"/>
        <v>3.2233017239111968E-5</v>
      </c>
      <c r="L63" s="25">
        <f t="shared" si="47"/>
        <v>3.2233017239111968E-5</v>
      </c>
    </row>
    <row r="64" spans="2:12" ht="18.75" x14ac:dyDescent="0.25">
      <c r="B64" s="8" t="s">
        <v>41</v>
      </c>
      <c r="C64" s="5">
        <v>6352.86</v>
      </c>
      <c r="D64" s="5">
        <v>6640.34</v>
      </c>
      <c r="E64" s="5">
        <v>6650</v>
      </c>
      <c r="F64" s="5">
        <v>5728</v>
      </c>
      <c r="G64" s="5">
        <v>10133</v>
      </c>
      <c r="H64" s="28">
        <f>H74*H65</f>
        <v>10009.06417858508</v>
      </c>
      <c r="I64" s="28">
        <f t="shared" ref="I64:L64" si="48">I74*I65</f>
        <v>11224.690591393986</v>
      </c>
      <c r="J64" s="28">
        <f t="shared" si="48"/>
        <v>12431.551873988972</v>
      </c>
      <c r="K64" s="28">
        <f t="shared" si="48"/>
        <v>13828.766724280749</v>
      </c>
      <c r="L64" s="28">
        <f t="shared" si="48"/>
        <v>15219.258130913184</v>
      </c>
    </row>
    <row r="65" spans="2:12" x14ac:dyDescent="0.25">
      <c r="B65" s="17" t="s">
        <v>232</v>
      </c>
      <c r="C65" s="18">
        <f>C64/Balance_Sheet!C74</f>
        <v>4.2976030914741267E-2</v>
      </c>
      <c r="D65" s="18">
        <f>D64/Balance_Sheet!D74</f>
        <v>4.2848104834755658E-2</v>
      </c>
      <c r="E65" s="18">
        <f>E64/Balance_Sheet!E74</f>
        <v>3.826641982124214E-2</v>
      </c>
      <c r="F65" s="18">
        <f>F64/Balance_Sheet!F74</f>
        <v>3.0346598931794026E-2</v>
      </c>
      <c r="G65" s="18">
        <f>G64/Balance_Sheet!G74</f>
        <v>4.6659594811988794E-2</v>
      </c>
      <c r="H65" s="25">
        <f>MEDIAN(C65:G65)</f>
        <v>4.2848104834755658E-2</v>
      </c>
      <c r="I65" s="25">
        <f t="shared" ref="I65:L65" si="49">H65</f>
        <v>4.2848104834755658E-2</v>
      </c>
      <c r="J65" s="25">
        <f t="shared" si="49"/>
        <v>4.2848104834755658E-2</v>
      </c>
      <c r="K65" s="25">
        <f t="shared" si="49"/>
        <v>4.2848104834755658E-2</v>
      </c>
      <c r="L65" s="25">
        <f t="shared" si="49"/>
        <v>4.2848104834755658E-2</v>
      </c>
    </row>
    <row r="66" spans="2:12" ht="18.75" x14ac:dyDescent="0.25">
      <c r="B66" s="8" t="s">
        <v>37</v>
      </c>
      <c r="C66" s="5">
        <v>21631.39</v>
      </c>
      <c r="D66" s="5">
        <v>22193.79</v>
      </c>
      <c r="E66" s="5">
        <v>22384</v>
      </c>
      <c r="F66" s="5">
        <v>30668</v>
      </c>
      <c r="G66" s="5">
        <v>44483</v>
      </c>
      <c r="H66" s="28">
        <f>H74*H67</f>
        <v>34182.459046321193</v>
      </c>
      <c r="I66" s="28">
        <f t="shared" ref="I66:L66" si="50">I74*I67</f>
        <v>38334.006017153079</v>
      </c>
      <c r="J66" s="28">
        <f t="shared" si="50"/>
        <v>42455.618750455134</v>
      </c>
      <c r="K66" s="28">
        <f t="shared" si="50"/>
        <v>47227.317537360308</v>
      </c>
      <c r="L66" s="28">
        <f t="shared" si="50"/>
        <v>51976.054753289907</v>
      </c>
    </row>
    <row r="67" spans="2:12" x14ac:dyDescent="0.25">
      <c r="B67" s="17" t="s">
        <v>233</v>
      </c>
      <c r="C67" s="18">
        <f>C66/Balance_Sheet!C74</f>
        <v>0.14633272028170385</v>
      </c>
      <c r="D67" s="18">
        <f>D66/Balance_Sheet!D74</f>
        <v>0.14320981163623425</v>
      </c>
      <c r="E67" s="18">
        <f>E66/Balance_Sheet!E74</f>
        <v>0.12880534455318557</v>
      </c>
      <c r="F67" s="18">
        <f>F66/Balance_Sheet!F74</f>
        <v>0.16247721648747543</v>
      </c>
      <c r="G67" s="18">
        <f>G66/Balance_Sheet!G74</f>
        <v>0.20483161512105966</v>
      </c>
      <c r="H67" s="25">
        <f>MEDIAN(C67:G67)</f>
        <v>0.14633272028170385</v>
      </c>
      <c r="I67" s="25">
        <f t="shared" ref="I67:L67" si="51">H67</f>
        <v>0.14633272028170385</v>
      </c>
      <c r="J67" s="25">
        <f t="shared" si="51"/>
        <v>0.14633272028170385</v>
      </c>
      <c r="K67" s="25">
        <f t="shared" si="51"/>
        <v>0.14633272028170385</v>
      </c>
      <c r="L67" s="25">
        <f t="shared" si="51"/>
        <v>0.14633272028170385</v>
      </c>
    </row>
    <row r="68" spans="2:12" ht="18.75" x14ac:dyDescent="0.25">
      <c r="B68" s="8" t="s">
        <v>38</v>
      </c>
      <c r="C68" s="5">
        <v>9959.81</v>
      </c>
      <c r="D68" s="5">
        <v>11459.76</v>
      </c>
      <c r="E68" s="5">
        <v>9345</v>
      </c>
      <c r="F68" s="5">
        <v>12959</v>
      </c>
      <c r="G68" s="5">
        <v>21076</v>
      </c>
      <c r="H68" s="28">
        <f>H69*H74</f>
        <v>20147.176185124543</v>
      </c>
      <c r="I68" s="28">
        <f t="shared" ref="I68:L68" si="52">I69*I74</f>
        <v>22594.102199102228</v>
      </c>
      <c r="J68" s="28">
        <f t="shared" si="52"/>
        <v>25023.384942984463</v>
      </c>
      <c r="K68" s="28">
        <f t="shared" si="52"/>
        <v>27835.829069132549</v>
      </c>
      <c r="L68" s="28">
        <f t="shared" si="52"/>
        <v>30634.739621955636</v>
      </c>
    </row>
    <row r="69" spans="2:12" x14ac:dyDescent="0.25">
      <c r="B69" s="17" t="s">
        <v>234</v>
      </c>
      <c r="C69" s="18">
        <f>C68/Balance_Sheet!C74</f>
        <v>6.7376441864758427E-2</v>
      </c>
      <c r="D69" s="18">
        <f>D68/Balance_Sheet!D74</f>
        <v>7.3946363870093915E-2</v>
      </c>
      <c r="E69" s="18">
        <f>E68/Balance_Sheet!E74</f>
        <v>5.377438995932448E-2</v>
      </c>
      <c r="F69" s="18">
        <f>F68/Balance_Sheet!F74</f>
        <v>6.8656001319329404E-2</v>
      </c>
      <c r="G69" s="18">
        <f>G68/Balance_Sheet!G74</f>
        <v>9.7049010190217694E-2</v>
      </c>
      <c r="H69" s="25">
        <f>GROWTH(C69:G69,C4:G4,H4)</f>
        <v>8.624865440982156E-2</v>
      </c>
      <c r="I69" s="25">
        <f t="shared" ref="I69:L69" si="53">H69</f>
        <v>8.624865440982156E-2</v>
      </c>
      <c r="J69" s="25">
        <f t="shared" si="53"/>
        <v>8.624865440982156E-2</v>
      </c>
      <c r="K69" s="25">
        <f t="shared" si="53"/>
        <v>8.624865440982156E-2</v>
      </c>
      <c r="L69" s="25">
        <f t="shared" si="53"/>
        <v>8.624865440982156E-2</v>
      </c>
    </row>
    <row r="70" spans="2:12" ht="18.75" x14ac:dyDescent="0.25">
      <c r="B70" s="8" t="s">
        <v>39</v>
      </c>
      <c r="C70" s="5">
        <v>8057.76</v>
      </c>
      <c r="D70" s="5">
        <f>CashFlow_Statement!D48+C70</f>
        <v>35602.88868707887</v>
      </c>
      <c r="E70" s="5">
        <f>CashFlow_Statement!E48+D70</f>
        <v>55899.588811716065</v>
      </c>
      <c r="F70" s="5">
        <f>CashFlow_Statement!F48+E70</f>
        <v>47864.598139319511</v>
      </c>
      <c r="G70" s="5">
        <f>CashFlow_Statement!G48+F70</f>
        <v>58688.603963198431</v>
      </c>
      <c r="H70" s="28">
        <f>CashFlow_Statement!H48+G70</f>
        <v>62633.108709838678</v>
      </c>
      <c r="I70" s="28">
        <f>CashFlow_Statement!I48+H70</f>
        <v>76660.399470169068</v>
      </c>
      <c r="J70" s="28">
        <f>CashFlow_Statement!J48+I70</f>
        <v>95068.428887552873</v>
      </c>
      <c r="K70" s="28">
        <f>CashFlow_Statement!K48+J70</f>
        <v>116091.52981745283</v>
      </c>
      <c r="L70" s="28">
        <f>CashFlow_Statement!L48+K70</f>
        <v>139647.93432173796</v>
      </c>
    </row>
    <row r="71" spans="2:12" x14ac:dyDescent="0.25">
      <c r="B71" s="17" t="s">
        <v>235</v>
      </c>
      <c r="C71" s="18">
        <f>C70/Balance_Sheet!C74</f>
        <v>5.4509393070769012E-2</v>
      </c>
      <c r="D71" s="18">
        <f>D70/Balance_Sheet!D74</f>
        <v>0.22973466823748356</v>
      </c>
      <c r="E71" s="18">
        <f>E70/Balance_Sheet!E74</f>
        <v>0.3216657343314191</v>
      </c>
      <c r="F71" s="18">
        <f>F70/Balance_Sheet!F74</f>
        <v>0.25358375746603068</v>
      </c>
      <c r="G71" s="18">
        <f>G70/Balance_Sheet!G74</f>
        <v>0.27024439761217001</v>
      </c>
      <c r="H71" s="25">
        <f>H70/Balance_Sheet!H74</f>
        <v>0.268127964836888</v>
      </c>
      <c r="I71" s="25">
        <f>I70/Balance_Sheet!I74</f>
        <v>0.29263638105895623</v>
      </c>
      <c r="J71" s="25">
        <f>J70/Balance_Sheet!J74</f>
        <v>0.32767445679670354</v>
      </c>
      <c r="K71" s="25">
        <f>K70/Balance_Sheet!K74</f>
        <v>0.35970684437907463</v>
      </c>
      <c r="L71" s="25">
        <f>L70/Balance_Sheet!L74</f>
        <v>0.3931630095438739</v>
      </c>
    </row>
    <row r="72" spans="2:12" ht="18.75" x14ac:dyDescent="0.25">
      <c r="B72" s="9" t="s">
        <v>42</v>
      </c>
      <c r="C72" s="7">
        <f>C56+C58+C60+C62+C64+C66+C68+C70</f>
        <v>49894.59</v>
      </c>
      <c r="D72" s="7">
        <f t="shared" ref="D72:L72" si="54">D56+D58+D60+D62+D64+D66+D68+D70</f>
        <v>79479.678687078878</v>
      </c>
      <c r="E72" s="7">
        <f t="shared" si="54"/>
        <v>97531.588811716065</v>
      </c>
      <c r="F72" s="7">
        <f t="shared" si="54"/>
        <v>101150.59813931951</v>
      </c>
      <c r="G72" s="7">
        <f t="shared" si="54"/>
        <v>138420.60396319843</v>
      </c>
      <c r="H72" s="29">
        <f t="shared" si="54"/>
        <v>128256.32364739111</v>
      </c>
      <c r="I72" s="29">
        <f t="shared" si="54"/>
        <v>150253.7152413562</v>
      </c>
      <c r="J72" s="29">
        <f t="shared" si="54"/>
        <v>176574.39166990368</v>
      </c>
      <c r="K72" s="29">
        <f t="shared" si="54"/>
        <v>206758.16368209221</v>
      </c>
      <c r="L72" s="29">
        <f t="shared" si="54"/>
        <v>239431.15901013807</v>
      </c>
    </row>
    <row r="73" spans="2:12" x14ac:dyDescent="0.25">
      <c r="B73" s="19" t="s">
        <v>236</v>
      </c>
      <c r="C73" s="20">
        <f>C72/Balance_Sheet!C74</f>
        <v>0.33752852137751194</v>
      </c>
      <c r="D73" s="20">
        <f>D72/Balance_Sheet!D74</f>
        <v>0.512858318191034</v>
      </c>
      <c r="E73" s="20">
        <f>E72/Balance_Sheet!E74</f>
        <v>0.56123078545893079</v>
      </c>
      <c r="F73" s="20">
        <f>F72/Balance_Sheet!F74</f>
        <v>0.53588977539193439</v>
      </c>
      <c r="G73" s="20">
        <f>G72/Balance_Sheet!G74</f>
        <v>0.63738767339915214</v>
      </c>
      <c r="H73" s="27">
        <f>H72/Balance_Sheet!H74</f>
        <v>0.54905636564123184</v>
      </c>
      <c r="I73" s="27">
        <f>I72/Balance_Sheet!I74</f>
        <v>0.57356475798177098</v>
      </c>
      <c r="J73" s="27">
        <f>J72/Balance_Sheet!J74</f>
        <v>0.60860286166167432</v>
      </c>
      <c r="K73" s="27">
        <f>K72/Balance_Sheet!K74</f>
        <v>0.64063525327509885</v>
      </c>
      <c r="L73" s="27">
        <f>L72/Balance_Sheet!L74</f>
        <v>0.67409142506986819</v>
      </c>
    </row>
    <row r="74" spans="2:12" ht="18.75" x14ac:dyDescent="0.25">
      <c r="B74" s="9" t="s">
        <v>43</v>
      </c>
      <c r="C74" s="7">
        <f>C54+C72</f>
        <v>147823.32999999999</v>
      </c>
      <c r="D74" s="7">
        <f t="shared" ref="D74:G74" si="55">D54+D72</f>
        <v>154973.9486870789</v>
      </c>
      <c r="E74" s="7">
        <f t="shared" si="55"/>
        <v>173781.60881171608</v>
      </c>
      <c r="F74" s="7">
        <f t="shared" si="55"/>
        <v>188752.61813931953</v>
      </c>
      <c r="G74" s="7">
        <f t="shared" si="55"/>
        <v>217168.62396319845</v>
      </c>
      <c r="H74" s="29">
        <f>Income_Statement!H5/H80</f>
        <v>233594.09283526498</v>
      </c>
      <c r="I74" s="29">
        <f>Income_Statement!I5/I80</f>
        <v>261964.692130076</v>
      </c>
      <c r="J74" s="29">
        <f>Income_Statement!J5/J80</f>
        <v>290130.72858021222</v>
      </c>
      <c r="K74" s="29">
        <f>Income_Statement!K5/K80</f>
        <v>322739.28514718654</v>
      </c>
      <c r="L74" s="29">
        <f>Income_Statement!L5/L80</f>
        <v>355190.92827107466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7">
        <f>H74/Balance_Sheet!H74</f>
        <v>1</v>
      </c>
      <c r="I75" s="27">
        <f>I74/Balance_Sheet!I74</f>
        <v>1</v>
      </c>
      <c r="J75" s="27">
        <f>J74/Balance_Sheet!J74</f>
        <v>1</v>
      </c>
      <c r="K75" s="27">
        <f>K74/Balance_Sheet!K74</f>
        <v>1</v>
      </c>
      <c r="L75" s="27">
        <f>L74/Balance_Sheet!L74</f>
        <v>1</v>
      </c>
    </row>
    <row r="80" spans="2:12" x14ac:dyDescent="0.25">
      <c r="B80" t="s">
        <v>265</v>
      </c>
      <c r="C80">
        <f>Income_Statement!C5/C74</f>
        <v>0.77927908943737101</v>
      </c>
      <c r="D80">
        <f>Income_Statement!D5/D74</f>
        <v>0.83720890574957429</v>
      </c>
      <c r="E80">
        <f>Income_Statement!E5/E74</f>
        <v>0.67406442373839159</v>
      </c>
      <c r="F80">
        <f>Income_Statement!F5/F74</f>
        <v>0.69407778970939316</v>
      </c>
      <c r="G80">
        <f>Income_Statement!G5/G74</f>
        <v>0.89819144423484876</v>
      </c>
      <c r="H80">
        <f>GROWTH(C80:G80,C4:G4,H4)</f>
        <v>0.7946554987202642</v>
      </c>
      <c r="I80">
        <f t="shared" ref="I80:L80" si="56">GROWTH(D80:H80,D4:H4,I4)</f>
        <v>0.81866368178564886</v>
      </c>
      <c r="J80">
        <f t="shared" si="56"/>
        <v>0.90287218004028347</v>
      </c>
      <c r="K80">
        <f t="shared" si="56"/>
        <v>0.93151404532896931</v>
      </c>
      <c r="L80">
        <f t="shared" si="56"/>
        <v>0.92134081741972584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EDDBF7F6-C591-4827-9F82-B424A68EEBC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4B0A8-4C0C-4190-89B0-31EDDC849D2D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5.42578125" bestFit="1" customWidth="1"/>
    <col min="6" max="6" width="16.5703125" bestFit="1" customWidth="1"/>
    <col min="7" max="7" width="15.42578125" bestFit="1" customWidth="1"/>
    <col min="8" max="12" width="18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31" t="s">
        <v>143</v>
      </c>
      <c r="C3" s="32"/>
      <c r="D3" s="32"/>
      <c r="E3" s="32"/>
      <c r="F3" s="32"/>
      <c r="G3" s="32"/>
      <c r="H3" s="33" t="s">
        <v>264</v>
      </c>
      <c r="I3" s="34"/>
      <c r="J3" s="34"/>
      <c r="K3" s="34"/>
      <c r="L3" s="34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7907.6186870788852</v>
      </c>
      <c r="E5" s="5">
        <f>Income_Statement!E45</f>
        <v>5207.0101246371923</v>
      </c>
      <c r="F5" s="5">
        <f>Income_Statement!F45</f>
        <v>5961.0093276034459</v>
      </c>
      <c r="G5" s="5">
        <f>Income_Statement!G45</f>
        <v>12084.005823878921</v>
      </c>
      <c r="H5" s="28">
        <f>Income_Statement!H45</f>
        <v>18411.467844986379</v>
      </c>
      <c r="I5" s="28">
        <f>Income_Statement!I45</f>
        <v>21653.788833267194</v>
      </c>
      <c r="J5" s="28">
        <f>Income_Statement!J45</f>
        <v>27891.043117029003</v>
      </c>
      <c r="K5" s="28">
        <f>Income_Statement!K45</f>
        <v>32504.748733510318</v>
      </c>
      <c r="L5" s="28">
        <f>Income_Statement!L45</f>
        <v>35194.848958144226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4"/>
      <c r="I6" s="24"/>
      <c r="J6" s="24"/>
      <c r="K6" s="24"/>
      <c r="L6" s="24"/>
    </row>
    <row r="7" spans="2:15" ht="18.75" x14ac:dyDescent="0.25">
      <c r="B7" s="8" t="s">
        <v>125</v>
      </c>
      <c r="C7" s="4"/>
      <c r="D7" s="5">
        <f>Income_Statement!D31</f>
        <v>4776.9799999999996</v>
      </c>
      <c r="E7" s="5">
        <f>Income_Statement!E31</f>
        <v>5091</v>
      </c>
      <c r="F7" s="5">
        <f>Income_Statement!F31</f>
        <v>6628</v>
      </c>
      <c r="G7" s="5">
        <f>Income_Statement!G31</f>
        <v>6729</v>
      </c>
      <c r="H7" s="28">
        <f>Income_Statement!H31</f>
        <v>7237.9450588476329</v>
      </c>
      <c r="I7" s="28">
        <f>Income_Statement!I31</f>
        <v>8117.0126911694388</v>
      </c>
      <c r="J7" s="28">
        <f>Income_Statement!J31</f>
        <v>8989.7407222209567</v>
      </c>
      <c r="K7" s="28">
        <f>Income_Statement!K31</f>
        <v>10000.121663783095</v>
      </c>
      <c r="L7" s="28">
        <f>Income_Statement!L31</f>
        <v>11005.640482732715</v>
      </c>
    </row>
    <row r="8" spans="2:15" ht="18.75" x14ac:dyDescent="0.25">
      <c r="B8" s="8" t="s">
        <v>131</v>
      </c>
      <c r="C8" s="4"/>
      <c r="D8" s="5">
        <f>Income_Statement!D35</f>
        <v>3778.04</v>
      </c>
      <c r="E8" s="5">
        <f>Income_Statement!E35</f>
        <v>4197</v>
      </c>
      <c r="F8" s="5">
        <f>Income_Statement!F35</f>
        <v>3738</v>
      </c>
      <c r="G8" s="5">
        <f>Income_Statement!G35</f>
        <v>3768</v>
      </c>
      <c r="H8" s="28">
        <f>Income_Statement!H35</f>
        <v>4052.9910434757353</v>
      </c>
      <c r="I8" s="28">
        <f>Income_Statement!I35</f>
        <v>4545.2374071385011</v>
      </c>
      <c r="J8" s="28">
        <f>Income_Statement!J35</f>
        <v>5033.9344117561641</v>
      </c>
      <c r="K8" s="28">
        <f>Income_Statement!K35</f>
        <v>5599.7116545174695</v>
      </c>
      <c r="L8" s="28">
        <f>Income_Statement!L35</f>
        <v>6162.7662811837481</v>
      </c>
    </row>
    <row r="9" spans="2:15" ht="18.75" x14ac:dyDescent="0.25">
      <c r="B9" s="8" t="s">
        <v>59</v>
      </c>
      <c r="C9" s="4"/>
      <c r="D9" s="5">
        <f>Income_Statement!D11</f>
        <v>1127.1099999999999</v>
      </c>
      <c r="E9" s="5">
        <f>Income_Statement!E11</f>
        <v>1186</v>
      </c>
      <c r="F9" s="5">
        <f>Income_Statement!F11</f>
        <v>1222</v>
      </c>
      <c r="G9" s="5">
        <f>Income_Statement!G11</f>
        <v>1136</v>
      </c>
      <c r="H9" s="28">
        <f>Income_Statement!H11</f>
        <v>1731.4534625531128</v>
      </c>
      <c r="I9" s="28">
        <f>Income_Statement!I11</f>
        <v>2000.4069703174405</v>
      </c>
      <c r="J9" s="28">
        <f>Income_Statement!J11</f>
        <v>2443.3747092710273</v>
      </c>
      <c r="K9" s="28">
        <f>Income_Statement!K11</f>
        <v>2804.2150417827124</v>
      </c>
      <c r="L9" s="28">
        <f>Income_Statement!L11</f>
        <v>3052.475952310645</v>
      </c>
    </row>
    <row r="10" spans="2:15" ht="18.75" x14ac:dyDescent="0.25">
      <c r="B10" s="9" t="s">
        <v>132</v>
      </c>
      <c r="C10" s="6"/>
      <c r="D10" s="7">
        <f>D7+D8-D9</f>
        <v>7427.9100000000008</v>
      </c>
      <c r="E10" s="7">
        <f t="shared" ref="E10:L10" si="0">E7+E8-E9</f>
        <v>8102</v>
      </c>
      <c r="F10" s="7">
        <f t="shared" si="0"/>
        <v>9144</v>
      </c>
      <c r="G10" s="7">
        <f t="shared" si="0"/>
        <v>9361</v>
      </c>
      <c r="H10" s="29">
        <f t="shared" si="0"/>
        <v>9559.4826397702564</v>
      </c>
      <c r="I10" s="29">
        <f t="shared" si="0"/>
        <v>10661.8431279905</v>
      </c>
      <c r="J10" s="29">
        <f t="shared" si="0"/>
        <v>11580.300424706094</v>
      </c>
      <c r="K10" s="29">
        <f t="shared" si="0"/>
        <v>12795.618276517851</v>
      </c>
      <c r="L10" s="29">
        <f t="shared" si="0"/>
        <v>14115.93081160582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4"/>
      <c r="I11" s="24"/>
      <c r="J11" s="24"/>
      <c r="K11" s="24"/>
      <c r="L11" s="24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10.509999999999991</v>
      </c>
      <c r="E12" s="5">
        <f>Balance_Sheet!D56-Balance_Sheet!E56</f>
        <v>-107.05999999999995</v>
      </c>
      <c r="F12" s="5">
        <f>Balance_Sheet!E56-Balance_Sheet!F56</f>
        <v>23</v>
      </c>
      <c r="G12" s="5">
        <f>Balance_Sheet!F56-Balance_Sheet!G56</f>
        <v>-320</v>
      </c>
      <c r="H12" s="28">
        <f>Balance_Sheet!G56-Balance_Sheet!H56</f>
        <v>-16.205527521620979</v>
      </c>
      <c r="I12" s="28">
        <f>Balance_Sheet!H56-Balance_Sheet!I56</f>
        <v>-148.56143601622284</v>
      </c>
      <c r="J12" s="28">
        <f>Balance_Sheet!I56-Balance_Sheet!J56</f>
        <v>-147.49025138439129</v>
      </c>
      <c r="K12" s="28">
        <f>Balance_Sheet!J56-Balance_Sheet!K56</f>
        <v>-170.75331894352939</v>
      </c>
      <c r="L12" s="28">
        <f>Balance_Sheet!K56-Balance_Sheet!L56</f>
        <v>-169.93164837559766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4.9500000000000028</v>
      </c>
      <c r="E13" s="4">
        <f>Balance_Sheet!D58-Balance_Sheet!E58</f>
        <v>60.53</v>
      </c>
      <c r="F13" s="4">
        <f>Balance_Sheet!E58-Balance_Sheet!F58</f>
        <v>0</v>
      </c>
      <c r="G13" s="4">
        <f>Balance_Sheet!F58-Balance_Sheet!G58</f>
        <v>-38</v>
      </c>
      <c r="H13" s="24">
        <f>Balance_Sheet!G58-Balance_Sheet!H58</f>
        <v>-3.7800000000000011</v>
      </c>
      <c r="I13" s="24">
        <f>Balance_Sheet!H58-Balance_Sheet!I58</f>
        <v>-6.5300000000000011</v>
      </c>
      <c r="J13" s="24">
        <f>Balance_Sheet!I58-Balance_Sheet!J58</f>
        <v>-6.4899999999999949</v>
      </c>
      <c r="K13" s="24">
        <f>Balance_Sheet!J58-Balance_Sheet!K58</f>
        <v>-7.5100000000000051</v>
      </c>
      <c r="L13" s="24">
        <f>Balance_Sheet!K58-Balance_Sheet!L58</f>
        <v>-7.4699999999999989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294.19999999999982</v>
      </c>
      <c r="E14" s="5">
        <f>Balance_Sheet!D60-Balance_Sheet!E60</f>
        <v>373.69000000000005</v>
      </c>
      <c r="F14" s="5">
        <f>Balance_Sheet!E60-Balance_Sheet!F60</f>
        <v>-709</v>
      </c>
      <c r="G14" s="5">
        <f>Balance_Sheet!F60-Balance_Sheet!G60</f>
        <v>209</v>
      </c>
      <c r="H14" s="28">
        <f>Balance_Sheet!G60-Balance_Sheet!H60</f>
        <v>2776</v>
      </c>
      <c r="I14" s="28">
        <f>Balance_Sheet!H60-Balance_Sheet!I60</f>
        <v>0</v>
      </c>
      <c r="J14" s="28">
        <f>Balance_Sheet!I60-Balance_Sheet!J60</f>
        <v>0</v>
      </c>
      <c r="K14" s="28">
        <f>Balance_Sheet!J60-Balance_Sheet!K60</f>
        <v>0</v>
      </c>
      <c r="L14" s="28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0.21000000000000085</v>
      </c>
      <c r="E15" s="4">
        <f>Balance_Sheet!D62-Balance_Sheet!E62</f>
        <v>2.740000000000002</v>
      </c>
      <c r="F15" s="4">
        <f>Balance_Sheet!E62-Balance_Sheet!F62</f>
        <v>8</v>
      </c>
      <c r="G15" s="4">
        <f>Balance_Sheet!F62-Balance_Sheet!G62</f>
        <v>40</v>
      </c>
      <c r="H15" s="24">
        <f>Balance_Sheet!G62-Balance_Sheet!H62</f>
        <v>-0.53000000000000025</v>
      </c>
      <c r="I15" s="24">
        <f>Balance_Sheet!H62-Balance_Sheet!I62</f>
        <v>-0.90999999999999925</v>
      </c>
      <c r="J15" s="24">
        <f>Balance_Sheet!I62-Balance_Sheet!J62</f>
        <v>-0.91000000000000014</v>
      </c>
      <c r="K15" s="24">
        <f>Balance_Sheet!J62-Balance_Sheet!K62</f>
        <v>-1.0500000000000007</v>
      </c>
      <c r="L15" s="24">
        <f>Balance_Sheet!K62-Balance_Sheet!L62</f>
        <v>-1.0499999999999989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-287.48000000000047</v>
      </c>
      <c r="E16" s="5">
        <f>Balance_Sheet!D64-Balance_Sheet!E64</f>
        <v>-9.6599999999998545</v>
      </c>
      <c r="F16" s="5">
        <f>Balance_Sheet!E64-Balance_Sheet!F64</f>
        <v>922</v>
      </c>
      <c r="G16" s="5">
        <f>Balance_Sheet!F64-Balance_Sheet!G64</f>
        <v>-4405</v>
      </c>
      <c r="H16" s="28">
        <f>Balance_Sheet!G64-Balance_Sheet!H64</f>
        <v>123.9358214149197</v>
      </c>
      <c r="I16" s="28">
        <f>Balance_Sheet!H64-Balance_Sheet!I64</f>
        <v>-1215.626412808906</v>
      </c>
      <c r="J16" s="28">
        <f>Balance_Sheet!I64-Balance_Sheet!J64</f>
        <v>-1206.8612825949858</v>
      </c>
      <c r="K16" s="28">
        <f>Balance_Sheet!J64-Balance_Sheet!K64</f>
        <v>-1397.2148502917771</v>
      </c>
      <c r="L16" s="28">
        <f>Balance_Sheet!K64-Balance_Sheet!L64</f>
        <v>-1390.4914066324345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-562.40000000000146</v>
      </c>
      <c r="E17" s="5">
        <f>Balance_Sheet!D66-Balance_Sheet!E66</f>
        <v>-190.20999999999913</v>
      </c>
      <c r="F17" s="5">
        <f>Balance_Sheet!E66-Balance_Sheet!F66</f>
        <v>-8284</v>
      </c>
      <c r="G17" s="5">
        <f>Balance_Sheet!F66-Balance_Sheet!G66</f>
        <v>-13815</v>
      </c>
      <c r="H17" s="28">
        <f>Balance_Sheet!G66-Balance_Sheet!H66</f>
        <v>10300.540953678807</v>
      </c>
      <c r="I17" s="28">
        <f>Balance_Sheet!H66-Balance_Sheet!I66</f>
        <v>-4151.5469708318851</v>
      </c>
      <c r="J17" s="28">
        <f>Balance_Sheet!I66-Balance_Sheet!J66</f>
        <v>-4121.6127333020559</v>
      </c>
      <c r="K17" s="28">
        <f>Balance_Sheet!J66-Balance_Sheet!K66</f>
        <v>-4771.6987869051736</v>
      </c>
      <c r="L17" s="28">
        <f>Balance_Sheet!K66-Balance_Sheet!L66</f>
        <v>-4748.7372159295992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-1499.9500000000007</v>
      </c>
      <c r="E18" s="5">
        <f>Balance_Sheet!D68-Balance_Sheet!E68</f>
        <v>2114.7600000000002</v>
      </c>
      <c r="F18" s="5">
        <f>Balance_Sheet!E68-Balance_Sheet!F68</f>
        <v>-3614</v>
      </c>
      <c r="G18" s="5">
        <f>Balance_Sheet!F68-Balance_Sheet!G68</f>
        <v>-8117</v>
      </c>
      <c r="H18" s="28">
        <f>Balance_Sheet!G68-Balance_Sheet!H68</f>
        <v>928.82381487545717</v>
      </c>
      <c r="I18" s="28">
        <f>Balance_Sheet!H68-Balance_Sheet!I68</f>
        <v>-2446.9260139776852</v>
      </c>
      <c r="J18" s="28">
        <f>Balance_Sheet!I68-Balance_Sheet!J68</f>
        <v>-2429.2827438822351</v>
      </c>
      <c r="K18" s="28">
        <f>Balance_Sheet!J68-Balance_Sheet!K68</f>
        <v>-2812.4441261480861</v>
      </c>
      <c r="L18" s="28">
        <f>Balance_Sheet!K68-Balance_Sheet!L68</f>
        <v>-2798.9105528230866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4"/>
      <c r="I19" s="24"/>
      <c r="J19" s="24"/>
      <c r="K19" s="24"/>
      <c r="L19" s="24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359.05999999999949</v>
      </c>
      <c r="E20" s="5">
        <f>Balance_Sheet!E23-Balance_Sheet!D23</f>
        <v>896.89000000000033</v>
      </c>
      <c r="F20" s="5">
        <f>Balance_Sheet!F23-Balance_Sheet!E23</f>
        <v>-191</v>
      </c>
      <c r="G20" s="5">
        <f>Balance_Sheet!G23-Balance_Sheet!F23</f>
        <v>-1298</v>
      </c>
      <c r="H20" s="28">
        <f>Balance_Sheet!H23-Balance_Sheet!G23</f>
        <v>4341.6508559992071</v>
      </c>
      <c r="I20" s="28">
        <f>Balance_Sheet!I23-Balance_Sheet!H23</f>
        <v>1359.0116806090191</v>
      </c>
      <c r="J20" s="28">
        <f>Balance_Sheet!J23-Balance_Sheet!I23</f>
        <v>1349.21268791088</v>
      </c>
      <c r="K20" s="28">
        <f>Balance_Sheet!K23-Balance_Sheet!J23</f>
        <v>1562.0187928290725</v>
      </c>
      <c r="L20" s="28">
        <f>Balance_Sheet!L23-Balance_Sheet!K23</f>
        <v>1554.5023071960823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105.63999999999987</v>
      </c>
      <c r="E21" s="5">
        <f>Balance_Sheet!E25-Balance_Sheet!D25</f>
        <v>232.92000000000007</v>
      </c>
      <c r="F21" s="5">
        <f>Balance_Sheet!F25-Balance_Sheet!E25</f>
        <v>399</v>
      </c>
      <c r="G21" s="5">
        <f>Balance_Sheet!G25-Balance_Sheet!F25</f>
        <v>231</v>
      </c>
      <c r="H21" s="28">
        <f>Balance_Sheet!H25-Balance_Sheet!G25</f>
        <v>140.58372468511743</v>
      </c>
      <c r="I21" s="28">
        <f>Balance_Sheet!I25-Balance_Sheet!H25</f>
        <v>362.12095986787472</v>
      </c>
      <c r="J21" s="28">
        <f>Balance_Sheet!J25-Balance_Sheet!I25</f>
        <v>359.50992959328732</v>
      </c>
      <c r="K21" s="28">
        <f>Balance_Sheet!K25-Balance_Sheet!J25</f>
        <v>416.21404191128067</v>
      </c>
      <c r="L21" s="28">
        <f>Balance_Sheet!L25-Balance_Sheet!K25</f>
        <v>414.21120629839606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72.689999999999827</v>
      </c>
      <c r="E22" s="5">
        <f>Balance_Sheet!E27-Balance_Sheet!D27</f>
        <v>1140.6400000000001</v>
      </c>
      <c r="F22" s="5">
        <f>Balance_Sheet!F27-Balance_Sheet!E27</f>
        <v>442</v>
      </c>
      <c r="G22" s="5">
        <f>Balance_Sheet!G27-Balance_Sheet!F27</f>
        <v>434</v>
      </c>
      <c r="H22" s="28">
        <f>Balance_Sheet!H27-Balance_Sheet!G27</f>
        <v>262.67999999999984</v>
      </c>
      <c r="I22" s="28">
        <f>Balance_Sheet!I27-Balance_Sheet!H27</f>
        <v>453.71000000000049</v>
      </c>
      <c r="J22" s="28">
        <f>Balance_Sheet!J27-Balance_Sheet!I27</f>
        <v>450.42999999999938</v>
      </c>
      <c r="K22" s="28">
        <f>Balance_Sheet!K27-Balance_Sheet!J27</f>
        <v>521.49000000000069</v>
      </c>
      <c r="L22" s="28">
        <f>Balance_Sheet!L27-Balance_Sheet!K27</f>
        <v>518.96999999999935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318.04999999999927</v>
      </c>
      <c r="E23" s="5">
        <f>Balance_Sheet!E29-Balance_Sheet!D29</f>
        <v>-2422.8499999999985</v>
      </c>
      <c r="F23" s="5">
        <f>Balance_Sheet!F29-Balance_Sheet!E29</f>
        <v>9980</v>
      </c>
      <c r="G23" s="5">
        <f>Balance_Sheet!G29-Balance_Sheet!F29</f>
        <v>13102</v>
      </c>
      <c r="H23" s="28">
        <f>Balance_Sheet!H29-Balance_Sheet!G29</f>
        <v>-9137.8288973397139</v>
      </c>
      <c r="I23" s="28">
        <f>Balance_Sheet!I29-Balance_Sheet!H29</f>
        <v>3916.1369486857075</v>
      </c>
      <c r="J23" s="28">
        <f>Balance_Sheet!J29-Balance_Sheet!I29</f>
        <v>3887.900107227586</v>
      </c>
      <c r="K23" s="28">
        <f>Balance_Sheet!K29-Balance_Sheet!J29</f>
        <v>4501.1235712102934</v>
      </c>
      <c r="L23" s="28">
        <f>Balance_Sheet!L29-Balance_Sheet!K29</f>
        <v>4479.4640170419152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-273</v>
      </c>
      <c r="E24" s="5">
        <f>Balance_Sheet!E31-Balance_Sheet!D31</f>
        <v>1176.7299999999996</v>
      </c>
      <c r="F24" s="5">
        <f>Balance_Sheet!F31-Balance_Sheet!E31</f>
        <v>3585</v>
      </c>
      <c r="G24" s="5">
        <f>Balance_Sheet!G31-Balance_Sheet!F31</f>
        <v>9876</v>
      </c>
      <c r="H24" s="28">
        <f>Balance_Sheet!H31-Balance_Sheet!G31</f>
        <v>-10253.680595323363</v>
      </c>
      <c r="I24" s="28">
        <f>Balance_Sheet!I31-Balance_Sheet!H31</f>
        <v>1359.8215928808113</v>
      </c>
      <c r="J24" s="28">
        <f>Balance_Sheet!J31-Balance_Sheet!I31</f>
        <v>1350.0167604062008</v>
      </c>
      <c r="K24" s="28">
        <f>Balance_Sheet!K31-Balance_Sheet!J31</f>
        <v>1562.9496885727458</v>
      </c>
      <c r="L24" s="28">
        <f>Balance_Sheet!L31-Balance_Sheet!K31</f>
        <v>1555.4287234389249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4"/>
      <c r="I25" s="24"/>
      <c r="J25" s="24"/>
      <c r="K25" s="24"/>
      <c r="L25" s="24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2588.09</v>
      </c>
      <c r="E26" s="5">
        <f>Income_Statement!E47</f>
        <v>2157</v>
      </c>
      <c r="F26" s="5">
        <f>Income_Statement!F47</f>
        <v>2723</v>
      </c>
      <c r="G26" s="5">
        <f>Income_Statement!G47</f>
        <v>5373</v>
      </c>
      <c r="H26" s="28">
        <f>Income_Statement!H47</f>
        <v>8186.4257741111642</v>
      </c>
      <c r="I26" s="28">
        <f>Income_Statement!I47</f>
        <v>9628.0826984737469</v>
      </c>
      <c r="J26" s="28">
        <f>Income_Statement!J47</f>
        <v>12401.398745742477</v>
      </c>
      <c r="K26" s="28">
        <f>Income_Statement!K47</f>
        <v>14452.824459918174</v>
      </c>
      <c r="L26" s="28">
        <f>Income_Statement!L47</f>
        <v>15648.943422257298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11289.918687078882</v>
      </c>
      <c r="E27" s="7">
        <f t="shared" ref="E27:L27" si="1">E12+E13+E14+E15+E16+E17+E18+E20+E21+E22+E23+E24-E26+E10+E5</f>
        <v>14421.130124637195</v>
      </c>
      <c r="F27" s="7">
        <f t="shared" si="1"/>
        <v>14943.009327603446</v>
      </c>
      <c r="G27" s="7">
        <f t="shared" si="1"/>
        <v>11971.005823878921</v>
      </c>
      <c r="H27" s="29">
        <f t="shared" si="1"/>
        <v>19246.71486111428</v>
      </c>
      <c r="I27" s="29">
        <f t="shared" si="1"/>
        <v>22168.249611192659</v>
      </c>
      <c r="J27" s="29">
        <f t="shared" si="1"/>
        <v>26554.367269966904</v>
      </c>
      <c r="K27" s="29">
        <f t="shared" si="1"/>
        <v>30250.667562344825</v>
      </c>
      <c r="L27" s="29">
        <f t="shared" si="1"/>
        <v>33067.821777707344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4"/>
      <c r="I28" s="24"/>
      <c r="J28" s="24"/>
      <c r="K28" s="24"/>
      <c r="L28" s="24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-297.77000000000407</v>
      </c>
      <c r="E29" s="5">
        <f>Balance_Sheet!D40-Balance_Sheet!E40</f>
        <v>-1880.9199999999983</v>
      </c>
      <c r="F29" s="5">
        <f>Balance_Sheet!E40-Balance_Sheet!F40</f>
        <v>-4781</v>
      </c>
      <c r="G29" s="5">
        <f>Balance_Sheet!F40-Balance_Sheet!G40</f>
        <v>-16984</v>
      </c>
      <c r="H29" s="28">
        <f>Balance_Sheet!G40-Balance_Sheet!H40</f>
        <v>-6644.8000000000029</v>
      </c>
      <c r="I29" s="28">
        <f>Balance_Sheet!H40-Balance_Sheet!I40</f>
        <v>-11477.12999999999</v>
      </c>
      <c r="J29" s="28">
        <f>Balance_Sheet!I40-Balance_Sheet!J40</f>
        <v>-11394.36</v>
      </c>
      <c r="K29" s="28">
        <f>Balance_Sheet!J40-Balance_Sheet!K40</f>
        <v>-13191.560000000012</v>
      </c>
      <c r="L29" s="28">
        <f>Balance_Sheet!K40-Balance_Sheet!L40</f>
        <v>-13128.079999999987</v>
      </c>
    </row>
    <row r="30" spans="2:12" ht="18.75" x14ac:dyDescent="0.25">
      <c r="B30" s="8" t="str">
        <f>Balance_Sheet!B42</f>
        <v>Intangible Assets</v>
      </c>
      <c r="C30" s="4"/>
      <c r="D30" s="5">
        <f>Balance_Sheet!C42-Balance_Sheet!D42</f>
        <v>272.14999999999964</v>
      </c>
      <c r="E30" s="5">
        <f>Balance_Sheet!D42-Balance_Sheet!E42</f>
        <v>68.5300000000002</v>
      </c>
      <c r="F30" s="5">
        <f>Balance_Sheet!E42-Balance_Sheet!F42</f>
        <v>-3074</v>
      </c>
      <c r="G30" s="5">
        <f>Balance_Sheet!F42-Balance_Sheet!G42</f>
        <v>6082</v>
      </c>
      <c r="H30" s="28">
        <f>Balance_Sheet!G42-Balance_Sheet!H42</f>
        <v>0</v>
      </c>
      <c r="I30" s="28">
        <f>Balance_Sheet!H42-Balance_Sheet!I42</f>
        <v>0</v>
      </c>
      <c r="J30" s="28">
        <f>Balance_Sheet!I42-Balance_Sheet!J42</f>
        <v>0</v>
      </c>
      <c r="K30" s="28">
        <f>Balance_Sheet!J42-Balance_Sheet!K42</f>
        <v>0</v>
      </c>
      <c r="L30" s="28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1721.13</v>
      </c>
      <c r="E31" s="5">
        <f>Balance_Sheet!D48-Balance_Sheet!E48</f>
        <v>2024.6999999999998</v>
      </c>
      <c r="F31" s="5">
        <f>Balance_Sheet!E48-Balance_Sheet!F48</f>
        <v>-4584</v>
      </c>
      <c r="G31" s="5">
        <f>Balance_Sheet!F48-Balance_Sheet!G48</f>
        <v>-951</v>
      </c>
      <c r="H31" s="28">
        <f>Balance_Sheet!G48-Balance_Sheet!H48</f>
        <v>-655.52535221812104</v>
      </c>
      <c r="I31" s="28">
        <f>Balance_Sheet!H48-Balance_Sheet!I48</f>
        <v>-1132.2445185718716</v>
      </c>
      <c r="J31" s="28">
        <f>Balance_Sheet!I48-Balance_Sheet!J48</f>
        <v>-1124.0806036266931</v>
      </c>
      <c r="K31" s="28">
        <f>Balance_Sheet!J48-Balance_Sheet!K48</f>
        <v>-1301.3774946322774</v>
      </c>
      <c r="L31" s="28">
        <f>Balance_Sheet!K48-Balance_Sheet!L48</f>
        <v>-1295.1152234698529</v>
      </c>
    </row>
    <row r="32" spans="2:12" ht="18.75" x14ac:dyDescent="0.25">
      <c r="B32" s="8" t="str">
        <f>Balance_Sheet!B50</f>
        <v>Current Investments</v>
      </c>
      <c r="C32" s="4"/>
      <c r="D32" s="5">
        <f>Balance_Sheet!C50-Balance_Sheet!D50</f>
        <v>48.170000000000073</v>
      </c>
      <c r="E32" s="5">
        <f>Balance_Sheet!D50-Balance_Sheet!E50</f>
        <v>-2423.69</v>
      </c>
      <c r="F32" s="5">
        <f>Balance_Sheet!E50-Balance_Sheet!F50</f>
        <v>-3138</v>
      </c>
      <c r="G32" s="5">
        <f>Balance_Sheet!F50-Balance_Sheet!G50</f>
        <v>3965</v>
      </c>
      <c r="H32" s="28">
        <f>Balance_Sheet!G50-Balance_Sheet!H50</f>
        <v>-716.37592212677282</v>
      </c>
      <c r="I32" s="28">
        <f>Balance_Sheet!H50-Balance_Sheet!I50</f>
        <v>-749.16501296046408</v>
      </c>
      <c r="J32" s="28">
        <f>Balance_Sheet!I50-Balance_Sheet!J50</f>
        <v>-743.76324740064865</v>
      </c>
      <c r="K32" s="28">
        <f>Balance_Sheet!J50-Balance_Sheet!K50</f>
        <v>-861.07415106974622</v>
      </c>
      <c r="L32" s="28">
        <f>Balance_Sheet!K50-Balance_Sheet!L50</f>
        <v>-856.93063402938424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15913.809999999998</v>
      </c>
      <c r="E33" s="5">
        <f>Balance_Sheet!D52-Balance_Sheet!E52</f>
        <v>-3635.37</v>
      </c>
      <c r="F33" s="5">
        <f>Balance_Sheet!E52-Balance_Sheet!F52</f>
        <v>-2403</v>
      </c>
      <c r="G33" s="5">
        <f>Balance_Sheet!F52-Balance_Sheet!G52</f>
        <v>10013</v>
      </c>
      <c r="H33" s="28">
        <f>Balance_Sheet!G52-Balance_Sheet!H52</f>
        <v>-10229.224246636852</v>
      </c>
      <c r="I33" s="28">
        <f>Balance_Sheet!H52-Balance_Sheet!I52</f>
        <v>-1242.3654154763244</v>
      </c>
      <c r="J33" s="28">
        <f>Balance_Sheet!I52-Balance_Sheet!J52</f>
        <v>-1233.4074868518874</v>
      </c>
      <c r="K33" s="28">
        <f>Balance_Sheet!J52-Balance_Sheet!K52</f>
        <v>-1427.9480847914947</v>
      </c>
      <c r="L33" s="28">
        <f>Balance_Sheet!K52-Balance_Sheet!L52</f>
        <v>-1421.0767518003267</v>
      </c>
    </row>
    <row r="34" spans="2:12" ht="18.75" x14ac:dyDescent="0.25">
      <c r="B34" s="8" t="s">
        <v>59</v>
      </c>
      <c r="C34" s="4"/>
      <c r="D34" s="5">
        <f>Income_Statement!D11</f>
        <v>1127.1099999999999</v>
      </c>
      <c r="E34" s="5">
        <f>Income_Statement!E11</f>
        <v>1186</v>
      </c>
      <c r="F34" s="5">
        <f>Income_Statement!F11</f>
        <v>1222</v>
      </c>
      <c r="G34" s="5">
        <f>Income_Statement!G11</f>
        <v>1136</v>
      </c>
      <c r="H34" s="28">
        <f>Income_Statement!H11</f>
        <v>1731.4534625531128</v>
      </c>
      <c r="I34" s="28">
        <f>Income_Statement!I11</f>
        <v>2000.4069703174405</v>
      </c>
      <c r="J34" s="28">
        <f>Income_Statement!J11</f>
        <v>2443.3747092710273</v>
      </c>
      <c r="K34" s="28">
        <f>Income_Statement!K11</f>
        <v>2804.2150417827124</v>
      </c>
      <c r="L34" s="28">
        <f>Income_Statement!L11</f>
        <v>3052.475952310645</v>
      </c>
    </row>
    <row r="35" spans="2:12" ht="18.75" x14ac:dyDescent="0.25">
      <c r="B35" s="9" t="s">
        <v>137</v>
      </c>
      <c r="C35" s="6"/>
      <c r="D35" s="7">
        <f>D29+D30+D31+D32+D33+D34</f>
        <v>18784.599999999995</v>
      </c>
      <c r="E35" s="7">
        <f t="shared" ref="E35:L35" si="2">E29+E30+E31+E32+E33+E34</f>
        <v>-4660.7499999999982</v>
      </c>
      <c r="F35" s="7">
        <f t="shared" si="2"/>
        <v>-16758</v>
      </c>
      <c r="G35" s="7">
        <f t="shared" si="2"/>
        <v>3261</v>
      </c>
      <c r="H35" s="29">
        <f t="shared" si="2"/>
        <v>-16514.472058428637</v>
      </c>
      <c r="I35" s="29">
        <f t="shared" si="2"/>
        <v>-12600.497976691209</v>
      </c>
      <c r="J35" s="29">
        <f t="shared" si="2"/>
        <v>-12052.236628608201</v>
      </c>
      <c r="K35" s="29">
        <f t="shared" si="2"/>
        <v>-13977.744688710818</v>
      </c>
      <c r="L35" s="29">
        <f t="shared" si="2"/>
        <v>-13648.726656988907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4"/>
      <c r="I36" s="24"/>
      <c r="J36" s="24"/>
      <c r="K36" s="24"/>
      <c r="L36" s="24"/>
    </row>
    <row r="37" spans="2:12" ht="18.75" x14ac:dyDescent="0.25">
      <c r="B37" s="8" t="str">
        <f>Balance_Sheet!B5</f>
        <v>Equity Share Capital</v>
      </c>
      <c r="C37" s="4"/>
      <c r="D37" s="4">
        <f>Balance_Sheet!D5-Balance_Sheet!C5</f>
        <v>-0.5</v>
      </c>
      <c r="E37" s="4">
        <f>Balance_Sheet!E5-Balance_Sheet!D5</f>
        <v>-0.38999999999998636</v>
      </c>
      <c r="F37" s="4">
        <f>Balance_Sheet!F5-Balance_Sheet!E5</f>
        <v>0</v>
      </c>
      <c r="G37" s="4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4">
        <f>Balance_Sheet!H7-Balance_Sheet!G7</f>
        <v>0</v>
      </c>
      <c r="I38" s="24">
        <f>Balance_Sheet!I7-Balance_Sheet!H7</f>
        <v>0</v>
      </c>
      <c r="J38" s="24">
        <f>Balance_Sheet!J7-Balance_Sheet!I7</f>
        <v>0</v>
      </c>
      <c r="K38" s="24">
        <f>Balance_Sheet!K7-Balance_Sheet!J7</f>
        <v>0</v>
      </c>
      <c r="L38" s="24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157.34999999999854</v>
      </c>
      <c r="E39" s="5">
        <f>Balance_Sheet!E15-Balance_Sheet!D15</f>
        <v>10347.39</v>
      </c>
      <c r="F39" s="5">
        <f>Balance_Sheet!F15-Balance_Sheet!E15</f>
        <v>606</v>
      </c>
      <c r="G39" s="5">
        <f>Balance_Sheet!G15-Balance_Sheet!F15</f>
        <v>-7350</v>
      </c>
      <c r="H39" s="28">
        <f>Balance_Sheet!H15-Balance_Sheet!G15</f>
        <v>3905.3899999999994</v>
      </c>
      <c r="I39" s="28">
        <f>Balance_Sheet!I15-Balance_Sheet!H15</f>
        <v>6745.5299999999988</v>
      </c>
      <c r="J39" s="28">
        <f>Balance_Sheet!J15-Balance_Sheet!I15</f>
        <v>6696.8800000000047</v>
      </c>
      <c r="K39" s="28">
        <f>Balance_Sheet!K15-Balance_Sheet!J15</f>
        <v>7753.1600000000035</v>
      </c>
      <c r="L39" s="28">
        <f>Balance_Sheet!L15-Balance_Sheet!K15</f>
        <v>7715.8499999999913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586.26000000000022</v>
      </c>
      <c r="E40" s="5">
        <f>Balance_Sheet!E17-Balance_Sheet!D17</f>
        <v>217.52999999999975</v>
      </c>
      <c r="F40" s="5">
        <f>Balance_Sheet!F17-Balance_Sheet!E17</f>
        <v>-178</v>
      </c>
      <c r="G40" s="5">
        <f>Balance_Sheet!G17-Balance_Sheet!F17</f>
        <v>1138</v>
      </c>
      <c r="H40" s="28">
        <f>Balance_Sheet!H17-Balance_Sheet!G17</f>
        <v>480.06116844658573</v>
      </c>
      <c r="I40" s="28">
        <f>Balance_Sheet!I17-Balance_Sheet!H17</f>
        <v>742.2039897145205</v>
      </c>
      <c r="J40" s="28">
        <f>Balance_Sheet!J17-Balance_Sheet!I17</f>
        <v>736.85241578803107</v>
      </c>
      <c r="K40" s="28">
        <f>Balance_Sheet!K17-Balance_Sheet!J17</f>
        <v>853.07330068514057</v>
      </c>
      <c r="L40" s="28">
        <f>Balance_Sheet!L17-Balance_Sheet!K17</f>
        <v>848.968283999091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827.56999999999971</v>
      </c>
      <c r="E41" s="5">
        <f>Balance_Sheet!E19-Balance_Sheet!D19</f>
        <v>4491.2700000000004</v>
      </c>
      <c r="F41" s="5">
        <f>Balance_Sheet!F19-Balance_Sheet!E19</f>
        <v>-2688</v>
      </c>
      <c r="G41" s="5">
        <f>Balance_Sheet!G19-Balance_Sheet!F19</f>
        <v>5571</v>
      </c>
      <c r="H41" s="28">
        <f>Balance_Sheet!H19-Balance_Sheet!G19</f>
        <v>877.36000000000058</v>
      </c>
      <c r="I41" s="28">
        <f>Balance_Sheet!I19-Balance_Sheet!H19</f>
        <v>1515.4099999999999</v>
      </c>
      <c r="J41" s="28">
        <f>Balance_Sheet!J19-Balance_Sheet!I19</f>
        <v>1504.4799999999996</v>
      </c>
      <c r="K41" s="28">
        <f>Balance_Sheet!K19-Balance_Sheet!J19</f>
        <v>1741.7799999999988</v>
      </c>
      <c r="L41" s="28">
        <f>Balance_Sheet!L19-Balance_Sheet!K19</f>
        <v>1733.3899999999994</v>
      </c>
    </row>
    <row r="42" spans="2:12" ht="18.75" x14ac:dyDescent="0.25">
      <c r="B42" s="8" t="str">
        <f>Balance_Sheet!B35:G35</f>
        <v>Minority Interest</v>
      </c>
      <c r="C42" s="4"/>
      <c r="D42" s="4">
        <f>Balance_Sheet!D35-Balance_Sheet!C35</f>
        <v>0.83999999999999986</v>
      </c>
      <c r="E42" s="4">
        <f>Balance_Sheet!E35-Balance_Sheet!D35</f>
        <v>0.51999999999999957</v>
      </c>
      <c r="F42" s="4">
        <f>Balance_Sheet!F35-Balance_Sheet!E35</f>
        <v>0</v>
      </c>
      <c r="G42" s="4">
        <f>Balance_Sheet!G35-Balance_Sheet!F35</f>
        <v>1</v>
      </c>
      <c r="H42" s="24">
        <f>Balance_Sheet!H35-Balance_Sheet!G35</f>
        <v>2.4418189837540751</v>
      </c>
      <c r="I42" s="24">
        <f>Balance_Sheet!I35-Balance_Sheet!H35</f>
        <v>1.6325432529255259</v>
      </c>
      <c r="J42" s="24">
        <f>Balance_Sheet!J35-Balance_Sheet!I35</f>
        <v>1.6207719932350706</v>
      </c>
      <c r="K42" s="24">
        <f>Balance_Sheet!K35-Balance_Sheet!J35</f>
        <v>1.876410098280541</v>
      </c>
      <c r="L42" s="24">
        <f>Balance_Sheet!L35-Balance_Sheet!K35</f>
        <v>1.8673807513801961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4"/>
      <c r="I43" s="24"/>
      <c r="J43" s="24"/>
      <c r="K43" s="24"/>
      <c r="L43" s="24"/>
    </row>
    <row r="44" spans="2:12" ht="18.75" x14ac:dyDescent="0.25">
      <c r="B44" s="8" t="str">
        <f>Income_Statement!B51</f>
        <v>Equity Share Dividend</v>
      </c>
      <c r="C44" s="4"/>
      <c r="D44" s="4">
        <f>Income_Statement!D51</f>
        <v>269.45999999999998</v>
      </c>
      <c r="E44" s="4">
        <f>Income_Statement!E51</f>
        <v>267</v>
      </c>
      <c r="F44" s="4">
        <f>Income_Statement!F51</f>
        <v>222</v>
      </c>
      <c r="G44" s="4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53.41</v>
      </c>
      <c r="E45" s="4">
        <f>Income_Statement!E53</f>
        <v>56</v>
      </c>
      <c r="F45" s="4">
        <f>Income_Statement!F53</f>
        <v>0</v>
      </c>
      <c r="G45" s="4">
        <f>Income_Statement!G53</f>
        <v>0</v>
      </c>
      <c r="H45" s="24">
        <f>Income_Statement!H53</f>
        <v>0</v>
      </c>
      <c r="I45" s="24">
        <f>Income_Statement!I53</f>
        <v>0</v>
      </c>
      <c r="J45" s="24">
        <f>Income_Statement!J53</f>
        <v>0</v>
      </c>
      <c r="K45" s="24">
        <f>Income_Statement!K53</f>
        <v>0</v>
      </c>
      <c r="L45" s="24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3778.04</v>
      </c>
      <c r="E46" s="5">
        <f>Income_Statement!E35</f>
        <v>4197</v>
      </c>
      <c r="F46" s="5">
        <f>Income_Statement!F35</f>
        <v>3738</v>
      </c>
      <c r="G46" s="5">
        <f>Income_Statement!G35</f>
        <v>3768</v>
      </c>
      <c r="H46" s="28">
        <f>Income_Statement!H35</f>
        <v>4052.9910434757353</v>
      </c>
      <c r="I46" s="28">
        <f>Income_Statement!I35</f>
        <v>4545.2374071385011</v>
      </c>
      <c r="J46" s="28">
        <f>Income_Statement!J35</f>
        <v>5033.9344117561641</v>
      </c>
      <c r="K46" s="28">
        <f>Income_Statement!K35</f>
        <v>5599.7116545174695</v>
      </c>
      <c r="L46" s="28">
        <f>Income_Statement!L35</f>
        <v>6162.7662811837481</v>
      </c>
    </row>
    <row r="47" spans="2:12" ht="18.75" x14ac:dyDescent="0.25">
      <c r="B47" s="9" t="s">
        <v>141</v>
      </c>
      <c r="C47" s="6"/>
      <c r="D47" s="7">
        <f>D37+D38+D39+D40+D41+D42-D44-D45-D46</f>
        <v>-2529.3900000000017</v>
      </c>
      <c r="E47" s="7">
        <f t="shared" ref="E47:L47" si="3">E37+E38+E39+E40+E41+E42-E44-E45-E46</f>
        <v>10536.32</v>
      </c>
      <c r="F47" s="7">
        <f t="shared" si="3"/>
        <v>-6220</v>
      </c>
      <c r="G47" s="7">
        <f t="shared" si="3"/>
        <v>-4408</v>
      </c>
      <c r="H47" s="29">
        <f t="shared" si="3"/>
        <v>1212.2619439546047</v>
      </c>
      <c r="I47" s="29">
        <f t="shared" si="3"/>
        <v>4459.5391258289428</v>
      </c>
      <c r="J47" s="29">
        <f t="shared" si="3"/>
        <v>3905.8987760251066</v>
      </c>
      <c r="K47" s="29">
        <f t="shared" si="3"/>
        <v>4750.1780562659542</v>
      </c>
      <c r="L47" s="29">
        <f t="shared" si="3"/>
        <v>4137.3093835667141</v>
      </c>
    </row>
    <row r="48" spans="2:12" ht="18.75" x14ac:dyDescent="0.25">
      <c r="B48" s="9" t="s">
        <v>142</v>
      </c>
      <c r="C48" s="6"/>
      <c r="D48" s="7">
        <f>D27+D35+D47</f>
        <v>27545.128687078872</v>
      </c>
      <c r="E48" s="7">
        <f t="shared" ref="E48:L48" si="4">E27+E35+E47</f>
        <v>20296.700124637195</v>
      </c>
      <c r="F48" s="7">
        <f t="shared" si="4"/>
        <v>-8034.9906723965541</v>
      </c>
      <c r="G48" s="7">
        <f t="shared" si="4"/>
        <v>10824.005823878921</v>
      </c>
      <c r="H48" s="29">
        <f t="shared" si="4"/>
        <v>3944.504746640248</v>
      </c>
      <c r="I48" s="29">
        <f t="shared" si="4"/>
        <v>14027.290760330394</v>
      </c>
      <c r="J48" s="29">
        <f t="shared" si="4"/>
        <v>18408.029417383808</v>
      </c>
      <c r="K48" s="29">
        <f t="shared" si="4"/>
        <v>21023.10092989996</v>
      </c>
      <c r="L48" s="29">
        <f t="shared" si="4"/>
        <v>23556.40450428515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A7C4AC96-0D44-4373-A07A-EAF954B02B2B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71B86-51EE-4259-9CA2-FF704E6AC9A3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4" t="s">
        <v>145</v>
      </c>
      <c r="C5" s="44"/>
      <c r="D5" s="44"/>
      <c r="E5" s="44"/>
      <c r="F5" s="44"/>
      <c r="G5" s="44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3598.3940597894507</v>
      </c>
      <c r="D6" s="13">
        <f>Income_Statement!D49</f>
        <v>5319.528687078885</v>
      </c>
      <c r="E6" s="13">
        <f>Income_Statement!E49</f>
        <v>3050.0101246371923</v>
      </c>
      <c r="F6" s="13">
        <f>Income_Statement!F49</f>
        <v>3238.0093276034459</v>
      </c>
      <c r="G6" s="13">
        <f>Income_Statement!G49</f>
        <v>6711.0058238789206</v>
      </c>
      <c r="I6" s="35"/>
      <c r="J6" s="36"/>
      <c r="K6" s="36"/>
      <c r="L6" s="37"/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  <c r="I7" s="38"/>
      <c r="J7" s="39"/>
      <c r="K7" s="39"/>
      <c r="L7" s="40"/>
    </row>
    <row r="8" spans="2:15" ht="19.5" thickBot="1" x14ac:dyDescent="0.3">
      <c r="B8" s="14" t="s">
        <v>146</v>
      </c>
      <c r="C8" s="14">
        <f>ROUND(C6/C7, 2)</f>
        <v>27</v>
      </c>
      <c r="D8" s="14">
        <f t="shared" ref="D8:G8" si="0">ROUND(D6/D7, 2)</f>
        <v>25</v>
      </c>
      <c r="E8" s="14">
        <f t="shared" si="0"/>
        <v>17</v>
      </c>
      <c r="F8" s="14">
        <f t="shared" si="0"/>
        <v>16</v>
      </c>
      <c r="G8" s="14">
        <f t="shared" si="0"/>
        <v>62</v>
      </c>
      <c r="I8" s="41"/>
      <c r="J8" s="42"/>
      <c r="K8" s="42"/>
      <c r="L8" s="43"/>
    </row>
    <row r="9" spans="2:15" ht="15.75" thickTop="1" x14ac:dyDescent="0.25"/>
    <row r="10" spans="2:15" ht="19.5" thickBot="1" x14ac:dyDescent="0.3">
      <c r="B10" s="44" t="s">
        <v>147</v>
      </c>
      <c r="C10" s="44"/>
      <c r="D10" s="44"/>
      <c r="E10" s="44"/>
      <c r="F10" s="44"/>
      <c r="G10" s="44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293.76</v>
      </c>
      <c r="D11" s="13">
        <f>Income_Statement!D51</f>
        <v>269.45999999999998</v>
      </c>
      <c r="E11" s="13">
        <f>Income_Statement!E51</f>
        <v>267</v>
      </c>
      <c r="F11" s="13">
        <f>Income_Statement!F51</f>
        <v>222</v>
      </c>
      <c r="G11" s="13">
        <f>Income_Statement!G51</f>
        <v>0</v>
      </c>
      <c r="I11" s="35"/>
      <c r="J11" s="36"/>
      <c r="K11" s="36"/>
      <c r="L11" s="37"/>
    </row>
    <row r="12" spans="2:15" ht="18.75" x14ac:dyDescent="0.25">
      <c r="B12" s="12" t="str">
        <f>Income_Statement!B61</f>
        <v>Total Shares Outstanding(cr)</v>
      </c>
      <c r="C12" s="13">
        <f>Income_Statement!C61</f>
        <v>133.27385406627596</v>
      </c>
      <c r="D12" s="13">
        <f>Income_Statement!D61</f>
        <v>212.78114748315539</v>
      </c>
      <c r="E12" s="13">
        <f>Income_Statement!E61</f>
        <v>179.41236027277603</v>
      </c>
      <c r="F12" s="13">
        <f>Income_Statement!F61</f>
        <v>202.37558297521537</v>
      </c>
      <c r="G12" s="13">
        <f>Income_Statement!G61</f>
        <v>108.24202941740195</v>
      </c>
      <c r="I12" s="38"/>
      <c r="J12" s="39"/>
      <c r="K12" s="39"/>
      <c r="L12" s="40"/>
    </row>
    <row r="13" spans="2:15" ht="19.5" thickBot="1" x14ac:dyDescent="0.3">
      <c r="B13" s="14" t="s">
        <v>148</v>
      </c>
      <c r="C13" s="14">
        <f>ROUND(C11/C12, 2)</f>
        <v>2.2000000000000002</v>
      </c>
      <c r="D13" s="14">
        <f t="shared" ref="D13:G13" si="1">ROUND(D11/D12, 2)</f>
        <v>1.27</v>
      </c>
      <c r="E13" s="14">
        <f t="shared" si="1"/>
        <v>1.49</v>
      </c>
      <c r="F13" s="14">
        <f t="shared" si="1"/>
        <v>1.1000000000000001</v>
      </c>
      <c r="G13" s="14">
        <f t="shared" si="1"/>
        <v>0</v>
      </c>
      <c r="I13" s="41"/>
      <c r="J13" s="42"/>
      <c r="K13" s="42"/>
      <c r="L13" s="43"/>
    </row>
    <row r="14" spans="2:15" ht="15.75" thickTop="1" x14ac:dyDescent="0.25"/>
    <row r="15" spans="2:15" ht="19.5" thickBot="1" x14ac:dyDescent="0.3">
      <c r="B15" s="44" t="s">
        <v>149</v>
      </c>
      <c r="C15" s="44"/>
      <c r="D15" s="44"/>
      <c r="E15" s="44"/>
      <c r="F15" s="44"/>
      <c r="G15" s="44"/>
    </row>
    <row r="16" spans="2:15" ht="19.5" thickTop="1" x14ac:dyDescent="0.25">
      <c r="B16" s="12" t="str">
        <f>Balance_Sheet!B13</f>
        <v>Net Worth</v>
      </c>
      <c r="C16" s="13">
        <f>Balance_Sheet!C13</f>
        <v>54847.83</v>
      </c>
      <c r="D16" s="13">
        <f>Balance_Sheet!D13</f>
        <v>59843.988687078891</v>
      </c>
      <c r="E16" s="13">
        <f>Balance_Sheet!E13</f>
        <v>62570.608811716083</v>
      </c>
      <c r="F16" s="13">
        <f>Balance_Sheet!F13</f>
        <v>65586.618139319529</v>
      </c>
      <c r="G16" s="13">
        <f>Balance_Sheet!G13</f>
        <v>72297.62396319845</v>
      </c>
      <c r="I16" s="35"/>
      <c r="J16" s="36"/>
      <c r="K16" s="36"/>
      <c r="L16" s="37"/>
    </row>
    <row r="17" spans="2:12" ht="18.75" x14ac:dyDescent="0.25">
      <c r="B17" s="12" t="str">
        <f>Income_Statement!B61</f>
        <v>Total Shares Outstanding(cr)</v>
      </c>
      <c r="C17" s="13">
        <f>Income_Statement!C61</f>
        <v>133.27385406627596</v>
      </c>
      <c r="D17" s="13">
        <f>Income_Statement!D61</f>
        <v>212.78114748315539</v>
      </c>
      <c r="E17" s="13">
        <f>Income_Statement!E61</f>
        <v>179.41236027277603</v>
      </c>
      <c r="F17" s="13">
        <f>Income_Statement!F61</f>
        <v>202.37558297521537</v>
      </c>
      <c r="G17" s="13">
        <f>Income_Statement!G61</f>
        <v>108.24202941740195</v>
      </c>
      <c r="I17" s="38"/>
      <c r="J17" s="39"/>
      <c r="K17" s="39"/>
      <c r="L17" s="40"/>
    </row>
    <row r="18" spans="2:12" ht="19.5" thickBot="1" x14ac:dyDescent="0.3">
      <c r="B18" s="14" t="s">
        <v>150</v>
      </c>
      <c r="C18" s="14">
        <f>ROUND(C16/C17, 2)</f>
        <v>411.54</v>
      </c>
      <c r="D18" s="14">
        <f t="shared" ref="D18:G18" si="2">ROUND(D16/D17, 2)</f>
        <v>281.25</v>
      </c>
      <c r="E18" s="14">
        <f t="shared" si="2"/>
        <v>348.75</v>
      </c>
      <c r="F18" s="14">
        <f t="shared" si="2"/>
        <v>324.08</v>
      </c>
      <c r="G18" s="14">
        <f t="shared" si="2"/>
        <v>667.93</v>
      </c>
      <c r="I18" s="41"/>
      <c r="J18" s="42"/>
      <c r="K18" s="42"/>
      <c r="L18" s="43"/>
    </row>
    <row r="19" spans="2:12" ht="15.75" thickTop="1" x14ac:dyDescent="0.25"/>
    <row r="20" spans="2:12" ht="18.75" x14ac:dyDescent="0.25">
      <c r="B20" s="44" t="s">
        <v>151</v>
      </c>
      <c r="C20" s="44"/>
      <c r="D20" s="44"/>
      <c r="E20" s="44"/>
      <c r="F20" s="44"/>
      <c r="G20" s="44"/>
    </row>
    <row r="21" spans="2:12" ht="18.75" x14ac:dyDescent="0.25">
      <c r="B21" s="12" t="str">
        <f>Income_Statement!B51</f>
        <v>Equity Share Dividend</v>
      </c>
      <c r="C21" s="13">
        <f>Income_Statement!C51</f>
        <v>293.76</v>
      </c>
      <c r="D21" s="13">
        <f>Income_Statement!D51</f>
        <v>269.45999999999998</v>
      </c>
      <c r="E21" s="13">
        <f>Income_Statement!E51</f>
        <v>267</v>
      </c>
      <c r="F21" s="13">
        <f>Income_Statement!F51</f>
        <v>222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133.27385406627596</v>
      </c>
      <c r="D22" s="13">
        <f>Income_Statement!D61</f>
        <v>212.78114748315539</v>
      </c>
      <c r="E22" s="13">
        <f>Income_Statement!E61</f>
        <v>179.41236027277603</v>
      </c>
      <c r="F22" s="13">
        <f>Income_Statement!F61</f>
        <v>202.37558297521537</v>
      </c>
      <c r="G22" s="13">
        <f>Income_Statement!G61</f>
        <v>108.24202941740195</v>
      </c>
    </row>
    <row r="23" spans="2:12" ht="18.75" x14ac:dyDescent="0.25">
      <c r="B23" s="12" t="s">
        <v>148</v>
      </c>
      <c r="C23" s="13">
        <f>ROUND(C21/C22, 2)</f>
        <v>2.2000000000000002</v>
      </c>
      <c r="D23" s="13">
        <f t="shared" ref="D23:G23" si="3">ROUND(D21/D22, 2)</f>
        <v>1.27</v>
      </c>
      <c r="E23" s="13">
        <f t="shared" si="3"/>
        <v>1.49</v>
      </c>
      <c r="F23" s="13">
        <f t="shared" si="3"/>
        <v>1.1000000000000001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3598.3940597894507</v>
      </c>
      <c r="D24" s="13">
        <f>Income_Statement!D49</f>
        <v>5319.528687078885</v>
      </c>
      <c r="E24" s="13">
        <f>Income_Statement!E49</f>
        <v>3050.0101246371923</v>
      </c>
      <c r="F24" s="13">
        <f>Income_Statement!F49</f>
        <v>3238.0093276034459</v>
      </c>
      <c r="G24" s="13">
        <f>Income_Statement!G49</f>
        <v>6711.0058238789206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133.27385406627596</v>
      </c>
      <c r="D25" s="13">
        <f>Income_Statement!D61</f>
        <v>212.78114748315539</v>
      </c>
      <c r="E25" s="13">
        <f>Income_Statement!E61</f>
        <v>179.41236027277603</v>
      </c>
      <c r="F25" s="13">
        <f>Income_Statement!F61</f>
        <v>202.37558297521537</v>
      </c>
      <c r="G25" s="13">
        <f>Income_Statement!G61</f>
        <v>108.24202941740195</v>
      </c>
      <c r="I25" s="35"/>
      <c r="J25" s="36"/>
      <c r="K25" s="36"/>
      <c r="L25" s="37"/>
    </row>
    <row r="26" spans="2:12" ht="18.75" x14ac:dyDescent="0.25">
      <c r="B26" s="12" t="s">
        <v>146</v>
      </c>
      <c r="C26" s="13">
        <f>C24/C25</f>
        <v>27</v>
      </c>
      <c r="D26" s="13">
        <f t="shared" ref="D26:G26" si="4">D24/D25</f>
        <v>25</v>
      </c>
      <c r="E26" s="13">
        <f t="shared" si="4"/>
        <v>17</v>
      </c>
      <c r="F26" s="13">
        <f t="shared" si="4"/>
        <v>16</v>
      </c>
      <c r="G26" s="13">
        <f t="shared" si="4"/>
        <v>62</v>
      </c>
      <c r="I26" s="38"/>
      <c r="J26" s="39"/>
      <c r="K26" s="39"/>
      <c r="L26" s="40"/>
    </row>
    <row r="27" spans="2:12" ht="19.5" thickBot="1" x14ac:dyDescent="0.3">
      <c r="B27" s="14" t="s">
        <v>152</v>
      </c>
      <c r="C27" s="14">
        <f>ROUND(C23/C26, 2)</f>
        <v>0.08</v>
      </c>
      <c r="D27" s="14">
        <f t="shared" ref="D27:G27" si="5">ROUND(D23/D26, 2)</f>
        <v>0.05</v>
      </c>
      <c r="E27" s="14">
        <f t="shared" si="5"/>
        <v>0.09</v>
      </c>
      <c r="F27" s="14">
        <f t="shared" si="5"/>
        <v>7.0000000000000007E-2</v>
      </c>
      <c r="G27" s="14">
        <f t="shared" si="5"/>
        <v>0</v>
      </c>
      <c r="I27" s="41"/>
      <c r="J27" s="42"/>
      <c r="K27" s="42"/>
      <c r="L27" s="43"/>
    </row>
    <row r="28" spans="2:12" ht="15.75" thickTop="1" x14ac:dyDescent="0.25"/>
    <row r="29" spans="2:12" ht="18.75" x14ac:dyDescent="0.25">
      <c r="B29" s="44" t="s">
        <v>153</v>
      </c>
      <c r="C29" s="44"/>
      <c r="D29" s="44"/>
      <c r="E29" s="44"/>
      <c r="F29" s="44"/>
      <c r="G29" s="44"/>
    </row>
    <row r="30" spans="2:12" ht="19.5" thickBot="1" x14ac:dyDescent="0.3">
      <c r="B30" s="12" t="str">
        <f>Income_Statement!B51</f>
        <v>Equity Share Dividend</v>
      </c>
      <c r="C30" s="13">
        <f>Income_Statement!C51</f>
        <v>293.76</v>
      </c>
      <c r="D30" s="13">
        <f>Income_Statement!D51</f>
        <v>269.45999999999998</v>
      </c>
      <c r="E30" s="13">
        <f>Income_Statement!E51</f>
        <v>267</v>
      </c>
      <c r="F30" s="13">
        <f>Income_Statement!F51</f>
        <v>222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133.27385406627596</v>
      </c>
      <c r="D31" s="13">
        <f>Income_Statement!D61</f>
        <v>212.78114748315539</v>
      </c>
      <c r="E31" s="13">
        <f>Income_Statement!E61</f>
        <v>179.41236027277603</v>
      </c>
      <c r="F31" s="13">
        <f>Income_Statement!F61</f>
        <v>202.37558297521537</v>
      </c>
      <c r="G31" s="13">
        <f>Income_Statement!G61</f>
        <v>108.24202941740195</v>
      </c>
      <c r="I31" s="35"/>
      <c r="J31" s="36"/>
      <c r="K31" s="36"/>
      <c r="L31" s="37"/>
    </row>
    <row r="32" spans="2:12" ht="18.75" x14ac:dyDescent="0.25">
      <c r="B32" s="12" t="s">
        <v>154</v>
      </c>
      <c r="C32" s="13">
        <f>ROUND(C30/C31, 2)</f>
        <v>2.2000000000000002</v>
      </c>
      <c r="D32" s="13">
        <f t="shared" ref="D32:G32" si="6">ROUND(D30/D31, 2)</f>
        <v>1.27</v>
      </c>
      <c r="E32" s="13">
        <f t="shared" si="6"/>
        <v>1.49</v>
      </c>
      <c r="F32" s="13">
        <f t="shared" si="6"/>
        <v>1.1000000000000001</v>
      </c>
      <c r="G32" s="13">
        <f t="shared" si="6"/>
        <v>0</v>
      </c>
      <c r="I32" s="38"/>
      <c r="J32" s="39"/>
      <c r="K32" s="39"/>
      <c r="L32" s="40"/>
    </row>
    <row r="33" spans="2:12" ht="19.5" thickBot="1" x14ac:dyDescent="0.3">
      <c r="B33" s="14" t="s">
        <v>155</v>
      </c>
      <c r="C33" s="15">
        <f>1-C32</f>
        <v>-1.2000000000000002</v>
      </c>
      <c r="D33" s="15">
        <f t="shared" ref="D33:G33" si="7">1-D32</f>
        <v>-0.27</v>
      </c>
      <c r="E33" s="15">
        <f t="shared" si="7"/>
        <v>-0.49</v>
      </c>
      <c r="F33" s="15">
        <f t="shared" si="7"/>
        <v>-0.10000000000000009</v>
      </c>
      <c r="G33" s="15">
        <f t="shared" si="7"/>
        <v>1</v>
      </c>
      <c r="I33" s="41"/>
      <c r="J33" s="42"/>
      <c r="K33" s="42"/>
      <c r="L33" s="43"/>
    </row>
    <row r="34" spans="2:12" ht="15.75" thickTop="1" x14ac:dyDescent="0.25"/>
    <row r="35" spans="2:12" ht="19.5" thickBot="1" x14ac:dyDescent="0.3">
      <c r="B35" s="44" t="s">
        <v>156</v>
      </c>
      <c r="C35" s="44"/>
      <c r="D35" s="44"/>
      <c r="E35" s="44"/>
      <c r="F35" s="44"/>
      <c r="G35" s="44"/>
    </row>
    <row r="36" spans="2:12" ht="19.5" thickTop="1" x14ac:dyDescent="0.25">
      <c r="B36" s="12" t="str">
        <f>Income_Statement!B5</f>
        <v>Gross Sales</v>
      </c>
      <c r="C36" s="13">
        <f>Income_Statement!C5</f>
        <v>115195.63</v>
      </c>
      <c r="D36" s="13">
        <f>Income_Statement!D5</f>
        <v>129745.57</v>
      </c>
      <c r="E36" s="13">
        <f>Income_Statement!E5</f>
        <v>117140</v>
      </c>
      <c r="F36" s="13">
        <f>Income_Statement!F5</f>
        <v>131009</v>
      </c>
      <c r="G36" s="13">
        <f>Income_Statement!G5</f>
        <v>195059</v>
      </c>
      <c r="I36" s="35"/>
      <c r="J36" s="36"/>
      <c r="K36" s="36"/>
      <c r="L36" s="37"/>
    </row>
    <row r="37" spans="2:12" ht="18.75" x14ac:dyDescent="0.25">
      <c r="B37" s="12" t="str">
        <f>Income_Statement!B17</f>
        <v>Cost Of Materials Consumed</v>
      </c>
      <c r="C37" s="13">
        <f>Income_Statement!C17</f>
        <v>79486.399999999994</v>
      </c>
      <c r="D37" s="13">
        <f>Income_Statement!D17</f>
        <v>87686.82</v>
      </c>
      <c r="E37" s="13">
        <f>Income_Statement!E17</f>
        <v>77727</v>
      </c>
      <c r="F37" s="13">
        <f>Income_Statement!F17</f>
        <v>86276</v>
      </c>
      <c r="G37" s="13">
        <f>Income_Statement!G17</f>
        <v>125335</v>
      </c>
      <c r="I37" s="38"/>
      <c r="J37" s="39"/>
      <c r="K37" s="39"/>
      <c r="L37" s="40"/>
    </row>
    <row r="38" spans="2:12" ht="19.5" thickBot="1" x14ac:dyDescent="0.3">
      <c r="B38" s="14" t="s">
        <v>157</v>
      </c>
      <c r="C38" s="16">
        <f>ROUND(C36- C37, 2)</f>
        <v>35709.230000000003</v>
      </c>
      <c r="D38" s="16">
        <f t="shared" ref="D38:G38" si="8">ROUND(D36- D37, 2)</f>
        <v>42058.75</v>
      </c>
      <c r="E38" s="16">
        <f t="shared" si="8"/>
        <v>39413</v>
      </c>
      <c r="F38" s="16">
        <f t="shared" si="8"/>
        <v>44733</v>
      </c>
      <c r="G38" s="16">
        <f t="shared" si="8"/>
        <v>69724</v>
      </c>
      <c r="I38" s="41"/>
      <c r="J38" s="42"/>
      <c r="K38" s="42"/>
      <c r="L38" s="43"/>
    </row>
    <row r="39" spans="2:12" ht="15.75" thickTop="1" x14ac:dyDescent="0.25"/>
    <row r="40" spans="2:12" ht="19.5" thickBot="1" x14ac:dyDescent="0.3">
      <c r="B40" s="44" t="s">
        <v>158</v>
      </c>
      <c r="C40" s="44"/>
      <c r="D40" s="44"/>
      <c r="E40" s="44"/>
      <c r="F40" s="44"/>
      <c r="G40" s="44"/>
    </row>
    <row r="41" spans="2:12" ht="19.5" thickTop="1" x14ac:dyDescent="0.25">
      <c r="B41" s="12" t="str">
        <f>Income_Statement!B5</f>
        <v>Gross Sales</v>
      </c>
      <c r="C41" s="13">
        <f>Income_Statement!C5</f>
        <v>115195.63</v>
      </c>
      <c r="D41" s="13">
        <f>Income_Statement!D5</f>
        <v>129745.57</v>
      </c>
      <c r="E41" s="13">
        <f>Income_Statement!E5</f>
        <v>117140</v>
      </c>
      <c r="F41" s="13">
        <f>Income_Statement!F5</f>
        <v>131009</v>
      </c>
      <c r="G41" s="13">
        <f>Income_Statement!G5</f>
        <v>195059</v>
      </c>
      <c r="I41" s="35"/>
      <c r="J41" s="36"/>
      <c r="K41" s="36"/>
      <c r="L41" s="37"/>
    </row>
    <row r="42" spans="2:12" ht="18.75" x14ac:dyDescent="0.25">
      <c r="B42" s="12" t="str">
        <f>Income_Statement!B25</f>
        <v>Total Expenditure</v>
      </c>
      <c r="C42" s="13">
        <f>Income_Statement!C25</f>
        <v>103348.93</v>
      </c>
      <c r="D42" s="13">
        <f>Income_Statement!D25</f>
        <v>114411.05</v>
      </c>
      <c r="E42" s="13">
        <f>Income_Statement!E25</f>
        <v>103548</v>
      </c>
      <c r="F42" s="13">
        <f>Income_Statement!F25</f>
        <v>115413</v>
      </c>
      <c r="G42" s="13">
        <f>Income_Statement!G25</f>
        <v>174197</v>
      </c>
      <c r="I42" s="38"/>
      <c r="J42" s="39"/>
      <c r="K42" s="39"/>
      <c r="L42" s="40"/>
    </row>
    <row r="43" spans="2:12" ht="19.5" thickBot="1" x14ac:dyDescent="0.3">
      <c r="B43" s="14" t="s">
        <v>159</v>
      </c>
      <c r="C43" s="16">
        <f>ROUND(C41- C42, 2)</f>
        <v>11846.7</v>
      </c>
      <c r="D43" s="16">
        <f t="shared" ref="D43:G43" si="9">ROUND(D41- D42, 2)</f>
        <v>15334.52</v>
      </c>
      <c r="E43" s="16">
        <f t="shared" si="9"/>
        <v>13592</v>
      </c>
      <c r="F43" s="16">
        <f t="shared" si="9"/>
        <v>15596</v>
      </c>
      <c r="G43" s="16">
        <f t="shared" si="9"/>
        <v>20862</v>
      </c>
      <c r="I43" s="41"/>
      <c r="J43" s="42"/>
      <c r="K43" s="42"/>
      <c r="L43" s="43"/>
    </row>
    <row r="44" spans="2:12" ht="15.75" thickTop="1" x14ac:dyDescent="0.25"/>
    <row r="45" spans="2:12" ht="19.5" thickBot="1" x14ac:dyDescent="0.3">
      <c r="B45" s="44" t="s">
        <v>160</v>
      </c>
      <c r="C45" s="44"/>
      <c r="D45" s="44"/>
      <c r="E45" s="44"/>
      <c r="F45" s="44"/>
      <c r="G45" s="44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3598.3940597894507</v>
      </c>
      <c r="D46" s="13">
        <f>Income_Statement!D49</f>
        <v>5319.528687078885</v>
      </c>
      <c r="E46" s="13">
        <f>Income_Statement!E49</f>
        <v>3050.0101246371923</v>
      </c>
      <c r="F46" s="13">
        <f>Income_Statement!F49</f>
        <v>3238.0093276034459</v>
      </c>
      <c r="G46" s="13">
        <f>Income_Statement!G49</f>
        <v>6711.0058238789206</v>
      </c>
      <c r="I46" s="35"/>
      <c r="J46" s="36"/>
      <c r="K46" s="36"/>
      <c r="L46" s="37"/>
    </row>
    <row r="47" spans="2:12" ht="18.75" x14ac:dyDescent="0.25">
      <c r="B47" s="12" t="str">
        <f>Balance_Sheet!B74</f>
        <v>Total Assets</v>
      </c>
      <c r="C47" s="13">
        <f>Balance_Sheet!C74</f>
        <v>147823.32999999999</v>
      </c>
      <c r="D47" s="13">
        <f>Balance_Sheet!D74</f>
        <v>154973.9486870789</v>
      </c>
      <c r="E47" s="13">
        <f>Balance_Sheet!E74</f>
        <v>173781.60881171608</v>
      </c>
      <c r="F47" s="13">
        <f>Balance_Sheet!F74</f>
        <v>188752.61813931953</v>
      </c>
      <c r="G47" s="13">
        <f>Balance_Sheet!G74</f>
        <v>217168.62396319845</v>
      </c>
      <c r="I47" s="38"/>
      <c r="J47" s="39"/>
      <c r="K47" s="39"/>
      <c r="L47" s="40"/>
    </row>
    <row r="48" spans="2:12" ht="19.5" thickBot="1" x14ac:dyDescent="0.3">
      <c r="B48" s="14" t="s">
        <v>161</v>
      </c>
      <c r="C48" s="15">
        <f>ROUND(C46/ C47, 2)</f>
        <v>0.02</v>
      </c>
      <c r="D48" s="15">
        <f t="shared" ref="D48:G48" si="10">ROUND(D46/ D47, 2)</f>
        <v>0.03</v>
      </c>
      <c r="E48" s="15">
        <f t="shared" si="10"/>
        <v>0.02</v>
      </c>
      <c r="F48" s="15">
        <f t="shared" si="10"/>
        <v>0.02</v>
      </c>
      <c r="G48" s="15">
        <f t="shared" si="10"/>
        <v>0.03</v>
      </c>
      <c r="I48" s="41"/>
      <c r="J48" s="42"/>
      <c r="K48" s="42"/>
      <c r="L48" s="43"/>
    </row>
    <row r="49" spans="2:12" ht="15.75" thickTop="1" x14ac:dyDescent="0.25"/>
    <row r="50" spans="2:12" ht="18.75" x14ac:dyDescent="0.25">
      <c r="B50" s="44" t="s">
        <v>162</v>
      </c>
      <c r="C50" s="44"/>
      <c r="D50" s="44"/>
      <c r="E50" s="44"/>
      <c r="F50" s="44"/>
      <c r="G50" s="44"/>
    </row>
    <row r="51" spans="2:12" ht="19.5" thickBot="1" x14ac:dyDescent="0.3">
      <c r="B51" s="12" t="str">
        <f>Income_Statement!B33</f>
        <v>PBIT</v>
      </c>
      <c r="C51" s="13">
        <f>Income_Statement!C33</f>
        <v>7809.1340597894505</v>
      </c>
      <c r="D51" s="13">
        <f>Income_Statement!D33</f>
        <v>11685.658687078885</v>
      </c>
      <c r="E51" s="13">
        <f>Income_Statement!E33</f>
        <v>9688.0101246371923</v>
      </c>
      <c r="F51" s="13">
        <f>Income_Statement!F33</f>
        <v>10191.009327603446</v>
      </c>
      <c r="G51" s="13">
        <f>Income_Statement!G33</f>
        <v>15270.005823878921</v>
      </c>
    </row>
    <row r="52" spans="2:12" ht="19.5" thickTop="1" x14ac:dyDescent="0.25">
      <c r="B52" s="12" t="str">
        <f>Balance_Sheet!B21</f>
        <v>Total Debt</v>
      </c>
      <c r="C52" s="13">
        <f>Balance_Sheet!C21</f>
        <v>55139.630000000005</v>
      </c>
      <c r="D52" s="13">
        <f>Balance_Sheet!D21</f>
        <v>56710.81</v>
      </c>
      <c r="E52" s="13">
        <f>Balance_Sheet!E21</f>
        <v>71767</v>
      </c>
      <c r="F52" s="13">
        <f>Balance_Sheet!F21</f>
        <v>69507</v>
      </c>
      <c r="G52" s="13">
        <f>Balance_Sheet!G21</f>
        <v>68866</v>
      </c>
      <c r="I52" s="35"/>
      <c r="J52" s="36"/>
      <c r="K52" s="36"/>
      <c r="L52" s="37"/>
    </row>
    <row r="53" spans="2:12" ht="18.75" x14ac:dyDescent="0.25">
      <c r="B53" s="12" t="str">
        <f>Balance_Sheet!B13</f>
        <v>Net Worth</v>
      </c>
      <c r="C53" s="13">
        <f>Balance_Sheet!C13</f>
        <v>54847.83</v>
      </c>
      <c r="D53" s="13">
        <f>Balance_Sheet!D13</f>
        <v>59843.988687078891</v>
      </c>
      <c r="E53" s="13">
        <f>Balance_Sheet!E13</f>
        <v>62570.608811716083</v>
      </c>
      <c r="F53" s="13">
        <f>Balance_Sheet!F13</f>
        <v>65586.618139319529</v>
      </c>
      <c r="G53" s="13">
        <f>Balance_Sheet!G13</f>
        <v>72297.62396319845</v>
      </c>
      <c r="I53" s="38"/>
      <c r="J53" s="39"/>
      <c r="K53" s="39"/>
      <c r="L53" s="40"/>
    </row>
    <row r="54" spans="2:12" ht="19.5" thickBot="1" x14ac:dyDescent="0.3">
      <c r="B54" s="14" t="s">
        <v>163</v>
      </c>
      <c r="C54" s="15">
        <f>ROUND(C51/ (C52+ C52), 2)</f>
        <v>7.0000000000000007E-2</v>
      </c>
      <c r="D54" s="15">
        <f t="shared" ref="D54:G54" si="11">ROUND(D51/ (D52+ D52), 2)</f>
        <v>0.1</v>
      </c>
      <c r="E54" s="15">
        <f t="shared" si="11"/>
        <v>7.0000000000000007E-2</v>
      </c>
      <c r="F54" s="15">
        <f t="shared" si="11"/>
        <v>7.0000000000000007E-2</v>
      </c>
      <c r="G54" s="15">
        <f t="shared" si="11"/>
        <v>0.11</v>
      </c>
      <c r="I54" s="41"/>
      <c r="J54" s="42"/>
      <c r="K54" s="42"/>
      <c r="L54" s="43"/>
    </row>
    <row r="55" spans="2:12" ht="15.75" thickTop="1" x14ac:dyDescent="0.25"/>
    <row r="56" spans="2:12" ht="19.5" thickBot="1" x14ac:dyDescent="0.3">
      <c r="B56" s="44" t="s">
        <v>164</v>
      </c>
      <c r="C56" s="44"/>
      <c r="D56" s="44"/>
      <c r="E56" s="44"/>
      <c r="F56" s="44"/>
      <c r="G56" s="44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3598.3940597894507</v>
      </c>
      <c r="D57" s="13">
        <f>Income_Statement!D49</f>
        <v>5319.528687078885</v>
      </c>
      <c r="E57" s="13">
        <f>Income_Statement!E49</f>
        <v>3050.0101246371923</v>
      </c>
      <c r="F57" s="13">
        <f>Income_Statement!F49</f>
        <v>3238.0093276034459</v>
      </c>
      <c r="G57" s="13">
        <f>Income_Statement!G49</f>
        <v>6711.0058238789206</v>
      </c>
      <c r="I57" s="35"/>
      <c r="J57" s="36"/>
      <c r="K57" s="36"/>
      <c r="L57" s="37"/>
    </row>
    <row r="58" spans="2:12" ht="18.75" x14ac:dyDescent="0.25">
      <c r="B58" s="12" t="str">
        <f>Balance_Sheet!B13</f>
        <v>Net Worth</v>
      </c>
      <c r="C58" s="13">
        <f>Balance_Sheet!C13</f>
        <v>54847.83</v>
      </c>
      <c r="D58" s="13">
        <f>Balance_Sheet!D13</f>
        <v>59843.988687078891</v>
      </c>
      <c r="E58" s="13">
        <f>Balance_Sheet!E13</f>
        <v>62570.608811716083</v>
      </c>
      <c r="F58" s="13">
        <f>Balance_Sheet!F13</f>
        <v>65586.618139319529</v>
      </c>
      <c r="G58" s="13">
        <f>Balance_Sheet!G13</f>
        <v>72297.62396319845</v>
      </c>
      <c r="I58" s="38"/>
      <c r="J58" s="39"/>
      <c r="K58" s="39"/>
      <c r="L58" s="40"/>
    </row>
    <row r="59" spans="2:12" ht="19.5" thickBot="1" x14ac:dyDescent="0.3">
      <c r="B59" s="14" t="s">
        <v>165</v>
      </c>
      <c r="C59" s="15">
        <f>ROUND(C57/ (C58+ C58), 2)</f>
        <v>0.03</v>
      </c>
      <c r="D59" s="15">
        <f t="shared" ref="D59:G59" si="12">ROUND(D57/ (D58+ D58), 2)</f>
        <v>0.04</v>
      </c>
      <c r="E59" s="15">
        <f t="shared" si="12"/>
        <v>0.02</v>
      </c>
      <c r="F59" s="15">
        <f t="shared" si="12"/>
        <v>0.02</v>
      </c>
      <c r="G59" s="15">
        <f t="shared" si="12"/>
        <v>0.05</v>
      </c>
      <c r="I59" s="41"/>
      <c r="J59" s="42"/>
      <c r="K59" s="42"/>
      <c r="L59" s="43"/>
    </row>
    <row r="60" spans="2:12" ht="15.75" thickTop="1" x14ac:dyDescent="0.25"/>
    <row r="61" spans="2:12" ht="19.5" thickBot="1" x14ac:dyDescent="0.3">
      <c r="B61" s="44" t="s">
        <v>166</v>
      </c>
      <c r="C61" s="44"/>
      <c r="D61" s="44"/>
      <c r="E61" s="44"/>
      <c r="F61" s="44"/>
      <c r="G61" s="44"/>
    </row>
    <row r="62" spans="2:12" ht="19.5" thickTop="1" x14ac:dyDescent="0.25">
      <c r="B62" s="12" t="str">
        <f>Balance_Sheet!B21</f>
        <v>Total Debt</v>
      </c>
      <c r="C62" s="13">
        <f>Balance_Sheet!C21</f>
        <v>55139.630000000005</v>
      </c>
      <c r="D62" s="13">
        <f>Balance_Sheet!D21</f>
        <v>56710.81</v>
      </c>
      <c r="E62" s="13">
        <f>Balance_Sheet!E21</f>
        <v>71767</v>
      </c>
      <c r="F62" s="13">
        <f>Balance_Sheet!F21</f>
        <v>69507</v>
      </c>
      <c r="G62" s="13">
        <f>Balance_Sheet!G21</f>
        <v>68866</v>
      </c>
      <c r="I62" s="35"/>
      <c r="J62" s="36"/>
      <c r="K62" s="36"/>
      <c r="L62" s="37"/>
    </row>
    <row r="63" spans="2:12" ht="18.75" x14ac:dyDescent="0.25">
      <c r="B63" s="12" t="str">
        <f>Balance_Sheet!B13</f>
        <v>Net Worth</v>
      </c>
      <c r="C63" s="13">
        <f>Balance_Sheet!C13</f>
        <v>54847.83</v>
      </c>
      <c r="D63" s="13">
        <f>Balance_Sheet!D13</f>
        <v>59843.988687078891</v>
      </c>
      <c r="E63" s="13">
        <f>Balance_Sheet!E13</f>
        <v>62570.608811716083</v>
      </c>
      <c r="F63" s="13">
        <f>Balance_Sheet!F13</f>
        <v>65586.618139319529</v>
      </c>
      <c r="G63" s="13">
        <f>Balance_Sheet!G13</f>
        <v>72297.62396319845</v>
      </c>
      <c r="I63" s="38"/>
      <c r="J63" s="39"/>
      <c r="K63" s="39"/>
      <c r="L63" s="40"/>
    </row>
    <row r="64" spans="2:12" ht="19.5" thickBot="1" x14ac:dyDescent="0.3">
      <c r="B64" s="14" t="s">
        <v>167</v>
      </c>
      <c r="C64" s="14">
        <f>ROUND(C62/ C63, 2)</f>
        <v>1.01</v>
      </c>
      <c r="D64" s="14">
        <f t="shared" ref="D64:G64" si="13">ROUND(D62/ D63, 2)</f>
        <v>0.95</v>
      </c>
      <c r="E64" s="14">
        <f t="shared" si="13"/>
        <v>1.1499999999999999</v>
      </c>
      <c r="F64" s="14">
        <f t="shared" si="13"/>
        <v>1.06</v>
      </c>
      <c r="G64" s="14">
        <f t="shared" si="13"/>
        <v>0.95</v>
      </c>
      <c r="I64" s="41"/>
      <c r="J64" s="42"/>
      <c r="K64" s="42"/>
      <c r="L64" s="43"/>
    </row>
    <row r="65" spans="2:12" ht="15.75" thickTop="1" x14ac:dyDescent="0.25"/>
    <row r="66" spans="2:12" ht="19.5" thickBot="1" x14ac:dyDescent="0.3">
      <c r="B66" s="44" t="s">
        <v>168</v>
      </c>
      <c r="C66" s="44"/>
      <c r="D66" s="44"/>
      <c r="E66" s="44"/>
      <c r="F66" s="44"/>
      <c r="G66" s="44"/>
    </row>
    <row r="67" spans="2:12" ht="19.5" thickTop="1" x14ac:dyDescent="0.25">
      <c r="B67" s="12" t="str">
        <f>Balance_Sheet!B72</f>
        <v>Total Current Assets</v>
      </c>
      <c r="C67" s="13">
        <f>Balance_Sheet!C72</f>
        <v>49894.59</v>
      </c>
      <c r="D67" s="13">
        <f>Balance_Sheet!D72</f>
        <v>79479.678687078878</v>
      </c>
      <c r="E67" s="13">
        <f>Balance_Sheet!E72</f>
        <v>97531.588811716065</v>
      </c>
      <c r="F67" s="13">
        <f>Balance_Sheet!F72</f>
        <v>101150.59813931951</v>
      </c>
      <c r="G67" s="13">
        <f>Balance_Sheet!G72</f>
        <v>138420.60396319843</v>
      </c>
      <c r="I67" s="35"/>
      <c r="J67" s="36"/>
      <c r="K67" s="36"/>
      <c r="L67" s="37"/>
    </row>
    <row r="68" spans="2:12" ht="18.75" x14ac:dyDescent="0.25">
      <c r="B68" s="12" t="str">
        <f>Balance_Sheet!B33</f>
        <v>Total Current Liabilities</v>
      </c>
      <c r="C68" s="13">
        <f>Balance_Sheet!C33</f>
        <v>37827.229999999996</v>
      </c>
      <c r="D68" s="13">
        <f>Balance_Sheet!D33</f>
        <v>38409.67</v>
      </c>
      <c r="E68" s="13">
        <f>Balance_Sheet!E33</f>
        <v>39434</v>
      </c>
      <c r="F68" s="13">
        <f>Balance_Sheet!F33</f>
        <v>53649</v>
      </c>
      <c r="G68" s="13">
        <f>Balance_Sheet!G33</f>
        <v>75994</v>
      </c>
      <c r="I68" s="38"/>
      <c r="J68" s="39"/>
      <c r="K68" s="39"/>
      <c r="L68" s="40"/>
    </row>
    <row r="69" spans="2:12" ht="19.5" thickBot="1" x14ac:dyDescent="0.3">
      <c r="B69" s="14" t="s">
        <v>169</v>
      </c>
      <c r="C69" s="14">
        <f>ROUND(C67/ C68, 2)</f>
        <v>1.32</v>
      </c>
      <c r="D69" s="14">
        <f t="shared" ref="D69:G69" si="14">ROUND(D67/ D68, 2)</f>
        <v>2.0699999999999998</v>
      </c>
      <c r="E69" s="14">
        <f t="shared" si="14"/>
        <v>2.4700000000000002</v>
      </c>
      <c r="F69" s="14">
        <f t="shared" si="14"/>
        <v>1.89</v>
      </c>
      <c r="G69" s="14">
        <f t="shared" si="14"/>
        <v>1.82</v>
      </c>
      <c r="I69" s="41"/>
      <c r="J69" s="42"/>
      <c r="K69" s="42"/>
      <c r="L69" s="43"/>
    </row>
    <row r="70" spans="2:12" ht="15.75" thickTop="1" x14ac:dyDescent="0.25"/>
    <row r="71" spans="2:12" ht="18.75" x14ac:dyDescent="0.25">
      <c r="B71" s="44" t="s">
        <v>170</v>
      </c>
      <c r="C71" s="44"/>
      <c r="D71" s="44"/>
      <c r="E71" s="44"/>
      <c r="F71" s="44"/>
      <c r="G71" s="44"/>
    </row>
    <row r="72" spans="2:12" ht="19.5" thickBot="1" x14ac:dyDescent="0.3">
      <c r="B72" s="12" t="str">
        <f>Balance_Sheet!B72</f>
        <v>Total Current Assets</v>
      </c>
      <c r="C72" s="13">
        <f>Balance_Sheet!C72</f>
        <v>49894.59</v>
      </c>
      <c r="D72" s="13">
        <f>Balance_Sheet!D72</f>
        <v>79479.678687078878</v>
      </c>
      <c r="E72" s="13">
        <f>Balance_Sheet!E72</f>
        <v>97531.588811716065</v>
      </c>
      <c r="F72" s="13">
        <f>Balance_Sheet!F72</f>
        <v>101150.59813931951</v>
      </c>
      <c r="G72" s="13">
        <f>Balance_Sheet!G72</f>
        <v>138420.60396319843</v>
      </c>
    </row>
    <row r="73" spans="2:12" ht="19.5" thickTop="1" x14ac:dyDescent="0.25">
      <c r="B73" s="12" t="str">
        <f>Balance_Sheet!B66</f>
        <v>Inventories</v>
      </c>
      <c r="C73" s="13">
        <f>Balance_Sheet!C66</f>
        <v>21631.39</v>
      </c>
      <c r="D73" s="13">
        <f>Balance_Sheet!D66</f>
        <v>22193.79</v>
      </c>
      <c r="E73" s="13">
        <f>Balance_Sheet!E66</f>
        <v>22384</v>
      </c>
      <c r="F73" s="13">
        <f>Balance_Sheet!F66</f>
        <v>30668</v>
      </c>
      <c r="G73" s="13">
        <f>Balance_Sheet!G66</f>
        <v>44483</v>
      </c>
      <c r="I73" s="35"/>
      <c r="J73" s="36"/>
      <c r="K73" s="36"/>
      <c r="L73" s="37"/>
    </row>
    <row r="74" spans="2:12" ht="18.75" x14ac:dyDescent="0.25">
      <c r="B74" s="12" t="str">
        <f>Balance_Sheet!B33</f>
        <v>Total Current Liabilities</v>
      </c>
      <c r="C74" s="13">
        <f>Balance_Sheet!C33</f>
        <v>37827.229999999996</v>
      </c>
      <c r="D74" s="13">
        <f>Balance_Sheet!D33</f>
        <v>38409.67</v>
      </c>
      <c r="E74" s="13">
        <f>Balance_Sheet!E33</f>
        <v>39434</v>
      </c>
      <c r="F74" s="13">
        <f>Balance_Sheet!F33</f>
        <v>53649</v>
      </c>
      <c r="G74" s="13">
        <f>Balance_Sheet!G33</f>
        <v>75994</v>
      </c>
      <c r="I74" s="38"/>
      <c r="J74" s="39"/>
      <c r="K74" s="39"/>
      <c r="L74" s="40"/>
    </row>
    <row r="75" spans="2:12" ht="19.5" thickBot="1" x14ac:dyDescent="0.3">
      <c r="B75" s="14" t="s">
        <v>171</v>
      </c>
      <c r="C75" s="14">
        <f>ROUND((C72-C73)/ C74, 2)</f>
        <v>0.75</v>
      </c>
      <c r="D75" s="14">
        <f t="shared" ref="D75:G75" si="15">ROUND((D72-D73)/ D74, 2)</f>
        <v>1.49</v>
      </c>
      <c r="E75" s="14">
        <f t="shared" si="15"/>
        <v>1.91</v>
      </c>
      <c r="F75" s="14">
        <f t="shared" si="15"/>
        <v>1.31</v>
      </c>
      <c r="G75" s="14">
        <f t="shared" si="15"/>
        <v>1.24</v>
      </c>
      <c r="I75" s="41"/>
      <c r="J75" s="42"/>
      <c r="K75" s="42"/>
      <c r="L75" s="43"/>
    </row>
    <row r="76" spans="2:12" ht="15.75" thickTop="1" x14ac:dyDescent="0.25"/>
    <row r="77" spans="2:12" ht="19.5" thickBot="1" x14ac:dyDescent="0.3">
      <c r="B77" s="44" t="s">
        <v>172</v>
      </c>
      <c r="C77" s="44"/>
      <c r="D77" s="44"/>
      <c r="E77" s="44"/>
      <c r="F77" s="44"/>
      <c r="G77" s="44"/>
    </row>
    <row r="78" spans="2:12" ht="19.5" thickTop="1" x14ac:dyDescent="0.25">
      <c r="B78" s="12" t="str">
        <f>Income_Statement!B33</f>
        <v>PBIT</v>
      </c>
      <c r="C78" s="13">
        <f>Income_Statement!C33</f>
        <v>7809.1340597894505</v>
      </c>
      <c r="D78" s="13">
        <f>Income_Statement!D33</f>
        <v>11685.658687078885</v>
      </c>
      <c r="E78" s="13">
        <f>Income_Statement!E33</f>
        <v>9688.0101246371923</v>
      </c>
      <c r="F78" s="13">
        <f>Income_Statement!F33</f>
        <v>10191.009327603446</v>
      </c>
      <c r="G78" s="13">
        <f>Income_Statement!G33</f>
        <v>15270.005823878921</v>
      </c>
      <c r="I78" s="35"/>
      <c r="J78" s="36"/>
      <c r="K78" s="36"/>
      <c r="L78" s="37"/>
    </row>
    <row r="79" spans="2:12" ht="18.75" x14ac:dyDescent="0.25">
      <c r="B79" s="12" t="str">
        <f>Income_Statement!B35</f>
        <v>Finance Costs</v>
      </c>
      <c r="C79" s="13">
        <f>Income_Statement!C35</f>
        <v>3910.73</v>
      </c>
      <c r="D79" s="13">
        <f>Income_Statement!D35</f>
        <v>3778.04</v>
      </c>
      <c r="E79" s="13">
        <f>Income_Statement!E35</f>
        <v>4197</v>
      </c>
      <c r="F79" s="13">
        <f>Income_Statement!F35</f>
        <v>3738</v>
      </c>
      <c r="G79" s="13">
        <f>Income_Statement!G35</f>
        <v>3768</v>
      </c>
      <c r="I79" s="38"/>
      <c r="J79" s="39"/>
      <c r="K79" s="39"/>
      <c r="L79" s="40"/>
    </row>
    <row r="80" spans="2:12" ht="19.5" thickBot="1" x14ac:dyDescent="0.3">
      <c r="B80" s="14" t="s">
        <v>173</v>
      </c>
      <c r="C80" s="14">
        <f>ROUND(C78/C79, 2)</f>
        <v>2</v>
      </c>
      <c r="D80" s="14">
        <f t="shared" ref="D80:G80" si="16">ROUND(D78/D79, 2)</f>
        <v>3.09</v>
      </c>
      <c r="E80" s="14">
        <f t="shared" si="16"/>
        <v>2.31</v>
      </c>
      <c r="F80" s="14">
        <f t="shared" si="16"/>
        <v>2.73</v>
      </c>
      <c r="G80" s="14">
        <f t="shared" si="16"/>
        <v>4.05</v>
      </c>
      <c r="I80" s="41"/>
      <c r="J80" s="42"/>
      <c r="K80" s="42"/>
      <c r="L80" s="43"/>
    </row>
    <row r="81" spans="2:12" ht="15.75" thickTop="1" x14ac:dyDescent="0.25"/>
    <row r="82" spans="2:12" ht="19.5" thickBot="1" x14ac:dyDescent="0.3">
      <c r="B82" s="44" t="s">
        <v>174</v>
      </c>
      <c r="C82" s="44"/>
      <c r="D82" s="44"/>
      <c r="E82" s="44"/>
      <c r="F82" s="44"/>
      <c r="G82" s="44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79486.399999999994</v>
      </c>
      <c r="D83" s="13">
        <f>Income_Statement!D17</f>
        <v>87686.82</v>
      </c>
      <c r="E83" s="13">
        <f>Income_Statement!E17</f>
        <v>77727</v>
      </c>
      <c r="F83" s="13">
        <f>Income_Statement!F17</f>
        <v>86276</v>
      </c>
      <c r="G83" s="13">
        <f>Income_Statement!G17</f>
        <v>125335</v>
      </c>
      <c r="I83" s="35"/>
      <c r="J83" s="36"/>
      <c r="K83" s="36"/>
      <c r="L83" s="37"/>
    </row>
    <row r="84" spans="2:12" ht="18.75" x14ac:dyDescent="0.25">
      <c r="B84" s="12" t="str">
        <f>Income_Statement!B9</f>
        <v>Net Sales</v>
      </c>
      <c r="C84" s="13">
        <f>Income_Statement!C9</f>
        <v>114558.73000000001</v>
      </c>
      <c r="D84" s="13">
        <f>Income_Statement!D9</f>
        <v>129745.57</v>
      </c>
      <c r="E84" s="13">
        <f>Income_Statement!E9</f>
        <v>117140</v>
      </c>
      <c r="F84" s="13">
        <f>Income_Statement!F9</f>
        <v>131009</v>
      </c>
      <c r="G84" s="13">
        <f>Income_Statement!G9</f>
        <v>195059</v>
      </c>
      <c r="I84" s="38"/>
      <c r="J84" s="39"/>
      <c r="K84" s="39"/>
      <c r="L84" s="40"/>
    </row>
    <row r="85" spans="2:12" ht="19.5" thickBot="1" x14ac:dyDescent="0.3">
      <c r="B85" s="14" t="s">
        <v>175</v>
      </c>
      <c r="C85" s="14">
        <f>ROUND(C83/C84, 2)</f>
        <v>0.69</v>
      </c>
      <c r="D85" s="14">
        <f t="shared" ref="D85:G85" si="17">ROUND(D83/D84, 2)</f>
        <v>0.68</v>
      </c>
      <c r="E85" s="14">
        <f t="shared" si="17"/>
        <v>0.66</v>
      </c>
      <c r="F85" s="14">
        <f t="shared" si="17"/>
        <v>0.66</v>
      </c>
      <c r="G85" s="14">
        <f t="shared" si="17"/>
        <v>0.64</v>
      </c>
      <c r="I85" s="41"/>
      <c r="J85" s="42"/>
      <c r="K85" s="42"/>
      <c r="L85" s="43"/>
    </row>
    <row r="86" spans="2:12" ht="15.75" thickTop="1" x14ac:dyDescent="0.25"/>
    <row r="87" spans="2:12" ht="19.5" thickBot="1" x14ac:dyDescent="0.3">
      <c r="B87" s="44" t="s">
        <v>176</v>
      </c>
      <c r="C87" s="44"/>
      <c r="D87" s="44"/>
      <c r="E87" s="44"/>
      <c r="F87" s="44"/>
      <c r="G87" s="44"/>
    </row>
    <row r="88" spans="2:12" ht="19.5" thickTop="1" x14ac:dyDescent="0.25">
      <c r="B88" s="12" t="str">
        <f>Balance_Sheet!B70</f>
        <v>Cash And Cash Equivalents</v>
      </c>
      <c r="C88" s="13">
        <f>Balance_Sheet!C70</f>
        <v>8057.76</v>
      </c>
      <c r="D88" s="13">
        <f>Balance_Sheet!D70</f>
        <v>35602.88868707887</v>
      </c>
      <c r="E88" s="13">
        <f>Balance_Sheet!E70</f>
        <v>55899.588811716065</v>
      </c>
      <c r="F88" s="13">
        <f>Balance_Sheet!F70</f>
        <v>47864.598139319511</v>
      </c>
      <c r="G88" s="13">
        <f>Balance_Sheet!G70</f>
        <v>58688.603963198431</v>
      </c>
      <c r="I88" s="35"/>
      <c r="J88" s="36"/>
      <c r="K88" s="36"/>
      <c r="L88" s="37"/>
    </row>
    <row r="89" spans="2:12" ht="18.75" x14ac:dyDescent="0.25">
      <c r="B89" s="12" t="str">
        <f>Income_Statement!B17</f>
        <v>Cost Of Materials Consumed</v>
      </c>
      <c r="C89" s="13">
        <f>Income_Statement!C17</f>
        <v>79486.399999999994</v>
      </c>
      <c r="D89" s="13">
        <f>Income_Statement!D17</f>
        <v>87686.82</v>
      </c>
      <c r="E89" s="13">
        <f>Income_Statement!E17</f>
        <v>77727</v>
      </c>
      <c r="F89" s="13">
        <f>Income_Statement!F17</f>
        <v>86276</v>
      </c>
      <c r="G89" s="13">
        <f>Income_Statement!G17</f>
        <v>125335</v>
      </c>
      <c r="I89" s="38"/>
      <c r="J89" s="39"/>
      <c r="K89" s="39"/>
      <c r="L89" s="40"/>
    </row>
    <row r="90" spans="2:12" ht="19.5" thickBot="1" x14ac:dyDescent="0.3">
      <c r="B90" s="14" t="s">
        <v>177</v>
      </c>
      <c r="C90" s="14">
        <f>ROUND(C88/C89*365, 2)</f>
        <v>37</v>
      </c>
      <c r="D90" s="14">
        <f t="shared" ref="D90:G90" si="18">ROUND(D88/D89*365, 2)</f>
        <v>148.19999999999999</v>
      </c>
      <c r="E90" s="14">
        <f t="shared" si="18"/>
        <v>262.5</v>
      </c>
      <c r="F90" s="14">
        <f t="shared" si="18"/>
        <v>202.5</v>
      </c>
      <c r="G90" s="14">
        <f t="shared" si="18"/>
        <v>170.91</v>
      </c>
      <c r="I90" s="41"/>
      <c r="J90" s="42"/>
      <c r="K90" s="42"/>
      <c r="L90" s="43"/>
    </row>
    <row r="91" spans="2:12" ht="15.75" thickTop="1" x14ac:dyDescent="0.25"/>
    <row r="92" spans="2:12" ht="19.5" thickBot="1" x14ac:dyDescent="0.3">
      <c r="B92" s="44" t="s">
        <v>178</v>
      </c>
      <c r="C92" s="44"/>
      <c r="D92" s="44"/>
      <c r="E92" s="44"/>
      <c r="F92" s="44"/>
      <c r="G92" s="44"/>
    </row>
    <row r="93" spans="2:12" ht="19.5" thickTop="1" x14ac:dyDescent="0.25">
      <c r="B93" s="12" t="str">
        <f>Balance_Sheet!B70</f>
        <v>Cash And Cash Equivalents</v>
      </c>
      <c r="C93" s="13">
        <f>Balance_Sheet!C70</f>
        <v>8057.76</v>
      </c>
      <c r="D93" s="13">
        <f>Balance_Sheet!D70</f>
        <v>35602.88868707887</v>
      </c>
      <c r="E93" s="13">
        <f>Balance_Sheet!E70</f>
        <v>55899.588811716065</v>
      </c>
      <c r="F93" s="13">
        <f>Balance_Sheet!F70</f>
        <v>47864.598139319511</v>
      </c>
      <c r="G93" s="13">
        <f>Balance_Sheet!G70</f>
        <v>58688.603963198431</v>
      </c>
      <c r="I93" s="35"/>
      <c r="J93" s="36"/>
      <c r="K93" s="36"/>
      <c r="L93" s="3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8"/>
      <c r="J94" s="39"/>
      <c r="K94" s="39"/>
      <c r="L94" s="40"/>
    </row>
    <row r="95" spans="2:12" ht="19.5" thickBot="1" x14ac:dyDescent="0.3">
      <c r="B95" s="14" t="s">
        <v>180</v>
      </c>
      <c r="C95" s="14">
        <f>ROUND(C93/C94*365, 2)</f>
        <v>8057.76</v>
      </c>
      <c r="D95" s="14">
        <f t="shared" ref="D95:G95" si="19">ROUND(D93/D94*365, 2)</f>
        <v>35602.89</v>
      </c>
      <c r="E95" s="14">
        <f t="shared" si="19"/>
        <v>55899.59</v>
      </c>
      <c r="F95" s="14">
        <f t="shared" si="19"/>
        <v>47864.6</v>
      </c>
      <c r="G95" s="14">
        <f t="shared" si="19"/>
        <v>58688.6</v>
      </c>
      <c r="I95" s="41"/>
      <c r="J95" s="42"/>
      <c r="K95" s="42"/>
      <c r="L95" s="43"/>
    </row>
    <row r="96" spans="2:12" ht="15.75" thickTop="1" x14ac:dyDescent="0.25"/>
    <row r="97" spans="2:12" ht="19.5" thickBot="1" x14ac:dyDescent="0.3">
      <c r="B97" s="44" t="s">
        <v>181</v>
      </c>
      <c r="C97" s="44"/>
      <c r="D97" s="44"/>
      <c r="E97" s="44"/>
      <c r="F97" s="44"/>
      <c r="G97" s="44"/>
    </row>
    <row r="98" spans="2:12" ht="19.5" thickTop="1" x14ac:dyDescent="0.25">
      <c r="B98" s="12" t="str">
        <f>Income_Statement!B5</f>
        <v>Gross Sales</v>
      </c>
      <c r="C98" s="13">
        <f>Income_Statement!C5</f>
        <v>115195.63</v>
      </c>
      <c r="D98" s="13">
        <f>Income_Statement!D5</f>
        <v>129745.57</v>
      </c>
      <c r="E98" s="13">
        <f>Income_Statement!E5</f>
        <v>117140</v>
      </c>
      <c r="F98" s="13">
        <f>Income_Statement!F5</f>
        <v>131009</v>
      </c>
      <c r="G98" s="13">
        <f>Income_Statement!G5</f>
        <v>195059</v>
      </c>
      <c r="I98" s="35"/>
      <c r="J98" s="36"/>
      <c r="K98" s="36"/>
      <c r="L98" s="37"/>
    </row>
    <row r="99" spans="2:12" ht="18.75" x14ac:dyDescent="0.25">
      <c r="B99" s="12" t="str">
        <f>Balance_Sheet!B74</f>
        <v>Total Assets</v>
      </c>
      <c r="C99" s="13">
        <f>Balance_Sheet!C74</f>
        <v>147823.32999999999</v>
      </c>
      <c r="D99" s="13">
        <f>Balance_Sheet!D74</f>
        <v>154973.9486870789</v>
      </c>
      <c r="E99" s="13">
        <f>Balance_Sheet!E74</f>
        <v>173781.60881171608</v>
      </c>
      <c r="F99" s="13">
        <f>Balance_Sheet!F74</f>
        <v>188752.61813931953</v>
      </c>
      <c r="G99" s="13">
        <f>Balance_Sheet!G74</f>
        <v>217168.62396319845</v>
      </c>
      <c r="I99" s="38"/>
      <c r="J99" s="39"/>
      <c r="K99" s="39"/>
      <c r="L99" s="40"/>
    </row>
    <row r="100" spans="2:12" ht="19.5" thickBot="1" x14ac:dyDescent="0.3">
      <c r="B100" s="14" t="s">
        <v>182</v>
      </c>
      <c r="C100" s="14">
        <f>ROUND(C98/C99, 2)</f>
        <v>0.78</v>
      </c>
      <c r="D100" s="14">
        <f t="shared" ref="D100:G100" si="20">ROUND(D98/D99, 2)</f>
        <v>0.84</v>
      </c>
      <c r="E100" s="14">
        <f t="shared" si="20"/>
        <v>0.67</v>
      </c>
      <c r="F100" s="14">
        <f t="shared" si="20"/>
        <v>0.69</v>
      </c>
      <c r="G100" s="14">
        <f t="shared" si="20"/>
        <v>0.9</v>
      </c>
      <c r="I100" s="41"/>
      <c r="J100" s="42"/>
      <c r="K100" s="42"/>
      <c r="L100" s="43"/>
    </row>
    <row r="101" spans="2:12" ht="15.75" thickTop="1" x14ac:dyDescent="0.25"/>
    <row r="102" spans="2:12" ht="19.5" thickBot="1" x14ac:dyDescent="0.3">
      <c r="B102" s="44" t="s">
        <v>183</v>
      </c>
      <c r="C102" s="44"/>
      <c r="D102" s="44"/>
      <c r="E102" s="44"/>
      <c r="F102" s="44"/>
      <c r="G102" s="44"/>
    </row>
    <row r="103" spans="2:12" ht="19.5" thickTop="1" x14ac:dyDescent="0.25">
      <c r="B103" s="12" t="str">
        <f>Income_Statement!B5</f>
        <v>Gross Sales</v>
      </c>
      <c r="C103" s="13">
        <f>Income_Statement!C5</f>
        <v>115195.63</v>
      </c>
      <c r="D103" s="13">
        <f>Income_Statement!D5</f>
        <v>129745.57</v>
      </c>
      <c r="E103" s="13">
        <f>Income_Statement!E5</f>
        <v>117140</v>
      </c>
      <c r="F103" s="13">
        <f>Income_Statement!F5</f>
        <v>131009</v>
      </c>
      <c r="G103" s="13">
        <f>Income_Statement!G5</f>
        <v>195059</v>
      </c>
      <c r="I103" s="35"/>
      <c r="J103" s="36"/>
      <c r="K103" s="36"/>
      <c r="L103" s="37"/>
    </row>
    <row r="104" spans="2:12" ht="18.75" x14ac:dyDescent="0.25">
      <c r="B104" s="12" t="str">
        <f>Balance_Sheet!B66</f>
        <v>Inventories</v>
      </c>
      <c r="C104" s="13">
        <f>Balance_Sheet!C66</f>
        <v>21631.39</v>
      </c>
      <c r="D104" s="13">
        <f>Balance_Sheet!D66</f>
        <v>22193.79</v>
      </c>
      <c r="E104" s="13">
        <f>Balance_Sheet!E66</f>
        <v>22384</v>
      </c>
      <c r="F104" s="13">
        <f>Balance_Sheet!F66</f>
        <v>30668</v>
      </c>
      <c r="G104" s="13">
        <f>Balance_Sheet!G66</f>
        <v>44483</v>
      </c>
      <c r="I104" s="38"/>
      <c r="J104" s="39"/>
      <c r="K104" s="39"/>
      <c r="L104" s="40"/>
    </row>
    <row r="105" spans="2:12" ht="19.5" thickBot="1" x14ac:dyDescent="0.3">
      <c r="B105" s="14" t="s">
        <v>184</v>
      </c>
      <c r="C105" s="14">
        <f>ROUND(C103/C104, 2)</f>
        <v>5.33</v>
      </c>
      <c r="D105" s="14">
        <f t="shared" ref="D105:G105" si="21">ROUND(D103/D104, 2)</f>
        <v>5.85</v>
      </c>
      <c r="E105" s="14">
        <f t="shared" si="21"/>
        <v>5.23</v>
      </c>
      <c r="F105" s="14">
        <f t="shared" si="21"/>
        <v>4.2699999999999996</v>
      </c>
      <c r="G105" s="14">
        <f t="shared" si="21"/>
        <v>4.3899999999999997</v>
      </c>
      <c r="I105" s="41"/>
      <c r="J105" s="42"/>
      <c r="K105" s="42"/>
      <c r="L105" s="43"/>
    </row>
    <row r="106" spans="2:12" ht="15.75" thickTop="1" x14ac:dyDescent="0.25"/>
    <row r="107" spans="2:12" ht="19.5" thickBot="1" x14ac:dyDescent="0.3">
      <c r="B107" s="44" t="s">
        <v>185</v>
      </c>
      <c r="C107" s="44"/>
      <c r="D107" s="44"/>
      <c r="E107" s="44"/>
      <c r="F107" s="44"/>
      <c r="G107" s="44"/>
    </row>
    <row r="108" spans="2:12" ht="19.5" thickTop="1" x14ac:dyDescent="0.25">
      <c r="B108" s="12" t="str">
        <f>Income_Statement!B5</f>
        <v>Gross Sales</v>
      </c>
      <c r="C108" s="13">
        <f>Income_Statement!C5</f>
        <v>115195.63</v>
      </c>
      <c r="D108" s="13">
        <f>Income_Statement!D5</f>
        <v>129745.57</v>
      </c>
      <c r="E108" s="13">
        <f>Income_Statement!E5</f>
        <v>117140</v>
      </c>
      <c r="F108" s="13">
        <f>Income_Statement!F5</f>
        <v>131009</v>
      </c>
      <c r="G108" s="13">
        <f>Income_Statement!G5</f>
        <v>195059</v>
      </c>
      <c r="I108" s="35"/>
      <c r="J108" s="36"/>
      <c r="K108" s="36"/>
      <c r="L108" s="37"/>
    </row>
    <row r="109" spans="2:12" ht="18.75" x14ac:dyDescent="0.25">
      <c r="B109" s="12" t="str">
        <f>Balance_Sheet!B68</f>
        <v>Trade Receivables</v>
      </c>
      <c r="C109" s="13">
        <f>Balance_Sheet!C68</f>
        <v>9959.81</v>
      </c>
      <c r="D109" s="13">
        <f>Balance_Sheet!D68</f>
        <v>11459.76</v>
      </c>
      <c r="E109" s="13">
        <f>Balance_Sheet!E68</f>
        <v>9345</v>
      </c>
      <c r="F109" s="13">
        <f>Balance_Sheet!F68</f>
        <v>12959</v>
      </c>
      <c r="G109" s="13">
        <f>Balance_Sheet!G68</f>
        <v>21076</v>
      </c>
      <c r="I109" s="38"/>
      <c r="J109" s="39"/>
      <c r="K109" s="39"/>
      <c r="L109" s="40"/>
    </row>
    <row r="110" spans="2:12" ht="19.5" thickBot="1" x14ac:dyDescent="0.3">
      <c r="B110" s="14" t="s">
        <v>186</v>
      </c>
      <c r="C110" s="14">
        <f>ROUND(C108/C109, 2)</f>
        <v>11.57</v>
      </c>
      <c r="D110" s="14">
        <f t="shared" ref="D110:G110" si="22">ROUND(D108/D109, 2)</f>
        <v>11.32</v>
      </c>
      <c r="E110" s="14">
        <f t="shared" si="22"/>
        <v>12.54</v>
      </c>
      <c r="F110" s="14">
        <f t="shared" si="22"/>
        <v>10.11</v>
      </c>
      <c r="G110" s="14">
        <f t="shared" si="22"/>
        <v>9.26</v>
      </c>
      <c r="I110" s="41"/>
      <c r="J110" s="42"/>
      <c r="K110" s="42"/>
      <c r="L110" s="43"/>
    </row>
    <row r="111" spans="2:12" ht="15.75" thickTop="1" x14ac:dyDescent="0.25"/>
    <row r="112" spans="2:12" ht="19.5" thickBot="1" x14ac:dyDescent="0.3">
      <c r="B112" s="44" t="s">
        <v>187</v>
      </c>
      <c r="C112" s="44"/>
      <c r="D112" s="44"/>
      <c r="E112" s="44"/>
      <c r="F112" s="44"/>
      <c r="G112" s="44"/>
    </row>
    <row r="113" spans="2:12" ht="19.5" thickTop="1" x14ac:dyDescent="0.25">
      <c r="B113" s="12" t="str">
        <f>Income_Statement!B5</f>
        <v>Gross Sales</v>
      </c>
      <c r="C113" s="13">
        <f>Income_Statement!C5</f>
        <v>115195.63</v>
      </c>
      <c r="D113" s="13">
        <f>Income_Statement!D5</f>
        <v>129745.57</v>
      </c>
      <c r="E113" s="13">
        <f>Income_Statement!E5</f>
        <v>117140</v>
      </c>
      <c r="F113" s="13">
        <f>Income_Statement!F5</f>
        <v>131009</v>
      </c>
      <c r="G113" s="13">
        <f>Income_Statement!G5</f>
        <v>195059</v>
      </c>
      <c r="I113" s="35"/>
      <c r="J113" s="36"/>
      <c r="K113" s="36"/>
      <c r="L113" s="37"/>
    </row>
    <row r="114" spans="2:12" ht="18.75" x14ac:dyDescent="0.25">
      <c r="B114" s="12" t="str">
        <f>Balance_Sheet!B40</f>
        <v>Tangible Assets</v>
      </c>
      <c r="C114" s="13">
        <f>Balance_Sheet!C40</f>
        <v>63910.31</v>
      </c>
      <c r="D114" s="13">
        <f>Balance_Sheet!D40</f>
        <v>64208.08</v>
      </c>
      <c r="E114" s="13">
        <f>Balance_Sheet!E40</f>
        <v>66089</v>
      </c>
      <c r="F114" s="13">
        <f>Balance_Sheet!F40</f>
        <v>70870</v>
      </c>
      <c r="G114" s="13">
        <f>Balance_Sheet!G40</f>
        <v>87854</v>
      </c>
      <c r="I114" s="38"/>
      <c r="J114" s="39"/>
      <c r="K114" s="39"/>
      <c r="L114" s="40"/>
    </row>
    <row r="115" spans="2:12" ht="19.5" thickBot="1" x14ac:dyDescent="0.3">
      <c r="B115" s="14" t="s">
        <v>188</v>
      </c>
      <c r="C115" s="14">
        <f>ROUND(C113/C114, 2)</f>
        <v>1.8</v>
      </c>
      <c r="D115" s="14">
        <f t="shared" ref="D115:G115" si="23">ROUND(D113/D114, 2)</f>
        <v>2.02</v>
      </c>
      <c r="E115" s="14">
        <f t="shared" si="23"/>
        <v>1.77</v>
      </c>
      <c r="F115" s="14">
        <f t="shared" si="23"/>
        <v>1.85</v>
      </c>
      <c r="G115" s="14">
        <f t="shared" si="23"/>
        <v>2.2200000000000002</v>
      </c>
      <c r="I115" s="41"/>
      <c r="J115" s="42"/>
      <c r="K115" s="42"/>
      <c r="L115" s="43"/>
    </row>
    <row r="116" spans="2:12" ht="15.75" thickTop="1" x14ac:dyDescent="0.25"/>
    <row r="117" spans="2:12" ht="19.5" thickBot="1" x14ac:dyDescent="0.3">
      <c r="B117" s="44" t="s">
        <v>189</v>
      </c>
      <c r="C117" s="44"/>
      <c r="D117" s="44"/>
      <c r="E117" s="44"/>
      <c r="F117" s="44"/>
      <c r="G117" s="44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79486.399999999994</v>
      </c>
      <c r="D118" s="13">
        <f>Income_Statement!D17</f>
        <v>87686.82</v>
      </c>
      <c r="E118" s="13">
        <f>Income_Statement!E17</f>
        <v>77727</v>
      </c>
      <c r="F118" s="13">
        <f>Income_Statement!F17</f>
        <v>86276</v>
      </c>
      <c r="G118" s="13">
        <f>Income_Statement!G17</f>
        <v>125335</v>
      </c>
      <c r="I118" s="35"/>
      <c r="J118" s="36"/>
      <c r="K118" s="36"/>
      <c r="L118" s="37"/>
    </row>
    <row r="119" spans="2:12" ht="18.75" x14ac:dyDescent="0.25">
      <c r="B119" s="12" t="str">
        <f>Balance_Sheet!B33</f>
        <v>Total Current Liabilities</v>
      </c>
      <c r="C119" s="13">
        <f>Balance_Sheet!C33</f>
        <v>37827.229999999996</v>
      </c>
      <c r="D119" s="13">
        <f>Balance_Sheet!D33</f>
        <v>38409.67</v>
      </c>
      <c r="E119" s="13">
        <f>Balance_Sheet!E33</f>
        <v>39434</v>
      </c>
      <c r="F119" s="13">
        <f>Balance_Sheet!F33</f>
        <v>53649</v>
      </c>
      <c r="G119" s="13">
        <f>Balance_Sheet!G33</f>
        <v>75994</v>
      </c>
      <c r="I119" s="38"/>
      <c r="J119" s="39"/>
      <c r="K119" s="39"/>
      <c r="L119" s="40"/>
    </row>
    <row r="120" spans="2:12" ht="19.5" thickBot="1" x14ac:dyDescent="0.3">
      <c r="B120" s="14" t="s">
        <v>190</v>
      </c>
      <c r="C120" s="14">
        <f>ROUND(C118/C119, 2)</f>
        <v>2.1</v>
      </c>
      <c r="D120" s="14">
        <f t="shared" ref="D120:G120" si="24">ROUND(D118/D119, 2)</f>
        <v>2.2799999999999998</v>
      </c>
      <c r="E120" s="14">
        <f t="shared" si="24"/>
        <v>1.97</v>
      </c>
      <c r="F120" s="14">
        <f t="shared" si="24"/>
        <v>1.61</v>
      </c>
      <c r="G120" s="14">
        <f t="shared" si="24"/>
        <v>1.65</v>
      </c>
      <c r="I120" s="41"/>
      <c r="J120" s="42"/>
      <c r="K120" s="42"/>
      <c r="L120" s="43"/>
    </row>
    <row r="121" spans="2:12" ht="15.75" thickTop="1" x14ac:dyDescent="0.25"/>
    <row r="122" spans="2:12" ht="19.5" thickBot="1" x14ac:dyDescent="0.3">
      <c r="B122" s="44" t="s">
        <v>191</v>
      </c>
      <c r="C122" s="44"/>
      <c r="D122" s="44"/>
      <c r="E122" s="44"/>
      <c r="F122" s="44"/>
      <c r="G122" s="44"/>
    </row>
    <row r="123" spans="2:12" ht="19.5" thickTop="1" x14ac:dyDescent="0.25">
      <c r="B123" s="12" t="str">
        <f>Income_Statement!B5</f>
        <v>Gross Sales</v>
      </c>
      <c r="C123" s="13">
        <f>Income_Statement!C5</f>
        <v>115195.63</v>
      </c>
      <c r="D123" s="13">
        <f>Income_Statement!D5</f>
        <v>129745.57</v>
      </c>
      <c r="E123" s="13">
        <f>Income_Statement!E5</f>
        <v>117140</v>
      </c>
      <c r="F123" s="13">
        <f>Income_Statement!F5</f>
        <v>131009</v>
      </c>
      <c r="G123" s="13">
        <f>Income_Statement!G5</f>
        <v>195059</v>
      </c>
      <c r="I123" s="35"/>
      <c r="J123" s="36"/>
      <c r="K123" s="36"/>
      <c r="L123" s="37"/>
    </row>
    <row r="124" spans="2:12" ht="18.75" x14ac:dyDescent="0.25">
      <c r="B124" s="12" t="str">
        <f>Balance_Sheet!B66</f>
        <v>Inventories</v>
      </c>
      <c r="C124" s="13">
        <f>Balance_Sheet!C66</f>
        <v>21631.39</v>
      </c>
      <c r="D124" s="13">
        <f>Balance_Sheet!D66</f>
        <v>22193.79</v>
      </c>
      <c r="E124" s="13">
        <f>Balance_Sheet!E66</f>
        <v>22384</v>
      </c>
      <c r="F124" s="13">
        <f>Balance_Sheet!F66</f>
        <v>30668</v>
      </c>
      <c r="G124" s="13">
        <f>Balance_Sheet!G66</f>
        <v>44483</v>
      </c>
      <c r="I124" s="38"/>
      <c r="J124" s="39"/>
      <c r="K124" s="39"/>
      <c r="L124" s="40"/>
    </row>
    <row r="125" spans="2:12" ht="19.5" thickBot="1" x14ac:dyDescent="0.3">
      <c r="B125" s="14" t="s">
        <v>192</v>
      </c>
      <c r="C125" s="14">
        <f>ROUND(365/C123*C124, 2)</f>
        <v>68.540000000000006</v>
      </c>
      <c r="D125" s="14">
        <f t="shared" ref="D125:G125" si="25">ROUND(365/D123*D124, 2)</f>
        <v>62.44</v>
      </c>
      <c r="E125" s="14">
        <f t="shared" si="25"/>
        <v>69.75</v>
      </c>
      <c r="F125" s="14">
        <f t="shared" si="25"/>
        <v>85.44</v>
      </c>
      <c r="G125" s="14">
        <f t="shared" si="25"/>
        <v>83.24</v>
      </c>
      <c r="I125" s="41"/>
      <c r="J125" s="42"/>
      <c r="K125" s="42"/>
      <c r="L125" s="43"/>
    </row>
    <row r="126" spans="2:12" ht="15.75" thickTop="1" x14ac:dyDescent="0.25"/>
    <row r="127" spans="2:12" ht="19.5" thickBot="1" x14ac:dyDescent="0.3">
      <c r="B127" s="44" t="s">
        <v>193</v>
      </c>
      <c r="C127" s="44"/>
      <c r="D127" s="44"/>
      <c r="E127" s="44"/>
      <c r="F127" s="44"/>
      <c r="G127" s="44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79486.399999999994</v>
      </c>
      <c r="D128" s="13">
        <f>Income_Statement!D17</f>
        <v>87686.82</v>
      </c>
      <c r="E128" s="13">
        <f>Income_Statement!E17</f>
        <v>77727</v>
      </c>
      <c r="F128" s="13">
        <f>Income_Statement!F17</f>
        <v>86276</v>
      </c>
      <c r="G128" s="13">
        <f>Income_Statement!G17</f>
        <v>125335</v>
      </c>
      <c r="I128" s="35"/>
      <c r="J128" s="36"/>
      <c r="K128" s="36"/>
      <c r="L128" s="37"/>
    </row>
    <row r="129" spans="2:12" ht="18.75" x14ac:dyDescent="0.25">
      <c r="B129" s="12" t="str">
        <f>Balance_Sheet!B33</f>
        <v>Total Current Liabilities</v>
      </c>
      <c r="C129" s="13">
        <f>Balance_Sheet!C33</f>
        <v>37827.229999999996</v>
      </c>
      <c r="D129" s="13">
        <f>Balance_Sheet!D33</f>
        <v>38409.67</v>
      </c>
      <c r="E129" s="13">
        <f>Balance_Sheet!E33</f>
        <v>39434</v>
      </c>
      <c r="F129" s="13">
        <f>Balance_Sheet!F33</f>
        <v>53649</v>
      </c>
      <c r="G129" s="13">
        <f>Balance_Sheet!G33</f>
        <v>75994</v>
      </c>
      <c r="I129" s="38"/>
      <c r="J129" s="39"/>
      <c r="K129" s="39"/>
      <c r="L129" s="40"/>
    </row>
    <row r="130" spans="2:12" ht="19.5" thickBot="1" x14ac:dyDescent="0.3">
      <c r="B130" s="14" t="s">
        <v>194</v>
      </c>
      <c r="C130" s="14">
        <f>ROUND(365/C128*C129, 2)</f>
        <v>173.7</v>
      </c>
      <c r="D130" s="14">
        <f t="shared" ref="D130:G130" si="26">ROUND(365/D128*D129, 2)</f>
        <v>159.88</v>
      </c>
      <c r="E130" s="14">
        <f t="shared" si="26"/>
        <v>185.18</v>
      </c>
      <c r="F130" s="14">
        <f t="shared" si="26"/>
        <v>226.97</v>
      </c>
      <c r="G130" s="14">
        <f t="shared" si="26"/>
        <v>221.31</v>
      </c>
      <c r="I130" s="41"/>
      <c r="J130" s="42"/>
      <c r="K130" s="42"/>
      <c r="L130" s="43"/>
    </row>
    <row r="131" spans="2:12" ht="15.75" thickTop="1" x14ac:dyDescent="0.25"/>
    <row r="132" spans="2:12" ht="19.5" thickBot="1" x14ac:dyDescent="0.3">
      <c r="B132" s="44" t="s">
        <v>195</v>
      </c>
      <c r="C132" s="44"/>
      <c r="D132" s="44"/>
      <c r="E132" s="44"/>
      <c r="F132" s="44"/>
      <c r="G132" s="44"/>
    </row>
    <row r="133" spans="2:12" ht="19.5" thickTop="1" x14ac:dyDescent="0.25">
      <c r="B133" s="12" t="str">
        <f>Income_Statement!B5</f>
        <v>Gross Sales</v>
      </c>
      <c r="C133" s="13">
        <f>Income_Statement!C5</f>
        <v>115195.63</v>
      </c>
      <c r="D133" s="13">
        <f>Income_Statement!D5</f>
        <v>129745.57</v>
      </c>
      <c r="E133" s="13">
        <f>Income_Statement!E5</f>
        <v>117140</v>
      </c>
      <c r="F133" s="13">
        <f>Income_Statement!F5</f>
        <v>131009</v>
      </c>
      <c r="G133" s="13">
        <f>Income_Statement!G5</f>
        <v>195059</v>
      </c>
      <c r="I133" s="35"/>
      <c r="J133" s="36"/>
      <c r="K133" s="36"/>
      <c r="L133" s="37"/>
    </row>
    <row r="134" spans="2:12" ht="18.75" x14ac:dyDescent="0.25">
      <c r="B134" s="12" t="str">
        <f>Balance_Sheet!B68</f>
        <v>Trade Receivables</v>
      </c>
      <c r="C134" s="13">
        <f>Balance_Sheet!C68</f>
        <v>9959.81</v>
      </c>
      <c r="D134" s="13">
        <f>Balance_Sheet!D68</f>
        <v>11459.76</v>
      </c>
      <c r="E134" s="13">
        <f>Balance_Sheet!E68</f>
        <v>9345</v>
      </c>
      <c r="F134" s="13">
        <f>Balance_Sheet!F68</f>
        <v>12959</v>
      </c>
      <c r="G134" s="13">
        <f>Balance_Sheet!G68</f>
        <v>21076</v>
      </c>
      <c r="I134" s="38"/>
      <c r="J134" s="39"/>
      <c r="K134" s="39"/>
      <c r="L134" s="40"/>
    </row>
    <row r="135" spans="2:12" ht="19.5" thickBot="1" x14ac:dyDescent="0.3">
      <c r="B135" s="14" t="s">
        <v>196</v>
      </c>
      <c r="C135" s="14">
        <f>ROUND(365/C133*C134, 2)</f>
        <v>31.56</v>
      </c>
      <c r="D135" s="14">
        <f t="shared" ref="D135:G135" si="27">ROUND(365/D133*D134, 2)</f>
        <v>32.24</v>
      </c>
      <c r="E135" s="14">
        <f t="shared" si="27"/>
        <v>29.12</v>
      </c>
      <c r="F135" s="14">
        <f t="shared" si="27"/>
        <v>36.1</v>
      </c>
      <c r="G135" s="14">
        <f t="shared" si="27"/>
        <v>39.44</v>
      </c>
      <c r="I135" s="41"/>
      <c r="J135" s="42"/>
      <c r="K135" s="42"/>
      <c r="L135" s="43"/>
    </row>
    <row r="136" spans="2:12" ht="15.75" thickTop="1" x14ac:dyDescent="0.25"/>
    <row r="137" spans="2:12" ht="18.75" x14ac:dyDescent="0.25">
      <c r="B137" s="44" t="s">
        <v>197</v>
      </c>
      <c r="C137" s="44"/>
      <c r="D137" s="44"/>
      <c r="E137" s="44"/>
      <c r="F137" s="44"/>
      <c r="G137" s="44"/>
    </row>
    <row r="138" spans="2:12" ht="18.75" x14ac:dyDescent="0.25">
      <c r="B138" s="12" t="str">
        <f>Income_Statement!B5</f>
        <v>Gross Sales</v>
      </c>
      <c r="C138" s="13">
        <f>Income_Statement!C5</f>
        <v>115195.63</v>
      </c>
      <c r="D138" s="13">
        <f>Income_Statement!D5</f>
        <v>129745.57</v>
      </c>
      <c r="E138" s="13">
        <f>Income_Statement!E5</f>
        <v>117140</v>
      </c>
      <c r="F138" s="13">
        <f>Income_Statement!F5</f>
        <v>131009</v>
      </c>
      <c r="G138" s="13">
        <f>Income_Statement!G5</f>
        <v>195059</v>
      </c>
    </row>
    <row r="139" spans="2:12" ht="18.75" x14ac:dyDescent="0.25">
      <c r="B139" s="12" t="str">
        <f>Balance_Sheet!B66</f>
        <v>Inventories</v>
      </c>
      <c r="C139" s="13">
        <f>Balance_Sheet!C66</f>
        <v>21631.39</v>
      </c>
      <c r="D139" s="13">
        <f>Balance_Sheet!D66</f>
        <v>22193.79</v>
      </c>
      <c r="E139" s="13">
        <f>Balance_Sheet!E66</f>
        <v>22384</v>
      </c>
      <c r="F139" s="13">
        <f>Balance_Sheet!F66</f>
        <v>30668</v>
      </c>
      <c r="G139" s="13">
        <f>Balance_Sheet!G66</f>
        <v>44483</v>
      </c>
    </row>
    <row r="140" spans="2:12" ht="18.75" x14ac:dyDescent="0.25">
      <c r="B140" s="12" t="s">
        <v>192</v>
      </c>
      <c r="C140" s="13">
        <f>ROUND(365/C138*C139, 2)</f>
        <v>68.540000000000006</v>
      </c>
      <c r="D140" s="13">
        <f t="shared" ref="D140:G140" si="28">ROUND(365/D138*D139, 2)</f>
        <v>62.44</v>
      </c>
      <c r="E140" s="13">
        <f t="shared" si="28"/>
        <v>69.75</v>
      </c>
      <c r="F140" s="13">
        <f t="shared" si="28"/>
        <v>85.44</v>
      </c>
      <c r="G140" s="13">
        <f t="shared" si="28"/>
        <v>83.24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79486.399999999994</v>
      </c>
      <c r="D141" s="13">
        <f>Income_Statement!D17</f>
        <v>87686.82</v>
      </c>
      <c r="E141" s="13">
        <f>Income_Statement!E17</f>
        <v>77727</v>
      </c>
      <c r="F141" s="13">
        <f>Income_Statement!F17</f>
        <v>86276</v>
      </c>
      <c r="G141" s="13">
        <f>Income_Statement!G17</f>
        <v>125335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37827.229999999996</v>
      </c>
      <c r="D142" s="13">
        <f>Balance_Sheet!D33</f>
        <v>38409.67</v>
      </c>
      <c r="E142" s="13">
        <f>Balance_Sheet!E33</f>
        <v>39434</v>
      </c>
      <c r="F142" s="13">
        <f>Balance_Sheet!F33</f>
        <v>53649</v>
      </c>
      <c r="G142" s="13">
        <f>Balance_Sheet!G33</f>
        <v>75994</v>
      </c>
      <c r="I142" s="35"/>
      <c r="J142" s="36"/>
      <c r="K142" s="36"/>
      <c r="L142" s="37"/>
    </row>
    <row r="143" spans="2:12" ht="18.75" x14ac:dyDescent="0.25">
      <c r="B143" s="12" t="s">
        <v>194</v>
      </c>
      <c r="C143" s="13">
        <f>ROUND(365/C141*C142, 2)</f>
        <v>173.7</v>
      </c>
      <c r="D143" s="13">
        <f t="shared" ref="D143:G143" si="29">ROUND(365/D141*D142, 2)</f>
        <v>159.88</v>
      </c>
      <c r="E143" s="13">
        <f t="shared" si="29"/>
        <v>185.18</v>
      </c>
      <c r="F143" s="13">
        <f t="shared" si="29"/>
        <v>226.97</v>
      </c>
      <c r="G143" s="13">
        <f t="shared" si="29"/>
        <v>221.31</v>
      </c>
      <c r="I143" s="38"/>
      <c r="J143" s="39"/>
      <c r="K143" s="39"/>
      <c r="L143" s="40"/>
    </row>
    <row r="144" spans="2:12" ht="19.5" thickBot="1" x14ac:dyDescent="0.3">
      <c r="B144" s="14" t="s">
        <v>198</v>
      </c>
      <c r="C144" s="16">
        <f>ROUND(C143+C140, 2)</f>
        <v>242.24</v>
      </c>
      <c r="D144" s="16">
        <f t="shared" ref="D144:G144" si="30">ROUND(D143+D140, 2)</f>
        <v>222.32</v>
      </c>
      <c r="E144" s="16">
        <f t="shared" si="30"/>
        <v>254.93</v>
      </c>
      <c r="F144" s="16">
        <f t="shared" si="30"/>
        <v>312.41000000000003</v>
      </c>
      <c r="G144" s="16">
        <f t="shared" si="30"/>
        <v>304.55</v>
      </c>
      <c r="I144" s="41"/>
      <c r="J144" s="42"/>
      <c r="K144" s="42"/>
      <c r="L144" s="43"/>
    </row>
    <row r="145" spans="2:12" ht="15.75" thickTop="1" x14ac:dyDescent="0.25"/>
    <row r="146" spans="2:12" ht="18.75" x14ac:dyDescent="0.25">
      <c r="B146" s="44" t="s">
        <v>199</v>
      </c>
      <c r="C146" s="44"/>
      <c r="D146" s="44"/>
      <c r="E146" s="44"/>
      <c r="F146" s="44"/>
      <c r="G146" s="44"/>
    </row>
    <row r="147" spans="2:12" ht="18.75" x14ac:dyDescent="0.25">
      <c r="B147" s="12" t="str">
        <f>Income_Statement!B5</f>
        <v>Gross Sales</v>
      </c>
      <c r="C147" s="13">
        <f>Income_Statement!C5</f>
        <v>115195.63</v>
      </c>
      <c r="D147" s="13">
        <f>Income_Statement!D5</f>
        <v>129745.57</v>
      </c>
      <c r="E147" s="13">
        <f>Income_Statement!E5</f>
        <v>117140</v>
      </c>
      <c r="F147" s="13">
        <f>Income_Statement!F5</f>
        <v>131009</v>
      </c>
      <c r="G147" s="13">
        <f>Income_Statement!G5</f>
        <v>195059</v>
      </c>
    </row>
    <row r="148" spans="2:12" ht="18.75" x14ac:dyDescent="0.25">
      <c r="B148" s="12" t="str">
        <f>Balance_Sheet!B66</f>
        <v>Inventories</v>
      </c>
      <c r="C148" s="13">
        <f>Balance_Sheet!C66</f>
        <v>21631.39</v>
      </c>
      <c r="D148" s="13">
        <f>Balance_Sheet!D66</f>
        <v>22193.79</v>
      </c>
      <c r="E148" s="13">
        <f>Balance_Sheet!E66</f>
        <v>22384</v>
      </c>
      <c r="F148" s="13">
        <f>Balance_Sheet!F66</f>
        <v>30668</v>
      </c>
      <c r="G148" s="13">
        <f>Balance_Sheet!G66</f>
        <v>44483</v>
      </c>
    </row>
    <row r="149" spans="2:12" ht="18.75" x14ac:dyDescent="0.25">
      <c r="B149" s="12" t="s">
        <v>192</v>
      </c>
      <c r="C149" s="13">
        <f>ROUND(365/C147*C148, 2)</f>
        <v>68.540000000000006</v>
      </c>
      <c r="D149" s="13">
        <f t="shared" ref="D149:G149" si="31">ROUND(365/D147*D148, 2)</f>
        <v>62.44</v>
      </c>
      <c r="E149" s="13">
        <f t="shared" si="31"/>
        <v>69.75</v>
      </c>
      <c r="F149" s="13">
        <f t="shared" si="31"/>
        <v>85.44</v>
      </c>
      <c r="G149" s="13">
        <f t="shared" si="31"/>
        <v>83.24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79486.399999999994</v>
      </c>
      <c r="D150" s="13">
        <f>Income_Statement!D17</f>
        <v>87686.82</v>
      </c>
      <c r="E150" s="13">
        <f>Income_Statement!E17</f>
        <v>77727</v>
      </c>
      <c r="F150" s="13">
        <f>Income_Statement!F17</f>
        <v>86276</v>
      </c>
      <c r="G150" s="13">
        <f>Income_Statement!G17</f>
        <v>125335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37827.229999999996</v>
      </c>
      <c r="D151" s="13">
        <f>Balance_Sheet!D33</f>
        <v>38409.67</v>
      </c>
      <c r="E151" s="13">
        <f>Balance_Sheet!E33</f>
        <v>39434</v>
      </c>
      <c r="F151" s="13">
        <f>Balance_Sheet!F33</f>
        <v>53649</v>
      </c>
      <c r="G151" s="13">
        <f>Balance_Sheet!G33</f>
        <v>75994</v>
      </c>
    </row>
    <row r="152" spans="2:12" ht="18.75" x14ac:dyDescent="0.25">
      <c r="B152" s="12" t="s">
        <v>194</v>
      </c>
      <c r="C152" s="13">
        <f>ROUND(365/C150*C151, 2)</f>
        <v>173.7</v>
      </c>
      <c r="D152" s="13">
        <f t="shared" ref="D152:G152" si="32">ROUND(365/D150*D151, 2)</f>
        <v>159.88</v>
      </c>
      <c r="E152" s="13">
        <f t="shared" si="32"/>
        <v>185.18</v>
      </c>
      <c r="F152" s="13">
        <f t="shared" si="32"/>
        <v>226.97</v>
      </c>
      <c r="G152" s="13">
        <f t="shared" si="32"/>
        <v>221.31</v>
      </c>
    </row>
    <row r="153" spans="2:12" ht="18.75" x14ac:dyDescent="0.25">
      <c r="B153" s="12" t="s">
        <v>200</v>
      </c>
      <c r="C153" s="13">
        <f>ROUND(C152+C149, 2)</f>
        <v>242.24</v>
      </c>
      <c r="D153" s="13">
        <f t="shared" ref="D153:G153" si="33">ROUND(D152+D149, 2)</f>
        <v>222.32</v>
      </c>
      <c r="E153" s="13">
        <f t="shared" si="33"/>
        <v>254.93</v>
      </c>
      <c r="F153" s="13">
        <f t="shared" si="33"/>
        <v>312.41000000000003</v>
      </c>
      <c r="G153" s="13">
        <f t="shared" si="33"/>
        <v>304.55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79486.399999999994</v>
      </c>
      <c r="D154" s="13">
        <f>Income_Statement!D17</f>
        <v>87686.82</v>
      </c>
      <c r="E154" s="13">
        <f>Income_Statement!E17</f>
        <v>77727</v>
      </c>
      <c r="F154" s="13">
        <f>Income_Statement!F17</f>
        <v>86276</v>
      </c>
      <c r="G154" s="13">
        <f>Income_Statement!G17</f>
        <v>125335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37827.229999999996</v>
      </c>
      <c r="D155" s="13">
        <f>Balance_Sheet!D33</f>
        <v>38409.67</v>
      </c>
      <c r="E155" s="13">
        <f>Balance_Sheet!E33</f>
        <v>39434</v>
      </c>
      <c r="F155" s="13">
        <f>Balance_Sheet!F33</f>
        <v>53649</v>
      </c>
      <c r="G155" s="13">
        <f>Balance_Sheet!G33</f>
        <v>75994</v>
      </c>
      <c r="I155" s="35"/>
      <c r="J155" s="36"/>
      <c r="K155" s="36"/>
      <c r="L155" s="37"/>
    </row>
    <row r="156" spans="2:12" ht="18.75" x14ac:dyDescent="0.25">
      <c r="B156" s="12" t="s">
        <v>194</v>
      </c>
      <c r="C156" s="13">
        <f>ROUND(365/C154*C155, 2)</f>
        <v>173.7</v>
      </c>
      <c r="D156" s="13">
        <f t="shared" ref="D156:G156" si="34">ROUND(365/D154*D155, 2)</f>
        <v>159.88</v>
      </c>
      <c r="E156" s="13">
        <f t="shared" si="34"/>
        <v>185.18</v>
      </c>
      <c r="F156" s="13">
        <f t="shared" si="34"/>
        <v>226.97</v>
      </c>
      <c r="G156" s="13">
        <f t="shared" si="34"/>
        <v>221.31</v>
      </c>
      <c r="I156" s="38"/>
      <c r="J156" s="39"/>
      <c r="K156" s="39"/>
      <c r="L156" s="40"/>
    </row>
    <row r="157" spans="2:12" ht="19.5" thickBot="1" x14ac:dyDescent="0.3">
      <c r="B157" s="14" t="s">
        <v>201</v>
      </c>
      <c r="C157" s="16">
        <f>ROUND(C156-C153, 2)</f>
        <v>-68.540000000000006</v>
      </c>
      <c r="D157" s="16">
        <f t="shared" ref="D157:G157" si="35">ROUND(D156-D153, 2)</f>
        <v>-62.44</v>
      </c>
      <c r="E157" s="16">
        <f t="shared" si="35"/>
        <v>-69.75</v>
      </c>
      <c r="F157" s="16">
        <f t="shared" si="35"/>
        <v>-85.44</v>
      </c>
      <c r="G157" s="16">
        <f t="shared" si="35"/>
        <v>-83.24</v>
      </c>
      <c r="I157" s="41"/>
      <c r="J157" s="42"/>
      <c r="K157" s="42"/>
      <c r="L157" s="43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45D93EC3-4CDE-4124-8A76-4BAC30635407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F0E278B8-A670-4847-88A9-AA3CB9D7A3F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8B35DC1C-4292-423F-88D5-A2EAF699F7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FC148595-EF33-45E0-BF11-1F63A10A341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D046BCF6-B0CC-4081-8A08-712B204041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F80B9EA-3858-49AD-9171-F8C1357041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57B4A018-9B1F-41AE-81E2-0A996EBBD5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F948B7F5-AC07-485F-ADF3-B9418427F0A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ED7668F6-955E-41B7-AEA8-D30A7C845C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DED28D0A-9DDA-4B26-A001-1AFECD46E71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CEBA9034-664A-4A15-A24E-6ECE5FEB7C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D9D9D521-CFBE-4783-83B6-223BFF1C26E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23F280EE-9BD8-4EF6-81F2-4C0C33F143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0291634D-2326-45FA-A5D7-8C5BF7F2DC6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8C85E639-368C-4C71-8757-CE7E88A0303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D9796510-A2EF-4EF4-8CF3-508E227939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0217A441-A832-4915-9510-7F79E75FEB4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1556E704-758C-412A-92D1-3218581763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855C329B-7D51-4628-A017-BF6E2DF4437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138AEF3F-8383-4D4B-BAD4-29837B2D1B4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205B8070-4E36-445C-B34F-529A9939CF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AA20541D-2D7B-4BBE-858B-69ED8A503A3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8A366181-A821-4F71-B41D-C39CC7E35B4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7C136613-BFE7-4545-B70F-92155E6E8D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4E1EAA8E-2E18-4F91-B499-6E6062A0D3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3C5EF45D-85EA-4934-B846-2FF30813943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20D2245F-4FCF-4FDB-8E7E-8610F289781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1DA8A9D9-16FC-4422-980A-5FEA19BE15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E01A-8C6B-4717-8556-98A0BC10C99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145</v>
      </c>
      <c r="C5" s="44"/>
      <c r="D5" s="44"/>
      <c r="E5" s="44"/>
      <c r="F5" s="44"/>
      <c r="G5" s="44"/>
    </row>
    <row r="6" spans="2:15" ht="18.75" x14ac:dyDescent="0.25">
      <c r="B6" s="12" t="str">
        <f>Income_Statement!B49</f>
        <v>Reported Net Profit(PAT)</v>
      </c>
      <c r="C6" s="13">
        <f>Income_Statement!C49</f>
        <v>3598.3940597894507</v>
      </c>
      <c r="D6" s="13">
        <f>Income_Statement!D49</f>
        <v>5319.528687078885</v>
      </c>
      <c r="E6" s="13">
        <f>Income_Statement!E49</f>
        <v>3050.0101246371923</v>
      </c>
      <c r="F6" s="13">
        <f>Income_Statement!F49</f>
        <v>3238.0093276034459</v>
      </c>
      <c r="G6" s="13">
        <f>Income_Statement!G49</f>
        <v>6711.0058238789206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</row>
    <row r="8" spans="2:15" ht="18.75" x14ac:dyDescent="0.25">
      <c r="B8" s="14" t="s">
        <v>146</v>
      </c>
      <c r="C8" s="14">
        <f>ROUND(C6/C7, 2)</f>
        <v>27</v>
      </c>
      <c r="D8" s="14">
        <f t="shared" ref="D8:G8" si="0">ROUND(D6/D7, 2)</f>
        <v>25</v>
      </c>
      <c r="E8" s="14">
        <f t="shared" si="0"/>
        <v>17</v>
      </c>
      <c r="F8" s="14">
        <f t="shared" si="0"/>
        <v>16</v>
      </c>
      <c r="G8" s="14">
        <f t="shared" si="0"/>
        <v>62</v>
      </c>
    </row>
  </sheetData>
  <mergeCells count="1">
    <mergeCell ref="B5:G5"/>
  </mergeCells>
  <hyperlinks>
    <hyperlink ref="F1" location="Index_Data!A1" tooltip="Hi click here To return Index page" display="Index_Data!A1" xr:uid="{4C1D951C-6671-480C-B3D7-B5923611412D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2737-857A-413B-AF97-8A8889B0956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0" bestFit="1" customWidth="1"/>
  </cols>
  <sheetData>
    <row r="1" spans="2:15" x14ac:dyDescent="0.25">
      <c r="F1" s="45" t="s">
        <v>271</v>
      </c>
      <c r="O1" s="46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4" t="s">
        <v>147</v>
      </c>
      <c r="C5" s="44"/>
      <c r="D5" s="44"/>
      <c r="E5" s="44"/>
      <c r="F5" s="44"/>
      <c r="G5" s="44"/>
    </row>
    <row r="6" spans="2:15" ht="18.75" x14ac:dyDescent="0.25">
      <c r="B6" s="12" t="str">
        <f>Income_Statement!B51</f>
        <v>Equity Share Dividend</v>
      </c>
      <c r="C6" s="13">
        <f>Income_Statement!C51</f>
        <v>293.76</v>
      </c>
      <c r="D6" s="13">
        <f>Income_Statement!D51</f>
        <v>269.45999999999998</v>
      </c>
      <c r="E6" s="13">
        <f>Income_Statement!E51</f>
        <v>267</v>
      </c>
      <c r="F6" s="13">
        <f>Income_Statement!F51</f>
        <v>222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133.27385406627596</v>
      </c>
      <c r="D7" s="13">
        <f>Income_Statement!D61</f>
        <v>212.78114748315539</v>
      </c>
      <c r="E7" s="13">
        <f>Income_Statement!E61</f>
        <v>179.41236027277603</v>
      </c>
      <c r="F7" s="13">
        <f>Income_Statement!F61</f>
        <v>202.37558297521537</v>
      </c>
      <c r="G7" s="13">
        <f>Income_Statement!G61</f>
        <v>108.24202941740195</v>
      </c>
    </row>
    <row r="8" spans="2:15" ht="18.75" x14ac:dyDescent="0.25">
      <c r="B8" s="14" t="s">
        <v>148</v>
      </c>
      <c r="C8" s="14">
        <f>ROUND(C6/C7, 2)</f>
        <v>2.2000000000000002</v>
      </c>
      <c r="D8" s="14">
        <f t="shared" ref="D8:G8" si="0">ROUND(D6/D7, 2)</f>
        <v>1.27</v>
      </c>
      <c r="E8" s="14">
        <f t="shared" si="0"/>
        <v>1.49</v>
      </c>
      <c r="F8" s="14">
        <f t="shared" si="0"/>
        <v>1.1000000000000001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02E076D0-9AEE-4C7D-8351-4289BEF82AC9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2022-07-03T10:49:38Z</dcterms:created>
  <dcterms:modified xsi:type="dcterms:W3CDTF">2022-07-04T07:40:59Z</dcterms:modified>
</cp:coreProperties>
</file>