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53F4910A-5D5A-44D8-8EC0-385EF7D54572}" xr6:coauthVersionLast="47" xr6:coauthVersionMax="47" xr10:uidLastSave="{00000000-0000-0000-0000-000000000000}"/>
  <bookViews>
    <workbookView xWindow="-120" yWindow="-120" windowWidth="20730" windowHeight="11160" firstSheet="2" activeTab="2" xr2:uid="{1CA5E67A-7237-42AA-A063-CFB91A067856}"/>
  </bookViews>
  <sheets>
    <sheet name="BSInput" sheetId="1" r:id="rId1"/>
    <sheet name="ISMInput" sheetId="2" r:id="rId2"/>
    <sheet name="Index_Data" sheetId="48" r:id="rId3"/>
    <sheet name="Income_Statement" sheetId="3" r:id="rId4"/>
    <sheet name="Balance_Sheet" sheetId="4" r:id="rId5"/>
    <sheet name="CashFlow_Statement" sheetId="5" r:id="rId6"/>
    <sheet name="Ratios" sheetId="6" r:id="rId7"/>
    <sheet name="Earning__Per_Share" sheetId="7" r:id="rId8"/>
    <sheet name="Equity_Dividend_Per_Share" sheetId="8" r:id="rId9"/>
    <sheet name="Book_Value__Per_Share" sheetId="9" r:id="rId10"/>
    <sheet name="Dividend_Pay_Out_Ratio" sheetId="10" r:id="rId11"/>
    <sheet name="Dividend_Retention_Ratio" sheetId="11" r:id="rId12"/>
    <sheet name="Gross_Profit" sheetId="12" r:id="rId13"/>
    <sheet name="Net_Profit" sheetId="13" r:id="rId14"/>
    <sheet name="Return_On_Assets" sheetId="14" r:id="rId15"/>
    <sheet name="Return_On_Capital_Employeed" sheetId="15" r:id="rId16"/>
    <sheet name="Return_On_Equity" sheetId="16" r:id="rId17"/>
    <sheet name="Debt_Equity_Ratio" sheetId="17" r:id="rId18"/>
    <sheet name="Current_Ratio" sheetId="18" r:id="rId19"/>
    <sheet name="Quick_Ratio" sheetId="19" r:id="rId20"/>
    <sheet name="Interest_Coverage_Ratio" sheetId="20" r:id="rId21"/>
    <sheet name="Material_Consumed" sheetId="21" r:id="rId22"/>
    <sheet name="Defensive_Interval_Ratio" sheetId="22" r:id="rId23"/>
    <sheet name="Purchases_Per_Day" sheetId="23" r:id="rId24"/>
    <sheet name="Asset_TurnOver_Ratio" sheetId="24" r:id="rId25"/>
    <sheet name="Inventory_TurnOver_Ratio" sheetId="25" r:id="rId26"/>
    <sheet name="Debtors_TurnOver_Ratio" sheetId="26" r:id="rId27"/>
    <sheet name="Fixed_Assets_TurnOver_Ratio" sheetId="27" r:id="rId28"/>
    <sheet name="Payable_TurnOver_Ratio" sheetId="28" r:id="rId29"/>
    <sheet name="Inventory_Days" sheetId="29" r:id="rId30"/>
    <sheet name="Payable_Days" sheetId="30" r:id="rId31"/>
    <sheet name="Receivable_Days" sheetId="31" r:id="rId32"/>
    <sheet name="Operating_Cycle" sheetId="32" r:id="rId33"/>
    <sheet name="Cash_Conversion_Cycle_Days" sheetId="33" r:id="rId34"/>
    <sheet name="NetWorthVsTotalLiabilties" sheetId="34" r:id="rId35"/>
    <sheet name="PBDITvsPBIT" sheetId="35" r:id="rId36"/>
    <sheet name="CAvsCL" sheetId="36" r:id="rId37"/>
    <sheet name="Long_And_Short_Term_Provisions" sheetId="37" r:id="rId38"/>
    <sheet name="MaterialConsumed_DirectExpenses" sheetId="38" r:id="rId39"/>
    <sheet name="Gross_Sales_In_Total_Income" sheetId="39" r:id="rId40"/>
    <sheet name="Total_Debt_In_Liabilities" sheetId="40" r:id="rId41"/>
    <sheet name="Total_CL_In_Liabilities" sheetId="41" r:id="rId42"/>
    <sheet name="Total_NCA_In_Assets" sheetId="42" r:id="rId43"/>
    <sheet name="Total_CA_In_Assets" sheetId="43" r:id="rId44"/>
    <sheet name="TotalExpenditureVsTotalIncome" sheetId="44" r:id="rId45"/>
    <sheet name="Net_Profit_CF_To_Balance_Sheet" sheetId="45" r:id="rId46"/>
    <sheet name="BS_Backup" sheetId="46" r:id="rId47"/>
    <sheet name="ISM_Backup" sheetId="47" r:id="rId48"/>
  </sheets>
  <definedNames>
    <definedName name="AmountCFtoBalanceSheet">Income_Statement!$B$55:$G$55</definedName>
    <definedName name="AssetTurnOverRatio">Asset_TurnOver_Ratio!$B$8:$G$8</definedName>
    <definedName name="BookValuePerShare">Book_Value__Per_Share!$B$8:$G$8</definedName>
    <definedName name="CapitalWorkInProgress">Balance_Sheet!$B$52:$G$52</definedName>
    <definedName name="CashAndCashEquivalents">Balance_Sheet!$B$70:$G$70</definedName>
    <definedName name="CashCFtoBalanceSheet">CashFlow_Statement!$B$48:$G$48</definedName>
    <definedName name="CostOfMaterialsConsumed">Income_Statement!$B$17:$G$17</definedName>
    <definedName name="CurrentInvestments">Balance_Sheet!$B$50:$G$50</definedName>
    <definedName name="CurrentRatio">Current_Ratio!$B$8:$G$8</definedName>
    <definedName name="DebtEquityRatio">Debt_Equity_Ratio!$B$8:$G$8</definedName>
    <definedName name="DebtorsTurnOverRatio">Debtors_TurnOver_Ratio!$B$8:$G$8</definedName>
    <definedName name="DefensiveIntervalRatio">Defensive_Interval_Ratio!$B$8:$G$8</definedName>
    <definedName name="DeferredTaxAssetsNet">Balance_Sheet!$B$56:$G$56</definedName>
    <definedName name="DeferredTaxLiabilitiesNet">Balance_Sheet!$B$17:$G$17</definedName>
    <definedName name="Depreciation">Balance_Sheet!$B$44:$G$44</definedName>
    <definedName name="DepreciationAndAmortisationExpenses">Income_Statement!$B$31:$G$31</definedName>
    <definedName name="EarningPerShare">Earning__Per_Share!$B$8:$G$8</definedName>
    <definedName name="EmployeeBenefitExpenses">Income_Statement!$B$21:$G$21</definedName>
    <definedName name="EquityDividendPerShare">Equity_Dividend_Per_Share!$B$8:$G$8</definedName>
    <definedName name="EquityShareCapital">Balance_Sheet!$B$5:$G$5</definedName>
    <definedName name="EquityShareDividend">Income_Statement!$B$51:$G$51</definedName>
    <definedName name="ExceptionalItems">Income_Statement!$B$43:$G$43</definedName>
    <definedName name="ExciseDuty">Income_Statement!$B$7:$G$7</definedName>
    <definedName name="FinanceCosts">Income_Statement!$B$35:$G$35</definedName>
    <definedName name="GrossProfit">Gross_Profit!$B$8:$G$8</definedName>
    <definedName name="GrossSales">Income_Statement!$B$5:$G$5</definedName>
    <definedName name="IntangibleAssets">Balance_Sheet!$B$42:$G$42</definedName>
    <definedName name="InterestCoverageRatio">Interest_Coverage_Ratio!$B$8:$G$8</definedName>
    <definedName name="Inventories">Balance_Sheet!$B$66:$G$66</definedName>
    <definedName name="InventoryTurnOverRatio">Inventory_TurnOver_Ratio!$B$8:$G$8</definedName>
    <definedName name="LongTermBorrowings">Balance_Sheet!$B$15:$G$15</definedName>
    <definedName name="LongTermLoansAndAdvances">Balance_Sheet!$B$58:$G$58</definedName>
    <definedName name="LongTermProvisions">Balance_Sheet!$B$23:$G$23</definedName>
    <definedName name="MaterialConsumed">Material_Consumed!$B$8:$G$8</definedName>
    <definedName name="MinorityInterest">Balance_Sheet!$B$35:$G$35</definedName>
    <definedName name="NetAssets">Balance_Sheet!$B$46:$G$46</definedName>
    <definedName name="NetProfit">Net_Profit!$B$8:$G$8</definedName>
    <definedName name="NetSales">Income_Statement!$B$9:$G$9</definedName>
    <definedName name="NetWorth">Balance_Sheet!$B$13:$G$13</definedName>
    <definedName name="NonCurrentInvestments">Balance_Sheet!$B$48:$G$48</definedName>
    <definedName name="OperatingAndDirectExpenses">Income_Statement!$B$19:$G$19</definedName>
    <definedName name="OperatingProfit">Income_Statement!$B$27:$G$27</definedName>
    <definedName name="OtherCurrentAssets">Balance_Sheet!$B$64:$G$64</definedName>
    <definedName name="OtherCurrentLiabilities">Balance_Sheet!$B$31:$G$31</definedName>
    <definedName name="OtherExpenses">Income_Statement!$B$23:$G$23</definedName>
    <definedName name="OtherIncome">Income_Statement!$B$11:$G$11</definedName>
    <definedName name="OtherLongTermLiabilities">Balance_Sheet!$B$27:$G$27</definedName>
    <definedName name="OtherNonCurrentAssets">Balance_Sheet!$B$60:$G$60</definedName>
    <definedName name="PBDIT">Income_Statement!$B$29:$G$29</definedName>
    <definedName name="PBIT">Income_Statement!$B$33:$G$33</definedName>
    <definedName name="PBT">Income_Statement!$B$41:$G$41</definedName>
    <definedName name="PBTPostExtraOrdinaryItems">Income_Statement!$B$45:$G$45</definedName>
    <definedName name="PreferenceShareCapital">Balance_Sheet!$B$7:$G$7</definedName>
    <definedName name="ProfitBeforeshareofAssociates">Income_Statement!$B$37:$G$37</definedName>
    <definedName name="QuickRatio">Quick_Ratio!$B$9:$G$9</definedName>
    <definedName name="ReportedNetProfitPAT">Income_Statement!$B$49:$G$49</definedName>
    <definedName name="ReservesandSurplus">Balance_Sheet!$B$11:$G$11</definedName>
    <definedName name="ReturnOnAssets">Return_On_Assets!$B$8:$G$8</definedName>
    <definedName name="ReturnOnCapitalEmployeed">Return_On_Capital_Employeed!$B$9:$G$9</definedName>
    <definedName name="ReturnOnEquity">Return_On_Equity!$B$8:$G$8</definedName>
    <definedName name="ShareOfProfitLossOfAssociates">Income_Statement!$B$39:$G$39</definedName>
    <definedName name="SharesOutstanding">Income_Statement!$B$61:$G$61</definedName>
    <definedName name="ShortTermBorrowings">Balance_Sheet!$B$19:$G$19</definedName>
    <definedName name="ShortTermLoansAndAdvances">Balance_Sheet!$B$62:$G$62</definedName>
    <definedName name="ShortTermProvisions">Balance_Sheet!$B$25:$G$25</definedName>
    <definedName name="StockAdjustments">Income_Statement!$B$13:$G$13</definedName>
    <definedName name="TangibleAssets">Balance_Sheet!$B$40:$G$40</definedName>
    <definedName name="TaxOnDividend">Income_Statement!$B$53:$G$53</definedName>
    <definedName name="TotalAssets">Balance_Sheet!$B$74:$G$74</definedName>
    <definedName name="TotalCashFlowfromInvestmentActivities">CashFlow_Statement!$B$35:$G$35</definedName>
    <definedName name="TotalCashFromFinancingActivities">CashFlow_Statement!$B$47:$G$47</definedName>
    <definedName name="TotalCashfromOperatingActivities">CashFlow_Statement!$B$27:$G$27</definedName>
    <definedName name="TotalCurrentAssets">Balance_Sheet!$B$72:$G$72</definedName>
    <definedName name="TotalCurrentLiabilities">Balance_Sheet!$B$33:$G$33</definedName>
    <definedName name="TotalDebt">Balance_Sheet!$B$21:$G$21</definedName>
    <definedName name="TotalExpenditure">Income_Statement!$B$25:$G$25</definedName>
    <definedName name="TotalIncome">Income_Statement!$B$15:$G$15</definedName>
    <definedName name="TotalLiabilities">Balance_Sheet!$B$37:$G$37</definedName>
    <definedName name="TotalNonCashNonOperatingTransactions">CashFlow_Statement!$B$10:$G$10</definedName>
    <definedName name="TotalNonCurrentAssets">Balance_Sheet!$B$54:$G$54</definedName>
    <definedName name="TotalShareCapital">Balance_Sheet!$B$9:$G$9</definedName>
    <definedName name="TotalTaxExpenses">Income_Statement!$B$47:$G$47</definedName>
    <definedName name="TradePayables">Balance_Sheet!$B$29:$G$29</definedName>
    <definedName name="TradeReceivables">Balance_Sheet!$B$68:$G$68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5" i="3" l="1"/>
  <c r="E65" i="3"/>
  <c r="F65" i="3"/>
  <c r="G65" i="3"/>
  <c r="H65" i="3" s="1"/>
  <c r="I65" i="3" s="1"/>
  <c r="J65" i="3" s="1"/>
  <c r="K65" i="3" s="1"/>
  <c r="L65" i="3" s="1"/>
  <c r="C65" i="3"/>
  <c r="D62" i="3"/>
  <c r="E62" i="3"/>
  <c r="F62" i="3"/>
  <c r="G62" i="3"/>
  <c r="C62" i="3"/>
  <c r="H62" i="3" s="1"/>
  <c r="I62" i="3" s="1"/>
  <c r="J62" i="3" s="1"/>
  <c r="K62" i="3" s="1"/>
  <c r="L62" i="3" s="1"/>
  <c r="H37" i="5"/>
  <c r="I37" i="5"/>
  <c r="L37" i="5"/>
  <c r="H14" i="5"/>
  <c r="I14" i="5"/>
  <c r="J14" i="5"/>
  <c r="K14" i="5"/>
  <c r="L14" i="5"/>
  <c r="H9" i="4"/>
  <c r="I7" i="4"/>
  <c r="H7" i="4"/>
  <c r="H38" i="5" s="1"/>
  <c r="I5" i="4"/>
  <c r="J5" i="4" s="1"/>
  <c r="K5" i="4" s="1"/>
  <c r="L5" i="4" s="1"/>
  <c r="H5" i="4"/>
  <c r="I54" i="3"/>
  <c r="J54" i="3" s="1"/>
  <c r="K54" i="3" s="1"/>
  <c r="L54" i="3" s="1"/>
  <c r="I52" i="3"/>
  <c r="J52" i="3" s="1"/>
  <c r="K52" i="3" s="1"/>
  <c r="L52" i="3" s="1"/>
  <c r="H22" i="3"/>
  <c r="I22" i="3" s="1"/>
  <c r="J22" i="3" s="1"/>
  <c r="K22" i="3" s="1"/>
  <c r="L22" i="3" s="1"/>
  <c r="H20" i="3"/>
  <c r="I20" i="3" s="1"/>
  <c r="J20" i="3" s="1"/>
  <c r="K20" i="3" s="1"/>
  <c r="L20" i="3" s="1"/>
  <c r="H6" i="3"/>
  <c r="I5" i="3"/>
  <c r="H5" i="3"/>
  <c r="H19" i="3" s="1"/>
  <c r="D54" i="3"/>
  <c r="E54" i="3"/>
  <c r="F54" i="3"/>
  <c r="G54" i="3"/>
  <c r="H54" i="3" s="1"/>
  <c r="H53" i="3" s="1"/>
  <c r="H45" i="5" s="1"/>
  <c r="C54" i="3"/>
  <c r="D52" i="3"/>
  <c r="E52" i="3"/>
  <c r="F52" i="3"/>
  <c r="G52" i="3"/>
  <c r="H52" i="3" s="1"/>
  <c r="H51" i="3" s="1"/>
  <c r="H44" i="5" s="1"/>
  <c r="C52" i="3"/>
  <c r="D48" i="3"/>
  <c r="E48" i="3"/>
  <c r="F48" i="3"/>
  <c r="G48" i="3"/>
  <c r="C48" i="3"/>
  <c r="D44" i="3"/>
  <c r="E44" i="3"/>
  <c r="F44" i="3"/>
  <c r="G44" i="3"/>
  <c r="H44" i="3" s="1"/>
  <c r="I44" i="3" s="1"/>
  <c r="J44" i="3" s="1"/>
  <c r="K44" i="3" s="1"/>
  <c r="L44" i="3" s="1"/>
  <c r="C44" i="3"/>
  <c r="D40" i="3"/>
  <c r="E40" i="3"/>
  <c r="F40" i="3"/>
  <c r="G40" i="3"/>
  <c r="H40" i="3" s="1"/>
  <c r="I40" i="3" s="1"/>
  <c r="J40" i="3" s="1"/>
  <c r="K40" i="3" s="1"/>
  <c r="L40" i="3" s="1"/>
  <c r="C40" i="3"/>
  <c r="D36" i="3"/>
  <c r="E36" i="3"/>
  <c r="F36" i="3"/>
  <c r="G36" i="3"/>
  <c r="C36" i="3"/>
  <c r="D32" i="3"/>
  <c r="E32" i="3"/>
  <c r="F32" i="3"/>
  <c r="G32" i="3"/>
  <c r="C32" i="3"/>
  <c r="D24" i="3"/>
  <c r="E24" i="3"/>
  <c r="F24" i="3"/>
  <c r="G24" i="3"/>
  <c r="C24" i="3"/>
  <c r="D22" i="3"/>
  <c r="E22" i="3"/>
  <c r="F22" i="3"/>
  <c r="G22" i="3"/>
  <c r="C22" i="3"/>
  <c r="D20" i="3"/>
  <c r="E20" i="3"/>
  <c r="F20" i="3"/>
  <c r="G20" i="3"/>
  <c r="C20" i="3"/>
  <c r="D18" i="3"/>
  <c r="E18" i="3"/>
  <c r="F18" i="3"/>
  <c r="G18" i="3"/>
  <c r="H18" i="3" s="1"/>
  <c r="I18" i="3" s="1"/>
  <c r="C18" i="3"/>
  <c r="D14" i="3"/>
  <c r="E14" i="3"/>
  <c r="F14" i="3"/>
  <c r="H14" i="3" s="1"/>
  <c r="I14" i="3" s="1"/>
  <c r="J14" i="3" s="1"/>
  <c r="K14" i="3" s="1"/>
  <c r="L14" i="3" s="1"/>
  <c r="G14" i="3"/>
  <c r="C14" i="3"/>
  <c r="D12" i="3"/>
  <c r="E12" i="3"/>
  <c r="F12" i="3"/>
  <c r="G12" i="3"/>
  <c r="C12" i="3"/>
  <c r="D8" i="3"/>
  <c r="E8" i="3"/>
  <c r="F8" i="3"/>
  <c r="G8" i="3"/>
  <c r="H8" i="3" s="1"/>
  <c r="I8" i="3" s="1"/>
  <c r="J8" i="3" s="1"/>
  <c r="K8" i="3" s="1"/>
  <c r="L8" i="3" s="1"/>
  <c r="C8" i="3"/>
  <c r="D6" i="3"/>
  <c r="E6" i="3"/>
  <c r="F6" i="3"/>
  <c r="G6" i="3"/>
  <c r="C6" i="3"/>
  <c r="G15" i="47"/>
  <c r="F15" i="47"/>
  <c r="E15" i="47"/>
  <c r="D15" i="47"/>
  <c r="C15" i="47"/>
  <c r="G7" i="47"/>
  <c r="G10" i="47" s="1"/>
  <c r="G16" i="47" s="1"/>
  <c r="G17" i="47" s="1"/>
  <c r="G19" i="47" s="1"/>
  <c r="G21" i="47" s="1"/>
  <c r="G23" i="47" s="1"/>
  <c r="G25" i="47" s="1"/>
  <c r="G27" i="47" s="1"/>
  <c r="F7" i="47"/>
  <c r="F10" i="47" s="1"/>
  <c r="F16" i="47" s="1"/>
  <c r="F17" i="47" s="1"/>
  <c r="F19" i="47" s="1"/>
  <c r="F21" i="47" s="1"/>
  <c r="F23" i="47" s="1"/>
  <c r="F25" i="47" s="1"/>
  <c r="F27" i="47" s="1"/>
  <c r="E7" i="47"/>
  <c r="E10" i="47" s="1"/>
  <c r="D7" i="47"/>
  <c r="D10" i="47" s="1"/>
  <c r="C7" i="47"/>
  <c r="C10" i="47" s="1"/>
  <c r="C16" i="47" s="1"/>
  <c r="C17" i="47" s="1"/>
  <c r="C19" i="47" s="1"/>
  <c r="C21" i="47" s="1"/>
  <c r="C23" i="47" s="1"/>
  <c r="C25" i="47" s="1"/>
  <c r="C27" i="47" s="1"/>
  <c r="C39" i="46"/>
  <c r="C26" i="46"/>
  <c r="C30" i="46" s="1"/>
  <c r="D25" i="46"/>
  <c r="D26" i="46" s="1"/>
  <c r="D30" i="46" s="1"/>
  <c r="G19" i="46"/>
  <c r="F19" i="46"/>
  <c r="E19" i="46"/>
  <c r="D19" i="46"/>
  <c r="C19" i="46"/>
  <c r="G13" i="46"/>
  <c r="F13" i="46"/>
  <c r="E13" i="46"/>
  <c r="D13" i="46"/>
  <c r="C13" i="46"/>
  <c r="G7" i="46"/>
  <c r="F7" i="46"/>
  <c r="E7" i="46"/>
  <c r="D7" i="46"/>
  <c r="C7" i="46"/>
  <c r="C9" i="46" s="1"/>
  <c r="B6" i="45"/>
  <c r="B5" i="45"/>
  <c r="D4" i="45"/>
  <c r="E4" i="45"/>
  <c r="F4" i="45"/>
  <c r="G4" i="45"/>
  <c r="C4" i="45"/>
  <c r="B6" i="44"/>
  <c r="B5" i="44"/>
  <c r="D4" i="44"/>
  <c r="E4" i="44"/>
  <c r="F4" i="44"/>
  <c r="G4" i="44"/>
  <c r="C4" i="44"/>
  <c r="B6" i="43"/>
  <c r="B5" i="43"/>
  <c r="D4" i="43"/>
  <c r="E4" i="43"/>
  <c r="F4" i="43"/>
  <c r="G4" i="43"/>
  <c r="C4" i="43"/>
  <c r="B6" i="42"/>
  <c r="B5" i="42"/>
  <c r="D4" i="42"/>
  <c r="E4" i="42"/>
  <c r="F4" i="42"/>
  <c r="G4" i="42"/>
  <c r="C4" i="42"/>
  <c r="B6" i="41"/>
  <c r="B5" i="41"/>
  <c r="D4" i="41"/>
  <c r="E4" i="41"/>
  <c r="F4" i="41"/>
  <c r="G4" i="41"/>
  <c r="C4" i="41"/>
  <c r="B6" i="40"/>
  <c r="B5" i="40"/>
  <c r="D4" i="40"/>
  <c r="E4" i="40"/>
  <c r="F4" i="40"/>
  <c r="G4" i="40"/>
  <c r="C4" i="40"/>
  <c r="C5" i="39"/>
  <c r="D5" i="39"/>
  <c r="E5" i="39"/>
  <c r="F5" i="39"/>
  <c r="G5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B6" i="36"/>
  <c r="B5" i="36"/>
  <c r="D4" i="36"/>
  <c r="E4" i="36"/>
  <c r="F4" i="36"/>
  <c r="G4" i="36"/>
  <c r="C4" i="36"/>
  <c r="B6" i="35"/>
  <c r="B5" i="35"/>
  <c r="D4" i="35"/>
  <c r="E4" i="35"/>
  <c r="F4" i="35"/>
  <c r="G4" i="35"/>
  <c r="C4" i="35"/>
  <c r="B6" i="34"/>
  <c r="B5" i="34"/>
  <c r="D4" i="34"/>
  <c r="E4" i="34"/>
  <c r="F4" i="34"/>
  <c r="G4" i="34"/>
  <c r="C4" i="34"/>
  <c r="C13" i="33"/>
  <c r="D13" i="33"/>
  <c r="E13" i="33"/>
  <c r="F13" i="33"/>
  <c r="G13" i="33"/>
  <c r="B14" i="33"/>
  <c r="B13" i="33"/>
  <c r="C9" i="33"/>
  <c r="D9" i="33"/>
  <c r="E9" i="33"/>
  <c r="F9" i="33"/>
  <c r="G9" i="33"/>
  <c r="B10" i="33"/>
  <c r="B9" i="33"/>
  <c r="C6" i="33"/>
  <c r="D6" i="33"/>
  <c r="E6" i="33"/>
  <c r="F6" i="33"/>
  <c r="G6" i="33"/>
  <c r="C7" i="33"/>
  <c r="D7" i="33"/>
  <c r="E7" i="33"/>
  <c r="F7" i="33"/>
  <c r="G7" i="33"/>
  <c r="B7" i="33"/>
  <c r="B6" i="33"/>
  <c r="C9" i="32"/>
  <c r="D9" i="32"/>
  <c r="E9" i="32"/>
  <c r="F9" i="32"/>
  <c r="G9" i="32"/>
  <c r="B10" i="32"/>
  <c r="B9" i="32"/>
  <c r="C6" i="32"/>
  <c r="D6" i="32"/>
  <c r="E6" i="32"/>
  <c r="F6" i="32"/>
  <c r="G6" i="32"/>
  <c r="C7" i="32"/>
  <c r="D7" i="32"/>
  <c r="E7" i="32"/>
  <c r="F7" i="32"/>
  <c r="G7" i="32"/>
  <c r="B7" i="32"/>
  <c r="B6" i="32"/>
  <c r="C6" i="31"/>
  <c r="D6" i="31"/>
  <c r="E6" i="31"/>
  <c r="F6" i="31"/>
  <c r="G6" i="31"/>
  <c r="C7" i="31"/>
  <c r="D7" i="31"/>
  <c r="E7" i="31"/>
  <c r="F7" i="31"/>
  <c r="G7" i="31"/>
  <c r="B7" i="31"/>
  <c r="B6" i="31"/>
  <c r="C6" i="30"/>
  <c r="D6" i="30"/>
  <c r="E6" i="30"/>
  <c r="F6" i="30"/>
  <c r="G6" i="30"/>
  <c r="B7" i="30"/>
  <c r="B6" i="30"/>
  <c r="C6" i="29"/>
  <c r="D6" i="29"/>
  <c r="E6" i="29"/>
  <c r="F6" i="29"/>
  <c r="G6" i="29"/>
  <c r="C7" i="29"/>
  <c r="D7" i="29"/>
  <c r="E7" i="29"/>
  <c r="F7" i="29"/>
  <c r="G7" i="29"/>
  <c r="B7" i="29"/>
  <c r="B6" i="29"/>
  <c r="C6" i="28"/>
  <c r="D6" i="28"/>
  <c r="E6" i="28"/>
  <c r="F6" i="28"/>
  <c r="G6" i="28"/>
  <c r="B7" i="28"/>
  <c r="B6" i="28"/>
  <c r="C6" i="27"/>
  <c r="D6" i="27"/>
  <c r="E6" i="27"/>
  <c r="F6" i="27"/>
  <c r="G6" i="27"/>
  <c r="C7" i="27"/>
  <c r="D7" i="27"/>
  <c r="E7" i="27"/>
  <c r="F7" i="27"/>
  <c r="G7" i="27"/>
  <c r="B7" i="27"/>
  <c r="B6" i="27"/>
  <c r="C6" i="26"/>
  <c r="D6" i="26"/>
  <c r="E6" i="26"/>
  <c r="F6" i="26"/>
  <c r="G6" i="26"/>
  <c r="C7" i="26"/>
  <c r="D7" i="26"/>
  <c r="E7" i="26"/>
  <c r="F7" i="26"/>
  <c r="G7" i="26"/>
  <c r="B7" i="26"/>
  <c r="B6" i="26"/>
  <c r="C6" i="25"/>
  <c r="D6" i="25"/>
  <c r="E6" i="25"/>
  <c r="F6" i="25"/>
  <c r="G6" i="25"/>
  <c r="C7" i="25"/>
  <c r="D7" i="25"/>
  <c r="E7" i="25"/>
  <c r="F7" i="25"/>
  <c r="G7" i="25"/>
  <c r="B7" i="25"/>
  <c r="B6" i="25"/>
  <c r="C6" i="24"/>
  <c r="D6" i="24"/>
  <c r="E6" i="24"/>
  <c r="F6" i="24"/>
  <c r="G6" i="24"/>
  <c r="B7" i="24"/>
  <c r="B6" i="24"/>
  <c r="C6" i="23"/>
  <c r="C8" i="23" s="1"/>
  <c r="B6" i="23"/>
  <c r="C6" i="22"/>
  <c r="C7" i="22"/>
  <c r="D7" i="22"/>
  <c r="E7" i="22"/>
  <c r="F7" i="22"/>
  <c r="G7" i="22"/>
  <c r="B7" i="22"/>
  <c r="B6" i="22"/>
  <c r="C6" i="21"/>
  <c r="D6" i="21"/>
  <c r="E6" i="21"/>
  <c r="F6" i="21"/>
  <c r="G6" i="21"/>
  <c r="B7" i="21"/>
  <c r="B6" i="21"/>
  <c r="C7" i="20"/>
  <c r="D7" i="20"/>
  <c r="E7" i="20"/>
  <c r="F7" i="20"/>
  <c r="G7" i="20"/>
  <c r="B7" i="20"/>
  <c r="B6" i="20"/>
  <c r="C7" i="19"/>
  <c r="D7" i="19"/>
  <c r="E7" i="19"/>
  <c r="F7" i="19"/>
  <c r="G7" i="19"/>
  <c r="B8" i="19"/>
  <c r="B7" i="19"/>
  <c r="B6" i="19"/>
  <c r="B7" i="18"/>
  <c r="B6" i="18"/>
  <c r="B7" i="17"/>
  <c r="B6" i="17"/>
  <c r="B7" i="16"/>
  <c r="B6" i="16"/>
  <c r="B8" i="15"/>
  <c r="B7" i="15"/>
  <c r="B6" i="15"/>
  <c r="B7" i="14"/>
  <c r="B6" i="14"/>
  <c r="C6" i="13"/>
  <c r="D6" i="13"/>
  <c r="E6" i="13"/>
  <c r="F6" i="13"/>
  <c r="G6" i="13"/>
  <c r="B7" i="13"/>
  <c r="B6" i="13"/>
  <c r="C6" i="12"/>
  <c r="D6" i="12"/>
  <c r="E6" i="12"/>
  <c r="F6" i="12"/>
  <c r="G6" i="12"/>
  <c r="C7" i="12"/>
  <c r="D7" i="12"/>
  <c r="E7" i="12"/>
  <c r="F7" i="12"/>
  <c r="G7" i="12"/>
  <c r="B7" i="12"/>
  <c r="B6" i="12"/>
  <c r="C6" i="11"/>
  <c r="D6" i="11"/>
  <c r="E6" i="11"/>
  <c r="F6" i="11"/>
  <c r="G6" i="11"/>
  <c r="B7" i="11"/>
  <c r="B6" i="11"/>
  <c r="B10" i="10"/>
  <c r="B9" i="10"/>
  <c r="C6" i="10"/>
  <c r="D6" i="10"/>
  <c r="E6" i="10"/>
  <c r="F6" i="10"/>
  <c r="G6" i="10"/>
  <c r="B7" i="10"/>
  <c r="B6" i="10"/>
  <c r="B7" i="9"/>
  <c r="B6" i="9"/>
  <c r="C6" i="8"/>
  <c r="D6" i="8"/>
  <c r="E6" i="8"/>
  <c r="F6" i="8"/>
  <c r="G6" i="8"/>
  <c r="B7" i="8"/>
  <c r="B6" i="8"/>
  <c r="B7" i="7"/>
  <c r="B6" i="7"/>
  <c r="C154" i="6"/>
  <c r="D154" i="6"/>
  <c r="E154" i="6"/>
  <c r="F154" i="6"/>
  <c r="G154" i="6"/>
  <c r="B155" i="6"/>
  <c r="B154" i="6"/>
  <c r="C150" i="6"/>
  <c r="D150" i="6"/>
  <c r="E150" i="6"/>
  <c r="F150" i="6"/>
  <c r="G150" i="6"/>
  <c r="B151" i="6"/>
  <c r="B150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C141" i="6"/>
  <c r="D141" i="6"/>
  <c r="E141" i="6"/>
  <c r="F141" i="6"/>
  <c r="G141" i="6"/>
  <c r="B142" i="6"/>
  <c r="B141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C128" i="6"/>
  <c r="D128" i="6"/>
  <c r="E128" i="6"/>
  <c r="F128" i="6"/>
  <c r="G128" i="6"/>
  <c r="B129" i="6"/>
  <c r="B128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C118" i="6"/>
  <c r="D118" i="6"/>
  <c r="E118" i="6"/>
  <c r="F118" i="6"/>
  <c r="G118" i="6"/>
  <c r="B119" i="6"/>
  <c r="B118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C98" i="6"/>
  <c r="D98" i="6"/>
  <c r="E98" i="6"/>
  <c r="F98" i="6"/>
  <c r="G98" i="6"/>
  <c r="B99" i="6"/>
  <c r="B98" i="6"/>
  <c r="C93" i="6"/>
  <c r="C95" i="6" s="1"/>
  <c r="B93" i="6"/>
  <c r="C88" i="6"/>
  <c r="C89" i="6"/>
  <c r="D89" i="6"/>
  <c r="E89" i="6"/>
  <c r="F89" i="6"/>
  <c r="G89" i="6"/>
  <c r="B89" i="6"/>
  <c r="B88" i="6"/>
  <c r="C83" i="6"/>
  <c r="D83" i="6"/>
  <c r="E83" i="6"/>
  <c r="F83" i="6"/>
  <c r="G83" i="6"/>
  <c r="B84" i="6"/>
  <c r="B83" i="6"/>
  <c r="C79" i="6"/>
  <c r="D79" i="6"/>
  <c r="E79" i="6"/>
  <c r="F79" i="6"/>
  <c r="G79" i="6"/>
  <c r="B79" i="6"/>
  <c r="B78" i="6"/>
  <c r="C73" i="6"/>
  <c r="D73" i="6"/>
  <c r="E73" i="6"/>
  <c r="F73" i="6"/>
  <c r="G73" i="6"/>
  <c r="B74" i="6"/>
  <c r="B73" i="6"/>
  <c r="B72" i="6"/>
  <c r="B68" i="6"/>
  <c r="B67" i="6"/>
  <c r="B63" i="6"/>
  <c r="B62" i="6"/>
  <c r="B58" i="6"/>
  <c r="B57" i="6"/>
  <c r="B53" i="6"/>
  <c r="B52" i="6"/>
  <c r="B51" i="6"/>
  <c r="B47" i="6"/>
  <c r="B46" i="6"/>
  <c r="C41" i="6"/>
  <c r="D41" i="6"/>
  <c r="E41" i="6"/>
  <c r="F41" i="6"/>
  <c r="G41" i="6"/>
  <c r="B42" i="6"/>
  <c r="B41" i="6"/>
  <c r="C36" i="6"/>
  <c r="D36" i="6"/>
  <c r="E36" i="6"/>
  <c r="F36" i="6"/>
  <c r="G36" i="6"/>
  <c r="C37" i="6"/>
  <c r="D37" i="6"/>
  <c r="E37" i="6"/>
  <c r="F37" i="6"/>
  <c r="G37" i="6"/>
  <c r="B37" i="6"/>
  <c r="B36" i="6"/>
  <c r="C30" i="6"/>
  <c r="D30" i="6"/>
  <c r="E30" i="6"/>
  <c r="F30" i="6"/>
  <c r="G30" i="6"/>
  <c r="B31" i="6"/>
  <c r="B30" i="6"/>
  <c r="B25" i="6"/>
  <c r="B24" i="6"/>
  <c r="C21" i="6"/>
  <c r="D21" i="6"/>
  <c r="E21" i="6"/>
  <c r="F21" i="6"/>
  <c r="G21" i="6"/>
  <c r="B22" i="6"/>
  <c r="B21" i="6"/>
  <c r="B17" i="6"/>
  <c r="B16" i="6"/>
  <c r="C11" i="6"/>
  <c r="D11" i="6"/>
  <c r="E11" i="6"/>
  <c r="F11" i="6"/>
  <c r="G11" i="6"/>
  <c r="B12" i="6"/>
  <c r="B11" i="6"/>
  <c r="B7" i="6"/>
  <c r="B6" i="6"/>
  <c r="D44" i="4"/>
  <c r="E44" i="4" s="1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4" i="5"/>
  <c r="F34" i="5"/>
  <c r="G34" i="5"/>
  <c r="D34" i="5"/>
  <c r="E33" i="5"/>
  <c r="F33" i="5"/>
  <c r="G33" i="5"/>
  <c r="D33" i="5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9" i="5"/>
  <c r="F9" i="5"/>
  <c r="G9" i="5"/>
  <c r="D9" i="5"/>
  <c r="E8" i="5"/>
  <c r="F8" i="5"/>
  <c r="G8" i="5"/>
  <c r="D8" i="5"/>
  <c r="E7" i="5"/>
  <c r="E10" i="5" s="1"/>
  <c r="F7" i="5"/>
  <c r="G7" i="5"/>
  <c r="D7" i="5"/>
  <c r="D33" i="4"/>
  <c r="D10" i="33" s="1"/>
  <c r="E33" i="4"/>
  <c r="E10" i="32" s="1"/>
  <c r="F33" i="4"/>
  <c r="F7" i="18" s="1"/>
  <c r="G33" i="4"/>
  <c r="D21" i="4"/>
  <c r="E21" i="4"/>
  <c r="E7" i="15" s="1"/>
  <c r="F21" i="4"/>
  <c r="F63" i="3" s="1"/>
  <c r="G21" i="4"/>
  <c r="G63" i="3" s="1"/>
  <c r="H63" i="3" s="1"/>
  <c r="I63" i="3" s="1"/>
  <c r="J63" i="3" s="1"/>
  <c r="K63" i="3" s="1"/>
  <c r="L63" i="3" s="1"/>
  <c r="D9" i="4"/>
  <c r="E9" i="4"/>
  <c r="F9" i="4"/>
  <c r="G9" i="4"/>
  <c r="C72" i="4"/>
  <c r="C6" i="18" s="1"/>
  <c r="C46" i="4"/>
  <c r="C54" i="4" s="1"/>
  <c r="C33" i="4"/>
  <c r="C21" i="4"/>
  <c r="C9" i="4"/>
  <c r="C13" i="4" s="1"/>
  <c r="C7" i="17" s="1"/>
  <c r="D25" i="3"/>
  <c r="D5" i="44" s="1"/>
  <c r="E25" i="3"/>
  <c r="E26" i="3" s="1"/>
  <c r="F25" i="3"/>
  <c r="F26" i="3" s="1"/>
  <c r="G25" i="3"/>
  <c r="G26" i="3" s="1"/>
  <c r="D9" i="3"/>
  <c r="D7" i="21" s="1"/>
  <c r="E9" i="3"/>
  <c r="E10" i="3" s="1"/>
  <c r="F9" i="3"/>
  <c r="F10" i="3" s="1"/>
  <c r="G9" i="3"/>
  <c r="G10" i="3" s="1"/>
  <c r="C25" i="3"/>
  <c r="C26" i="3" s="1"/>
  <c r="C9" i="3"/>
  <c r="C10" i="3" s="1"/>
  <c r="I17" i="3" l="1"/>
  <c r="J18" i="3"/>
  <c r="J5" i="3"/>
  <c r="J7" i="4"/>
  <c r="I38" i="5"/>
  <c r="H12" i="3"/>
  <c r="H24" i="3"/>
  <c r="I24" i="3" s="1"/>
  <c r="J24" i="3" s="1"/>
  <c r="K24" i="3" s="1"/>
  <c r="L24" i="3" s="1"/>
  <c r="H39" i="3"/>
  <c r="I9" i="4"/>
  <c r="C21" i="46"/>
  <c r="H7" i="3"/>
  <c r="H43" i="3"/>
  <c r="D52" i="6"/>
  <c r="D63" i="3"/>
  <c r="C40" i="46"/>
  <c r="D16" i="47"/>
  <c r="D17" i="47" s="1"/>
  <c r="D19" i="47" s="1"/>
  <c r="D21" i="47" s="1"/>
  <c r="D23" i="47" s="1"/>
  <c r="D25" i="47" s="1"/>
  <c r="D27" i="47" s="1"/>
  <c r="H9" i="3"/>
  <c r="H13" i="3"/>
  <c r="E63" i="3"/>
  <c r="C52" i="6"/>
  <c r="C63" i="3"/>
  <c r="E16" i="47"/>
  <c r="E17" i="47" s="1"/>
  <c r="E19" i="47" s="1"/>
  <c r="E21" i="47" s="1"/>
  <c r="E23" i="47" s="1"/>
  <c r="E25" i="47" s="1"/>
  <c r="E27" i="47" s="1"/>
  <c r="H17" i="3"/>
  <c r="H25" i="3" s="1"/>
  <c r="H26" i="3" s="1"/>
  <c r="H21" i="3"/>
  <c r="H23" i="3"/>
  <c r="K37" i="5"/>
  <c r="J9" i="4"/>
  <c r="J37" i="5"/>
  <c r="J53" i="3"/>
  <c r="J45" i="5" s="1"/>
  <c r="I53" i="3"/>
  <c r="I45" i="5" s="1"/>
  <c r="J51" i="3"/>
  <c r="J44" i="5" s="1"/>
  <c r="I51" i="3"/>
  <c r="I44" i="5" s="1"/>
  <c r="I43" i="3"/>
  <c r="J39" i="3"/>
  <c r="I39" i="3"/>
  <c r="J23" i="3"/>
  <c r="I23" i="3"/>
  <c r="I21" i="3"/>
  <c r="J19" i="3"/>
  <c r="I19" i="3"/>
  <c r="J13" i="3"/>
  <c r="I13" i="3"/>
  <c r="J7" i="3"/>
  <c r="I7" i="3"/>
  <c r="I9" i="3" s="1"/>
  <c r="I6" i="3"/>
  <c r="K5" i="3"/>
  <c r="G10" i="5"/>
  <c r="D26" i="3"/>
  <c r="D10" i="5"/>
  <c r="F10" i="5"/>
  <c r="E11" i="32"/>
  <c r="E8" i="12"/>
  <c r="E105" i="6"/>
  <c r="E110" i="6"/>
  <c r="E115" i="6"/>
  <c r="C8" i="22"/>
  <c r="C15" i="3"/>
  <c r="C6" i="39" s="1"/>
  <c r="C90" i="6"/>
  <c r="F8" i="12"/>
  <c r="D8" i="21"/>
  <c r="F105" i="6"/>
  <c r="F110" i="6"/>
  <c r="F115" i="6"/>
  <c r="E125" i="6"/>
  <c r="D135" i="6"/>
  <c r="D140" i="6"/>
  <c r="G149" i="6"/>
  <c r="C149" i="6"/>
  <c r="E8" i="25"/>
  <c r="E8" i="26"/>
  <c r="E8" i="27"/>
  <c r="D8" i="29"/>
  <c r="G8" i="31"/>
  <c r="C8" i="31"/>
  <c r="G8" i="32"/>
  <c r="C8" i="32"/>
  <c r="F8" i="33"/>
  <c r="D10" i="3"/>
  <c r="D15" i="3" s="1"/>
  <c r="D16" i="3" s="1"/>
  <c r="D125" i="6"/>
  <c r="G135" i="6"/>
  <c r="C135" i="6"/>
  <c r="G140" i="6"/>
  <c r="C140" i="6"/>
  <c r="F149" i="6"/>
  <c r="G8" i="12"/>
  <c r="F38" i="6"/>
  <c r="F8" i="25"/>
  <c r="F8" i="26"/>
  <c r="F8" i="27"/>
  <c r="E8" i="29"/>
  <c r="D8" i="31"/>
  <c r="D8" i="32"/>
  <c r="G8" i="33"/>
  <c r="C8" i="33"/>
  <c r="D42" i="6"/>
  <c r="D43" i="6" s="1"/>
  <c r="D8" i="12"/>
  <c r="E38" i="6"/>
  <c r="D84" i="6"/>
  <c r="D85" i="6" s="1"/>
  <c r="C8" i="12"/>
  <c r="G38" i="6"/>
  <c r="D38" i="6"/>
  <c r="E84" i="6"/>
  <c r="E85" i="6" s="1"/>
  <c r="E7" i="21"/>
  <c r="E8" i="21" s="1"/>
  <c r="E5" i="44"/>
  <c r="E42" i="6"/>
  <c r="E43" i="6" s="1"/>
  <c r="E7" i="13"/>
  <c r="E8" i="13" s="1"/>
  <c r="E15" i="3"/>
  <c r="E16" i="3" s="1"/>
  <c r="C5" i="44"/>
  <c r="C7" i="13"/>
  <c r="C8" i="13" s="1"/>
  <c r="C42" i="6"/>
  <c r="C43" i="6" s="1"/>
  <c r="C38" i="6"/>
  <c r="G7" i="21"/>
  <c r="G8" i="21" s="1"/>
  <c r="G84" i="6"/>
  <c r="G85" i="6" s="1"/>
  <c r="G15" i="3"/>
  <c r="G16" i="3" s="1"/>
  <c r="G5" i="44"/>
  <c r="G7" i="13"/>
  <c r="G8" i="13" s="1"/>
  <c r="G42" i="6"/>
  <c r="G43" i="6" s="1"/>
  <c r="D7" i="13"/>
  <c r="D8" i="13" s="1"/>
  <c r="G8" i="25"/>
  <c r="C8" i="25"/>
  <c r="G8" i="26"/>
  <c r="C8" i="26"/>
  <c r="G8" i="27"/>
  <c r="C8" i="27"/>
  <c r="C7" i="21"/>
  <c r="C8" i="21" s="1"/>
  <c r="C84" i="6"/>
  <c r="C85" i="6" s="1"/>
  <c r="F7" i="21"/>
  <c r="F8" i="21" s="1"/>
  <c r="F84" i="6"/>
  <c r="F85" i="6" s="1"/>
  <c r="F15" i="3"/>
  <c r="F16" i="3" s="1"/>
  <c r="F7" i="13"/>
  <c r="F8" i="13" s="1"/>
  <c r="F42" i="6"/>
  <c r="F43" i="6" s="1"/>
  <c r="F5" i="44"/>
  <c r="G105" i="6"/>
  <c r="C105" i="6"/>
  <c r="G110" i="6"/>
  <c r="C110" i="6"/>
  <c r="G115" i="6"/>
  <c r="C115" i="6"/>
  <c r="F125" i="6"/>
  <c r="E135" i="6"/>
  <c r="E140" i="6"/>
  <c r="D149" i="6"/>
  <c r="F8" i="29"/>
  <c r="E8" i="31"/>
  <c r="E8" i="32"/>
  <c r="D8" i="33"/>
  <c r="D105" i="6"/>
  <c r="D110" i="6"/>
  <c r="D115" i="6"/>
  <c r="G125" i="6"/>
  <c r="C125" i="6"/>
  <c r="F135" i="6"/>
  <c r="F140" i="6"/>
  <c r="E149" i="6"/>
  <c r="D8" i="25"/>
  <c r="D8" i="26"/>
  <c r="D8" i="27"/>
  <c r="G8" i="29"/>
  <c r="C8" i="29"/>
  <c r="F8" i="31"/>
  <c r="F8" i="32"/>
  <c r="E8" i="33"/>
  <c r="E35" i="47"/>
  <c r="E30" i="47"/>
  <c r="F35" i="47"/>
  <c r="F30" i="47"/>
  <c r="C35" i="47"/>
  <c r="C30" i="47"/>
  <c r="G35" i="47"/>
  <c r="G30" i="47"/>
  <c r="D30" i="47"/>
  <c r="D35" i="47"/>
  <c r="D46" i="4"/>
  <c r="F35" i="5"/>
  <c r="G35" i="5"/>
  <c r="F47" i="5"/>
  <c r="G47" i="5"/>
  <c r="E35" i="5"/>
  <c r="D47" i="5"/>
  <c r="E47" i="5"/>
  <c r="F44" i="4"/>
  <c r="E46" i="4"/>
  <c r="C14" i="33"/>
  <c r="C15" i="33" s="1"/>
  <c r="C7" i="30"/>
  <c r="C8" i="30" s="1"/>
  <c r="C7" i="18"/>
  <c r="C8" i="18" s="1"/>
  <c r="C151" i="6"/>
  <c r="C152" i="6" s="1"/>
  <c r="C153" i="6" s="1"/>
  <c r="C10" i="32"/>
  <c r="C11" i="32" s="1"/>
  <c r="C12" i="32" s="1"/>
  <c r="C6" i="41"/>
  <c r="C10" i="33"/>
  <c r="C11" i="33" s="1"/>
  <c r="C7" i="28"/>
  <c r="C8" i="28" s="1"/>
  <c r="C8" i="19"/>
  <c r="C155" i="6"/>
  <c r="C156" i="6" s="1"/>
  <c r="C6" i="36"/>
  <c r="G14" i="33"/>
  <c r="G15" i="33" s="1"/>
  <c r="G7" i="30"/>
  <c r="G8" i="30" s="1"/>
  <c r="G7" i="18"/>
  <c r="G151" i="6"/>
  <c r="G152" i="6" s="1"/>
  <c r="G10" i="32"/>
  <c r="G11" i="32" s="1"/>
  <c r="G6" i="41"/>
  <c r="G10" i="33"/>
  <c r="G11" i="33" s="1"/>
  <c r="G7" i="28"/>
  <c r="G8" i="28" s="1"/>
  <c r="G8" i="19"/>
  <c r="G155" i="6"/>
  <c r="G156" i="6" s="1"/>
  <c r="G6" i="36"/>
  <c r="C16" i="6"/>
  <c r="E52" i="6"/>
  <c r="C63" i="6"/>
  <c r="D62" i="6"/>
  <c r="D68" i="6"/>
  <c r="F74" i="6"/>
  <c r="F119" i="6"/>
  <c r="F120" i="6" s="1"/>
  <c r="D129" i="6"/>
  <c r="D130" i="6" s="1"/>
  <c r="G142" i="6"/>
  <c r="G143" i="6" s="1"/>
  <c r="F151" i="6"/>
  <c r="G6" i="17"/>
  <c r="G6" i="40"/>
  <c r="F6" i="40"/>
  <c r="F7" i="15"/>
  <c r="F10" i="32"/>
  <c r="F11" i="32" s="1"/>
  <c r="F6" i="41"/>
  <c r="F10" i="33"/>
  <c r="F11" i="33" s="1"/>
  <c r="F12" i="33" s="1"/>
  <c r="F7" i="28"/>
  <c r="F8" i="28" s="1"/>
  <c r="F8" i="19"/>
  <c r="F6" i="36"/>
  <c r="C53" i="6"/>
  <c r="G62" i="6"/>
  <c r="C62" i="6"/>
  <c r="G68" i="6"/>
  <c r="C68" i="6"/>
  <c r="E74" i="6"/>
  <c r="C72" i="6"/>
  <c r="E119" i="6"/>
  <c r="E120" i="6" s="1"/>
  <c r="G129" i="6"/>
  <c r="G130" i="6" s="1"/>
  <c r="C129" i="6"/>
  <c r="C130" i="6" s="1"/>
  <c r="F142" i="6"/>
  <c r="F143" i="6" s="1"/>
  <c r="D151" i="6"/>
  <c r="D152" i="6" s="1"/>
  <c r="C6" i="9"/>
  <c r="C7" i="15"/>
  <c r="F14" i="33"/>
  <c r="F15" i="33" s="1"/>
  <c r="C74" i="4"/>
  <c r="C6" i="42"/>
  <c r="E6" i="41"/>
  <c r="E10" i="33"/>
  <c r="E11" i="33" s="1"/>
  <c r="E7" i="28"/>
  <c r="E8" i="28" s="1"/>
  <c r="E8" i="19"/>
  <c r="E155" i="6"/>
  <c r="E156" i="6" s="1"/>
  <c r="E6" i="36"/>
  <c r="E14" i="33"/>
  <c r="E15" i="33" s="1"/>
  <c r="E7" i="30"/>
  <c r="E8" i="30" s="1"/>
  <c r="E7" i="18"/>
  <c r="E151" i="6"/>
  <c r="E152" i="6" s="1"/>
  <c r="D35" i="5"/>
  <c r="G52" i="6"/>
  <c r="F62" i="6"/>
  <c r="F68" i="6"/>
  <c r="C67" i="6"/>
  <c r="D74" i="6"/>
  <c r="D119" i="6"/>
  <c r="D120" i="6" s="1"/>
  <c r="F129" i="6"/>
  <c r="F130" i="6" s="1"/>
  <c r="E142" i="6"/>
  <c r="E143" i="6" s="1"/>
  <c r="F155" i="6"/>
  <c r="F156" i="6" s="1"/>
  <c r="F6" i="17"/>
  <c r="D11" i="33"/>
  <c r="C37" i="4"/>
  <c r="C5" i="34"/>
  <c r="C8" i="15"/>
  <c r="C7" i="16"/>
  <c r="E6" i="40"/>
  <c r="E6" i="17"/>
  <c r="C6" i="17"/>
  <c r="C8" i="17" s="1"/>
  <c r="C6" i="40"/>
  <c r="C6" i="43"/>
  <c r="C6" i="19"/>
  <c r="C9" i="19" s="1"/>
  <c r="C5" i="36"/>
  <c r="D6" i="40"/>
  <c r="D7" i="15"/>
  <c r="D6" i="36"/>
  <c r="D142" i="6"/>
  <c r="D143" i="6" s="1"/>
  <c r="D14" i="33"/>
  <c r="D15" i="33" s="1"/>
  <c r="D7" i="30"/>
  <c r="D8" i="30" s="1"/>
  <c r="D7" i="18"/>
  <c r="D10" i="32"/>
  <c r="D11" i="32" s="1"/>
  <c r="D12" i="32" s="1"/>
  <c r="D6" i="41"/>
  <c r="F52" i="6"/>
  <c r="C58" i="6"/>
  <c r="E62" i="6"/>
  <c r="E68" i="6"/>
  <c r="G74" i="6"/>
  <c r="C74" i="6"/>
  <c r="G119" i="6"/>
  <c r="G120" i="6" s="1"/>
  <c r="C119" i="6"/>
  <c r="C120" i="6" s="1"/>
  <c r="E129" i="6"/>
  <c r="E130" i="6" s="1"/>
  <c r="C142" i="6"/>
  <c r="C143" i="6" s="1"/>
  <c r="F152" i="6"/>
  <c r="F153" i="6" s="1"/>
  <c r="D155" i="6"/>
  <c r="D156" i="6" s="1"/>
  <c r="G7" i="15"/>
  <c r="D6" i="17"/>
  <c r="D8" i="19"/>
  <c r="D7" i="28"/>
  <c r="D8" i="28" s="1"/>
  <c r="F7" i="30"/>
  <c r="F8" i="30" s="1"/>
  <c r="E25" i="46"/>
  <c r="I10" i="3" l="1"/>
  <c r="H10" i="3"/>
  <c r="H15" i="3" s="1"/>
  <c r="H11" i="3"/>
  <c r="I12" i="3"/>
  <c r="C71" i="4"/>
  <c r="C80" i="4"/>
  <c r="C75" i="4"/>
  <c r="K43" i="3"/>
  <c r="K19" i="3"/>
  <c r="K13" i="3"/>
  <c r="K7" i="3"/>
  <c r="K9" i="3" s="1"/>
  <c r="K39" i="3"/>
  <c r="K53" i="3"/>
  <c r="K45" i="5" s="1"/>
  <c r="J6" i="3"/>
  <c r="J9" i="3"/>
  <c r="E12" i="32"/>
  <c r="J21" i="3"/>
  <c r="K23" i="3"/>
  <c r="K51" i="3"/>
  <c r="K44" i="5" s="1"/>
  <c r="K7" i="4"/>
  <c r="J38" i="5"/>
  <c r="J17" i="3"/>
  <c r="J25" i="3" s="1"/>
  <c r="J26" i="3" s="1"/>
  <c r="K18" i="3"/>
  <c r="L18" i="3" s="1"/>
  <c r="L17" i="3" s="1"/>
  <c r="K21" i="3"/>
  <c r="J43" i="3"/>
  <c r="I25" i="3"/>
  <c r="I26" i="3" s="1"/>
  <c r="L5" i="3"/>
  <c r="K6" i="3"/>
  <c r="D12" i="33"/>
  <c r="D16" i="33" s="1"/>
  <c r="E144" i="6"/>
  <c r="D153" i="6"/>
  <c r="D157" i="6" s="1"/>
  <c r="G12" i="33"/>
  <c r="G16" i="33" s="1"/>
  <c r="E153" i="6"/>
  <c r="E12" i="33"/>
  <c r="D144" i="6"/>
  <c r="G144" i="6"/>
  <c r="C27" i="3"/>
  <c r="C16" i="3"/>
  <c r="F12" i="32"/>
  <c r="F144" i="6"/>
  <c r="C6" i="44"/>
  <c r="G12" i="32"/>
  <c r="G153" i="6"/>
  <c r="G157" i="6" s="1"/>
  <c r="C12" i="33"/>
  <c r="C144" i="6"/>
  <c r="F6" i="44"/>
  <c r="F6" i="39"/>
  <c r="F27" i="3"/>
  <c r="D6" i="39"/>
  <c r="D6" i="44"/>
  <c r="D27" i="3"/>
  <c r="G6" i="44"/>
  <c r="G6" i="39"/>
  <c r="G27" i="3"/>
  <c r="E6" i="39"/>
  <c r="E6" i="44"/>
  <c r="E27" i="3"/>
  <c r="C73" i="4"/>
  <c r="C67" i="4"/>
  <c r="C69" i="4"/>
  <c r="C63" i="4"/>
  <c r="C65" i="4"/>
  <c r="C59" i="4"/>
  <c r="C61" i="4"/>
  <c r="C55" i="4"/>
  <c r="C57" i="4"/>
  <c r="C51" i="4"/>
  <c r="C53" i="4"/>
  <c r="C45" i="4"/>
  <c r="C49" i="4"/>
  <c r="E54" i="4"/>
  <c r="D54" i="4"/>
  <c r="C47" i="4"/>
  <c r="C41" i="4"/>
  <c r="C43" i="4"/>
  <c r="C38" i="4"/>
  <c r="C34" i="4"/>
  <c r="C36" i="4"/>
  <c r="C30" i="4"/>
  <c r="C32" i="4"/>
  <c r="C26" i="4"/>
  <c r="C28" i="4"/>
  <c r="C22" i="4"/>
  <c r="C24" i="4"/>
  <c r="C18" i="4"/>
  <c r="C20" i="4"/>
  <c r="C14" i="4"/>
  <c r="C16" i="4"/>
  <c r="C69" i="6"/>
  <c r="C10" i="4"/>
  <c r="C12" i="4"/>
  <c r="C64" i="6"/>
  <c r="C6" i="4"/>
  <c r="C8" i="4"/>
  <c r="E16" i="33"/>
  <c r="C5" i="42"/>
  <c r="C7" i="24"/>
  <c r="C8" i="24" s="1"/>
  <c r="C7" i="14"/>
  <c r="C5" i="43"/>
  <c r="C99" i="6"/>
  <c r="C100" i="6" s="1"/>
  <c r="C47" i="6"/>
  <c r="C157" i="6"/>
  <c r="F16" i="33"/>
  <c r="C16" i="33"/>
  <c r="C5" i="41"/>
  <c r="C6" i="34"/>
  <c r="C5" i="40"/>
  <c r="F157" i="6"/>
  <c r="E157" i="6"/>
  <c r="C75" i="6"/>
  <c r="G44" i="4"/>
  <c r="F46" i="4"/>
  <c r="E26" i="46"/>
  <c r="E30" i="46" s="1"/>
  <c r="F25" i="46"/>
  <c r="K10" i="3" l="1"/>
  <c r="H27" i="3"/>
  <c r="H16" i="3"/>
  <c r="L6" i="3"/>
  <c r="L19" i="3"/>
  <c r="L13" i="3"/>
  <c r="L53" i="3"/>
  <c r="L45" i="5" s="1"/>
  <c r="L51" i="3"/>
  <c r="L44" i="5" s="1"/>
  <c r="L9" i="3"/>
  <c r="L43" i="3"/>
  <c r="L39" i="3"/>
  <c r="L7" i="3"/>
  <c r="L21" i="3"/>
  <c r="L23" i="3"/>
  <c r="J10" i="3"/>
  <c r="J12" i="3"/>
  <c r="I11" i="3"/>
  <c r="L25" i="3"/>
  <c r="L26" i="3" s="1"/>
  <c r="L7" i="4"/>
  <c r="K38" i="5"/>
  <c r="K9" i="4"/>
  <c r="K17" i="3"/>
  <c r="K25" i="3" s="1"/>
  <c r="K26" i="3" s="1"/>
  <c r="H34" i="5"/>
  <c r="H9" i="5"/>
  <c r="G29" i="3"/>
  <c r="G30" i="3" s="1"/>
  <c r="G28" i="3"/>
  <c r="F29" i="3"/>
  <c r="F5" i="35" s="1"/>
  <c r="F28" i="3"/>
  <c r="E29" i="3"/>
  <c r="E30" i="3" s="1"/>
  <c r="E28" i="3"/>
  <c r="D29" i="3"/>
  <c r="D33" i="3" s="1"/>
  <c r="D34" i="3" s="1"/>
  <c r="D28" i="3"/>
  <c r="C29" i="3"/>
  <c r="C30" i="3" s="1"/>
  <c r="C28" i="3"/>
  <c r="E5" i="35"/>
  <c r="E6" i="42"/>
  <c r="D6" i="42"/>
  <c r="F54" i="4"/>
  <c r="G46" i="4"/>
  <c r="F26" i="46"/>
  <c r="F30" i="46" s="1"/>
  <c r="G25" i="46"/>
  <c r="G26" i="46" s="1"/>
  <c r="G30" i="46" s="1"/>
  <c r="I34" i="5" l="1"/>
  <c r="I9" i="5"/>
  <c r="K12" i="3"/>
  <c r="J11" i="3"/>
  <c r="H28" i="3"/>
  <c r="H29" i="3"/>
  <c r="L38" i="5"/>
  <c r="L9" i="4"/>
  <c r="L10" i="3"/>
  <c r="G5" i="35"/>
  <c r="I15" i="3"/>
  <c r="E33" i="3"/>
  <c r="E34" i="3" s="1"/>
  <c r="G33" i="3"/>
  <c r="G34" i="3" s="1"/>
  <c r="D5" i="35"/>
  <c r="D30" i="3"/>
  <c r="F33" i="3"/>
  <c r="F34" i="3" s="1"/>
  <c r="F30" i="3"/>
  <c r="C33" i="3"/>
  <c r="C34" i="3" s="1"/>
  <c r="C5" i="35"/>
  <c r="G6" i="15"/>
  <c r="G9" i="15" s="1"/>
  <c r="G51" i="6"/>
  <c r="G54" i="6" s="1"/>
  <c r="G37" i="3"/>
  <c r="F6" i="35"/>
  <c r="D6" i="35"/>
  <c r="D6" i="15"/>
  <c r="D9" i="15" s="1"/>
  <c r="D51" i="6"/>
  <c r="D54" i="6" s="1"/>
  <c r="D6" i="20"/>
  <c r="D8" i="20" s="1"/>
  <c r="D78" i="6"/>
  <c r="D80" i="6" s="1"/>
  <c r="D37" i="3"/>
  <c r="E6" i="15"/>
  <c r="E9" i="15" s="1"/>
  <c r="E6" i="35"/>
  <c r="E37" i="3"/>
  <c r="F6" i="42"/>
  <c r="G54" i="4"/>
  <c r="L12" i="3" l="1"/>
  <c r="L11" i="3" s="1"/>
  <c r="K11" i="3"/>
  <c r="E51" i="6"/>
  <c r="E54" i="6" s="1"/>
  <c r="E6" i="20"/>
  <c r="E8" i="20" s="1"/>
  <c r="I27" i="3"/>
  <c r="I16" i="3"/>
  <c r="H30" i="3"/>
  <c r="E78" i="6"/>
  <c r="E80" i="6" s="1"/>
  <c r="G6" i="20"/>
  <c r="G8" i="20" s="1"/>
  <c r="J9" i="5"/>
  <c r="J34" i="5"/>
  <c r="J15" i="3"/>
  <c r="G78" i="6"/>
  <c r="G80" i="6" s="1"/>
  <c r="G6" i="35"/>
  <c r="F78" i="6"/>
  <c r="F80" i="6" s="1"/>
  <c r="F6" i="15"/>
  <c r="F9" i="15" s="1"/>
  <c r="F6" i="20"/>
  <c r="F8" i="20" s="1"/>
  <c r="F37" i="3"/>
  <c r="F51" i="6"/>
  <c r="F54" i="6" s="1"/>
  <c r="G41" i="3"/>
  <c r="G38" i="3"/>
  <c r="E41" i="3"/>
  <c r="E38" i="3"/>
  <c r="D41" i="3"/>
  <c r="D38" i="3"/>
  <c r="F41" i="3"/>
  <c r="F38" i="3"/>
  <c r="C51" i="6"/>
  <c r="C54" i="6" s="1"/>
  <c r="C6" i="20"/>
  <c r="C8" i="20" s="1"/>
  <c r="C6" i="35"/>
  <c r="C78" i="6"/>
  <c r="C80" i="6" s="1"/>
  <c r="C6" i="15"/>
  <c r="C9" i="15" s="1"/>
  <c r="C37" i="3"/>
  <c r="G6" i="42"/>
  <c r="K9" i="5" l="1"/>
  <c r="K34" i="5"/>
  <c r="K15" i="3"/>
  <c r="J16" i="3"/>
  <c r="J27" i="3"/>
  <c r="I29" i="3"/>
  <c r="I28" i="3"/>
  <c r="L34" i="5"/>
  <c r="L9" i="5"/>
  <c r="L15" i="3"/>
  <c r="G45" i="3"/>
  <c r="G42" i="3"/>
  <c r="F45" i="3"/>
  <c r="F64" i="3" s="1"/>
  <c r="F42" i="3"/>
  <c r="E45" i="3"/>
  <c r="E42" i="3"/>
  <c r="D45" i="3"/>
  <c r="D42" i="3"/>
  <c r="C41" i="3"/>
  <c r="C38" i="3"/>
  <c r="D46" i="3" l="1"/>
  <c r="D64" i="3"/>
  <c r="K16" i="3"/>
  <c r="K27" i="3"/>
  <c r="E46" i="3"/>
  <c r="E64" i="3"/>
  <c r="G46" i="3"/>
  <c r="G64" i="3"/>
  <c r="H64" i="3" s="1"/>
  <c r="I64" i="3" s="1"/>
  <c r="J64" i="3" s="1"/>
  <c r="K64" i="3" s="1"/>
  <c r="L64" i="3" s="1"/>
  <c r="L27" i="3"/>
  <c r="L16" i="3"/>
  <c r="I30" i="3"/>
  <c r="J29" i="3"/>
  <c r="J28" i="3"/>
  <c r="F49" i="3"/>
  <c r="F50" i="3" s="1"/>
  <c r="F46" i="3"/>
  <c r="F5" i="5"/>
  <c r="F27" i="5" s="1"/>
  <c r="F48" i="5" s="1"/>
  <c r="D49" i="3"/>
  <c r="D50" i="3" s="1"/>
  <c r="D5" i="5"/>
  <c r="D27" i="5" s="1"/>
  <c r="D48" i="5" s="1"/>
  <c r="C45" i="3"/>
  <c r="C64" i="3" s="1"/>
  <c r="C42" i="3"/>
  <c r="E49" i="3"/>
  <c r="E50" i="3" s="1"/>
  <c r="E5" i="5"/>
  <c r="E27" i="5" s="1"/>
  <c r="E48" i="5" s="1"/>
  <c r="G5" i="5"/>
  <c r="G27" i="5" s="1"/>
  <c r="G48" i="5" s="1"/>
  <c r="G49" i="3"/>
  <c r="G50" i="3" s="1"/>
  <c r="K28" i="3" l="1"/>
  <c r="K29" i="3"/>
  <c r="J30" i="3"/>
  <c r="L28" i="3"/>
  <c r="L29" i="3"/>
  <c r="C49" i="3"/>
  <c r="C6" i="7" s="1"/>
  <c r="C46" i="3"/>
  <c r="F57" i="6"/>
  <c r="F24" i="6"/>
  <c r="F6" i="16"/>
  <c r="F6" i="45"/>
  <c r="F6" i="6"/>
  <c r="F61" i="3"/>
  <c r="F46" i="6"/>
  <c r="F9" i="10"/>
  <c r="F55" i="3"/>
  <c r="F6" i="14"/>
  <c r="F6" i="7"/>
  <c r="C9" i="10"/>
  <c r="C6" i="14"/>
  <c r="C8" i="14" s="1"/>
  <c r="C55" i="3"/>
  <c r="C6" i="6"/>
  <c r="C46" i="6"/>
  <c r="C48" i="6" s="1"/>
  <c r="D70" i="4"/>
  <c r="D38" i="46"/>
  <c r="G6" i="14"/>
  <c r="G57" i="6"/>
  <c r="G55" i="3"/>
  <c r="G46" i="6"/>
  <c r="G24" i="6"/>
  <c r="G6" i="7"/>
  <c r="G6" i="45"/>
  <c r="G61" i="3"/>
  <c r="G6" i="16"/>
  <c r="G6" i="6"/>
  <c r="G9" i="10"/>
  <c r="E6" i="45"/>
  <c r="E6" i="16"/>
  <c r="E61" i="3"/>
  <c r="E57" i="6"/>
  <c r="E6" i="14"/>
  <c r="E9" i="10"/>
  <c r="E6" i="7"/>
  <c r="E6" i="6"/>
  <c r="E46" i="6"/>
  <c r="E24" i="6"/>
  <c r="E55" i="3"/>
  <c r="D6" i="14"/>
  <c r="D6" i="6"/>
  <c r="D55" i="3"/>
  <c r="D56" i="3" s="1"/>
  <c r="D46" i="6"/>
  <c r="D61" i="3"/>
  <c r="D24" i="6"/>
  <c r="D6" i="7"/>
  <c r="D6" i="16"/>
  <c r="D57" i="6"/>
  <c r="D6" i="45"/>
  <c r="D9" i="10"/>
  <c r="C5" i="45" l="1"/>
  <c r="C56" i="3"/>
  <c r="C6" i="16"/>
  <c r="C8" i="16" s="1"/>
  <c r="C57" i="6"/>
  <c r="C59" i="6" s="1"/>
  <c r="C24" i="6"/>
  <c r="L30" i="3"/>
  <c r="K30" i="3"/>
  <c r="E5" i="45"/>
  <c r="E56" i="3"/>
  <c r="G5" i="45"/>
  <c r="G56" i="3"/>
  <c r="C6" i="45"/>
  <c r="F5" i="45"/>
  <c r="F56" i="3"/>
  <c r="C61" i="3"/>
  <c r="C31" i="6" s="1"/>
  <c r="C32" i="6" s="1"/>
  <c r="C33" i="6" s="1"/>
  <c r="C50" i="3"/>
  <c r="F25" i="6"/>
  <c r="F26" i="6" s="1"/>
  <c r="F7" i="7"/>
  <c r="F8" i="7" s="1"/>
  <c r="F7" i="8"/>
  <c r="F8" i="8" s="1"/>
  <c r="F22" i="6"/>
  <c r="F23" i="6" s="1"/>
  <c r="F31" i="6"/>
  <c r="F32" i="6" s="1"/>
  <c r="F33" i="6" s="1"/>
  <c r="F17" i="6"/>
  <c r="F12" i="6"/>
  <c r="F13" i="6" s="1"/>
  <c r="F10" i="10"/>
  <c r="F11" i="10" s="1"/>
  <c r="F7" i="9"/>
  <c r="F7" i="10"/>
  <c r="F8" i="10" s="1"/>
  <c r="F7" i="11"/>
  <c r="F8" i="11" s="1"/>
  <c r="F9" i="11" s="1"/>
  <c r="F7" i="6"/>
  <c r="F8" i="6" s="1"/>
  <c r="C7" i="9"/>
  <c r="C8" i="9" s="1"/>
  <c r="C7" i="11"/>
  <c r="C8" i="11" s="1"/>
  <c r="C9" i="11" s="1"/>
  <c r="C7" i="8"/>
  <c r="C8" i="8" s="1"/>
  <c r="C25" i="6"/>
  <c r="C26" i="6" s="1"/>
  <c r="C7" i="10"/>
  <c r="C8" i="10" s="1"/>
  <c r="C12" i="6"/>
  <c r="C13" i="6" s="1"/>
  <c r="C22" i="6"/>
  <c r="C23" i="6" s="1"/>
  <c r="C7" i="7"/>
  <c r="C8" i="7" s="1"/>
  <c r="C7" i="6"/>
  <c r="C8" i="6" s="1"/>
  <c r="C17" i="6"/>
  <c r="C18" i="6" s="1"/>
  <c r="C10" i="10"/>
  <c r="C11" i="10" s="1"/>
  <c r="E70" i="4"/>
  <c r="D88" i="6"/>
  <c r="D90" i="6" s="1"/>
  <c r="D72" i="4"/>
  <c r="D6" i="22"/>
  <c r="D8" i="22" s="1"/>
  <c r="D6" i="23"/>
  <c r="D8" i="23" s="1"/>
  <c r="D93" i="6"/>
  <c r="D95" i="6" s="1"/>
  <c r="E25" i="6"/>
  <c r="E26" i="6" s="1"/>
  <c r="E22" i="6"/>
  <c r="E23" i="6" s="1"/>
  <c r="E7" i="6"/>
  <c r="E7" i="9"/>
  <c r="E7" i="8"/>
  <c r="E8" i="8" s="1"/>
  <c r="E7" i="11"/>
  <c r="E8" i="11" s="1"/>
  <c r="E9" i="11" s="1"/>
  <c r="E17" i="6"/>
  <c r="E7" i="7"/>
  <c r="E8" i="7" s="1"/>
  <c r="E12" i="6"/>
  <c r="E13" i="6" s="1"/>
  <c r="E10" i="10"/>
  <c r="E11" i="10" s="1"/>
  <c r="E7" i="10"/>
  <c r="E8" i="10" s="1"/>
  <c r="E31" i="6"/>
  <c r="E32" i="6" s="1"/>
  <c r="E33" i="6" s="1"/>
  <c r="D11" i="4"/>
  <c r="D5" i="45"/>
  <c r="D8" i="46"/>
  <c r="G7" i="7"/>
  <c r="G8" i="7" s="1"/>
  <c r="G25" i="6"/>
  <c r="G26" i="6" s="1"/>
  <c r="G7" i="10"/>
  <c r="G8" i="10" s="1"/>
  <c r="G31" i="6"/>
  <c r="G32" i="6" s="1"/>
  <c r="G33" i="6" s="1"/>
  <c r="G7" i="9"/>
  <c r="G7" i="11"/>
  <c r="G8" i="11" s="1"/>
  <c r="G9" i="11" s="1"/>
  <c r="G22" i="6"/>
  <c r="G23" i="6" s="1"/>
  <c r="G12" i="6"/>
  <c r="G13" i="6" s="1"/>
  <c r="G7" i="6"/>
  <c r="G8" i="6" s="1"/>
  <c r="G17" i="6"/>
  <c r="G7" i="8"/>
  <c r="G8" i="8" s="1"/>
  <c r="G10" i="10"/>
  <c r="D7" i="8"/>
  <c r="D8" i="8" s="1"/>
  <c r="D31" i="6"/>
  <c r="D32" i="6" s="1"/>
  <c r="D33" i="6" s="1"/>
  <c r="D12" i="6"/>
  <c r="D13" i="6" s="1"/>
  <c r="D7" i="10"/>
  <c r="D8" i="10" s="1"/>
  <c r="D22" i="6"/>
  <c r="D23" i="6" s="1"/>
  <c r="D25" i="6"/>
  <c r="D26" i="6" s="1"/>
  <c r="D7" i="9"/>
  <c r="D17" i="6"/>
  <c r="D7" i="11"/>
  <c r="D8" i="11" s="1"/>
  <c r="D9" i="11" s="1"/>
  <c r="D10" i="10"/>
  <c r="D11" i="10" s="1"/>
  <c r="D7" i="6"/>
  <c r="D8" i="6" s="1"/>
  <c r="D7" i="7"/>
  <c r="D8" i="7" s="1"/>
  <c r="E8" i="6"/>
  <c r="G11" i="10"/>
  <c r="D39" i="46"/>
  <c r="D40" i="46" s="1"/>
  <c r="E38" i="46"/>
  <c r="F27" i="6" l="1"/>
  <c r="F12" i="10"/>
  <c r="C27" i="6"/>
  <c r="C12" i="10"/>
  <c r="D27" i="6"/>
  <c r="D6" i="43"/>
  <c r="D5" i="36"/>
  <c r="D72" i="6"/>
  <c r="D75" i="6" s="1"/>
  <c r="D67" i="6"/>
  <c r="D69" i="6" s="1"/>
  <c r="D6" i="18"/>
  <c r="D8" i="18" s="1"/>
  <c r="D6" i="19"/>
  <c r="D9" i="19" s="1"/>
  <c r="D74" i="4"/>
  <c r="D80" i="4" s="1"/>
  <c r="E39" i="46"/>
  <c r="E40" i="46" s="1"/>
  <c r="F38" i="46"/>
  <c r="D12" i="10"/>
  <c r="E8" i="46"/>
  <c r="D9" i="46"/>
  <c r="D21" i="46" s="1"/>
  <c r="E12" i="10"/>
  <c r="D13" i="4"/>
  <c r="E11" i="4"/>
  <c r="G27" i="6"/>
  <c r="G12" i="10"/>
  <c r="E27" i="6"/>
  <c r="E72" i="4"/>
  <c r="E88" i="6"/>
  <c r="E90" i="6" s="1"/>
  <c r="F70" i="4"/>
  <c r="E6" i="22"/>
  <c r="E8" i="22" s="1"/>
  <c r="E6" i="23"/>
  <c r="E8" i="23" s="1"/>
  <c r="E93" i="6"/>
  <c r="E95" i="6" s="1"/>
  <c r="D8" i="15" l="1"/>
  <c r="D5" i="34"/>
  <c r="D16" i="6"/>
  <c r="D18" i="6" s="1"/>
  <c r="D53" i="6"/>
  <c r="D14" i="4"/>
  <c r="D58" i="6"/>
  <c r="D59" i="6" s="1"/>
  <c r="D37" i="4"/>
  <c r="D6" i="9"/>
  <c r="D8" i="9" s="1"/>
  <c r="D63" i="6"/>
  <c r="D64" i="6" s="1"/>
  <c r="D7" i="17"/>
  <c r="D8" i="17" s="1"/>
  <c r="D7" i="16"/>
  <c r="D8" i="16" s="1"/>
  <c r="F6" i="22"/>
  <c r="F8" i="22" s="1"/>
  <c r="F88" i="6"/>
  <c r="F90" i="6" s="1"/>
  <c r="F6" i="23"/>
  <c r="F8" i="23" s="1"/>
  <c r="F93" i="6"/>
  <c r="F95" i="6" s="1"/>
  <c r="F72" i="4"/>
  <c r="G70" i="4"/>
  <c r="G38" i="46"/>
  <c r="G39" i="46" s="1"/>
  <c r="G40" i="46" s="1"/>
  <c r="F39" i="46"/>
  <c r="F40" i="46" s="1"/>
  <c r="E74" i="4"/>
  <c r="E80" i="4" s="1"/>
  <c r="E72" i="6"/>
  <c r="E75" i="6" s="1"/>
  <c r="E5" i="36"/>
  <c r="E6" i="19"/>
  <c r="E9" i="19" s="1"/>
  <c r="E6" i="18"/>
  <c r="E8" i="18" s="1"/>
  <c r="E6" i="43"/>
  <c r="E67" i="6"/>
  <c r="E69" i="6" s="1"/>
  <c r="E13" i="4"/>
  <c r="F11" i="4"/>
  <c r="F8" i="46"/>
  <c r="E9" i="46"/>
  <c r="E21" i="46" s="1"/>
  <c r="D73" i="4"/>
  <c r="D75" i="4"/>
  <c r="D45" i="4"/>
  <c r="D5" i="43"/>
  <c r="D57" i="4"/>
  <c r="D6" i="4"/>
  <c r="D26" i="4"/>
  <c r="D49" i="4"/>
  <c r="D16" i="4"/>
  <c r="D43" i="4"/>
  <c r="D99" i="6"/>
  <c r="D100" i="6" s="1"/>
  <c r="D47" i="4"/>
  <c r="D5" i="42"/>
  <c r="D18" i="4"/>
  <c r="D41" i="4"/>
  <c r="D8" i="4"/>
  <c r="D34" i="4"/>
  <c r="D71" i="4"/>
  <c r="D20" i="4"/>
  <c r="D22" i="4"/>
  <c r="D24" i="4"/>
  <c r="D7" i="14"/>
  <c r="D8" i="14" s="1"/>
  <c r="D63" i="4"/>
  <c r="D36" i="4"/>
  <c r="D55" i="4"/>
  <c r="D28" i="4"/>
  <c r="D67" i="4"/>
  <c r="D30" i="4"/>
  <c r="D47" i="6"/>
  <c r="D48" i="6" s="1"/>
  <c r="D69" i="4"/>
  <c r="D32" i="4"/>
  <c r="D7" i="24"/>
  <c r="D8" i="24" s="1"/>
  <c r="D10" i="4"/>
  <c r="D53" i="4"/>
  <c r="D65" i="4"/>
  <c r="D51" i="4"/>
  <c r="D59" i="4"/>
  <c r="D61" i="4"/>
  <c r="D12" i="4"/>
  <c r="E73" i="4" l="1"/>
  <c r="E69" i="4"/>
  <c r="E36" i="4"/>
  <c r="E47" i="6"/>
  <c r="E48" i="6" s="1"/>
  <c r="E10" i="4"/>
  <c r="E30" i="4"/>
  <c r="E59" i="4"/>
  <c r="E7" i="24"/>
  <c r="E8" i="24" s="1"/>
  <c r="E41" i="4"/>
  <c r="E8" i="4"/>
  <c r="E28" i="4"/>
  <c r="E67" i="4"/>
  <c r="E22" i="4"/>
  <c r="E51" i="4"/>
  <c r="E32" i="4"/>
  <c r="E5" i="42"/>
  <c r="E75" i="4"/>
  <c r="E7" i="14"/>
  <c r="E8" i="14" s="1"/>
  <c r="E47" i="4"/>
  <c r="E18" i="4"/>
  <c r="E16" i="4"/>
  <c r="E61" i="4"/>
  <c r="E63" i="4"/>
  <c r="E65" i="4"/>
  <c r="E71" i="4"/>
  <c r="E53" i="4"/>
  <c r="E20" i="4"/>
  <c r="E43" i="4"/>
  <c r="E55" i="4"/>
  <c r="E6" i="4"/>
  <c r="E34" i="4"/>
  <c r="E57" i="4"/>
  <c r="E24" i="4"/>
  <c r="E99" i="6"/>
  <c r="E100" i="6" s="1"/>
  <c r="E45" i="4"/>
  <c r="E26" i="4"/>
  <c r="E5" i="43"/>
  <c r="E49" i="4"/>
  <c r="F6" i="18"/>
  <c r="F8" i="18" s="1"/>
  <c r="F5" i="36"/>
  <c r="F72" i="6"/>
  <c r="F75" i="6" s="1"/>
  <c r="F6" i="43"/>
  <c r="F74" i="4"/>
  <c r="F80" i="4" s="1"/>
  <c r="F67" i="6"/>
  <c r="F69" i="6" s="1"/>
  <c r="F6" i="19"/>
  <c r="F9" i="19" s="1"/>
  <c r="E12" i="4"/>
  <c r="D5" i="41"/>
  <c r="D6" i="34"/>
  <c r="D5" i="40"/>
  <c r="D38" i="4"/>
  <c r="F9" i="46"/>
  <c r="F21" i="46" s="1"/>
  <c r="G8" i="46"/>
  <c r="G9" i="46" s="1"/>
  <c r="G21" i="46" s="1"/>
  <c r="E37" i="4"/>
  <c r="E8" i="15"/>
  <c r="E7" i="17"/>
  <c r="E8" i="17" s="1"/>
  <c r="E5" i="34"/>
  <c r="E6" i="9"/>
  <c r="E8" i="9" s="1"/>
  <c r="E53" i="6"/>
  <c r="E58" i="6"/>
  <c r="E59" i="6" s="1"/>
  <c r="E14" i="4"/>
  <c r="E16" i="6"/>
  <c r="E18" i="6" s="1"/>
  <c r="E63" i="6"/>
  <c r="E64" i="6" s="1"/>
  <c r="E7" i="16"/>
  <c r="E8" i="16" s="1"/>
  <c r="F13" i="4"/>
  <c r="F12" i="4"/>
  <c r="G11" i="4"/>
  <c r="G6" i="22"/>
  <c r="G8" i="22" s="1"/>
  <c r="G6" i="23"/>
  <c r="G8" i="23" s="1"/>
  <c r="G72" i="4"/>
  <c r="G93" i="6"/>
  <c r="G95" i="6" s="1"/>
  <c r="G88" i="6"/>
  <c r="G90" i="6" s="1"/>
  <c r="H80" i="4" l="1"/>
  <c r="H74" i="4" s="1"/>
  <c r="F16" i="6"/>
  <c r="F18" i="6" s="1"/>
  <c r="F8" i="15"/>
  <c r="F14" i="4"/>
  <c r="F6" i="9"/>
  <c r="F8" i="9" s="1"/>
  <c r="F63" i="6"/>
  <c r="F64" i="6" s="1"/>
  <c r="F37" i="4"/>
  <c r="F53" i="6"/>
  <c r="F5" i="34"/>
  <c r="F7" i="16"/>
  <c r="F8" i="16" s="1"/>
  <c r="F58" i="6"/>
  <c r="F59" i="6" s="1"/>
  <c r="F7" i="17"/>
  <c r="F8" i="17" s="1"/>
  <c r="F73" i="4"/>
  <c r="F67" i="4"/>
  <c r="F34" i="4"/>
  <c r="F7" i="24"/>
  <c r="F8" i="24" s="1"/>
  <c r="F24" i="4"/>
  <c r="F53" i="4"/>
  <c r="F20" i="4"/>
  <c r="F63" i="4"/>
  <c r="F22" i="4"/>
  <c r="F49" i="4"/>
  <c r="F43" i="4"/>
  <c r="F16" i="4"/>
  <c r="F59" i="4"/>
  <c r="F26" i="4"/>
  <c r="F99" i="6"/>
  <c r="F100" i="6" s="1"/>
  <c r="F7" i="14"/>
  <c r="F8" i="14" s="1"/>
  <c r="F45" i="4"/>
  <c r="F5" i="43"/>
  <c r="F55" i="4"/>
  <c r="F6" i="4"/>
  <c r="F32" i="4"/>
  <c r="F71" i="4"/>
  <c r="F51" i="4"/>
  <c r="F18" i="4"/>
  <c r="F57" i="4"/>
  <c r="F69" i="4"/>
  <c r="F36" i="4"/>
  <c r="F47" i="6"/>
  <c r="F48" i="6" s="1"/>
  <c r="F5" i="42"/>
  <c r="F8" i="4"/>
  <c r="F61" i="4"/>
  <c r="F65" i="4"/>
  <c r="F47" i="4"/>
  <c r="F75" i="4"/>
  <c r="F10" i="4"/>
  <c r="F41" i="4"/>
  <c r="F28" i="4"/>
  <c r="F30" i="4"/>
  <c r="G13" i="4"/>
  <c r="G6" i="43"/>
  <c r="G6" i="18"/>
  <c r="G8" i="18" s="1"/>
  <c r="G6" i="19"/>
  <c r="G9" i="19" s="1"/>
  <c r="G74" i="4"/>
  <c r="G80" i="4" s="1"/>
  <c r="I80" i="4" s="1"/>
  <c r="G72" i="6"/>
  <c r="G75" i="6" s="1"/>
  <c r="G5" i="36"/>
  <c r="G67" i="6"/>
  <c r="G69" i="6" s="1"/>
  <c r="E6" i="34"/>
  <c r="E5" i="41"/>
  <c r="E38" i="4"/>
  <c r="E5" i="40"/>
  <c r="J80" i="4" l="1"/>
  <c r="J74" i="4" s="1"/>
  <c r="I74" i="4"/>
  <c r="K80" i="4"/>
  <c r="H75" i="4"/>
  <c r="H25" i="4"/>
  <c r="H21" i="5" s="1"/>
  <c r="H27" i="4"/>
  <c r="H22" i="5" s="1"/>
  <c r="H10" i="4"/>
  <c r="G73" i="4"/>
  <c r="G57" i="4"/>
  <c r="H57" i="4" s="1"/>
  <c r="I57" i="4" s="1"/>
  <c r="J57" i="4" s="1"/>
  <c r="K57" i="4" s="1"/>
  <c r="L57" i="4" s="1"/>
  <c r="G24" i="4"/>
  <c r="H24" i="4" s="1"/>
  <c r="I24" i="4" s="1"/>
  <c r="J24" i="4" s="1"/>
  <c r="K24" i="4" s="1"/>
  <c r="L24" i="4" s="1"/>
  <c r="G67" i="4"/>
  <c r="H67" i="4" s="1"/>
  <c r="I67" i="4" s="1"/>
  <c r="J67" i="4" s="1"/>
  <c r="K67" i="4" s="1"/>
  <c r="L67" i="4" s="1"/>
  <c r="G34" i="4"/>
  <c r="G5" i="42"/>
  <c r="G7" i="14"/>
  <c r="G8" i="14" s="1"/>
  <c r="G45" i="4"/>
  <c r="G7" i="24"/>
  <c r="G8" i="24" s="1"/>
  <c r="G30" i="4"/>
  <c r="H30" i="4" s="1"/>
  <c r="G47" i="6"/>
  <c r="G48" i="6" s="1"/>
  <c r="G75" i="4"/>
  <c r="G51" i="4"/>
  <c r="H51" i="4" s="1"/>
  <c r="I51" i="4" s="1"/>
  <c r="J51" i="4" s="1"/>
  <c r="K51" i="4" s="1"/>
  <c r="L51" i="4" s="1"/>
  <c r="G55" i="4"/>
  <c r="G63" i="4"/>
  <c r="H63" i="4" s="1"/>
  <c r="I63" i="4" s="1"/>
  <c r="G5" i="43"/>
  <c r="G53" i="4"/>
  <c r="H53" i="4" s="1"/>
  <c r="G71" i="4"/>
  <c r="G49" i="4"/>
  <c r="H49" i="4" s="1"/>
  <c r="I49" i="4" s="1"/>
  <c r="J49" i="4" s="1"/>
  <c r="K49" i="4" s="1"/>
  <c r="L49" i="4" s="1"/>
  <c r="G16" i="4"/>
  <c r="H16" i="4" s="1"/>
  <c r="I16" i="4" s="1"/>
  <c r="G59" i="4"/>
  <c r="H59" i="4" s="1"/>
  <c r="I59" i="4" s="1"/>
  <c r="J59" i="4" s="1"/>
  <c r="K59" i="4" s="1"/>
  <c r="L59" i="4" s="1"/>
  <c r="G26" i="4"/>
  <c r="H26" i="4" s="1"/>
  <c r="I26" i="4" s="1"/>
  <c r="J26" i="4" s="1"/>
  <c r="K26" i="4" s="1"/>
  <c r="L26" i="4" s="1"/>
  <c r="G99" i="6"/>
  <c r="G100" i="6" s="1"/>
  <c r="G69" i="4"/>
  <c r="H69" i="4" s="1"/>
  <c r="G36" i="4"/>
  <c r="H36" i="4" s="1"/>
  <c r="G6" i="4"/>
  <c r="H6" i="4" s="1"/>
  <c r="I6" i="4" s="1"/>
  <c r="J6" i="4" s="1"/>
  <c r="K6" i="4" s="1"/>
  <c r="L6" i="4" s="1"/>
  <c r="G41" i="4"/>
  <c r="H41" i="4" s="1"/>
  <c r="I41" i="4" s="1"/>
  <c r="J41" i="4" s="1"/>
  <c r="K41" i="4" s="1"/>
  <c r="L41" i="4" s="1"/>
  <c r="G18" i="4"/>
  <c r="H18" i="4" s="1"/>
  <c r="I18" i="4" s="1"/>
  <c r="J18" i="4" s="1"/>
  <c r="K18" i="4" s="1"/>
  <c r="L18" i="4" s="1"/>
  <c r="G61" i="4"/>
  <c r="G32" i="4"/>
  <c r="H32" i="4" s="1"/>
  <c r="I32" i="4" s="1"/>
  <c r="J32" i="4" s="1"/>
  <c r="K32" i="4" s="1"/>
  <c r="L32" i="4" s="1"/>
  <c r="G22" i="4"/>
  <c r="H22" i="4" s="1"/>
  <c r="I22" i="4" s="1"/>
  <c r="J22" i="4" s="1"/>
  <c r="K22" i="4" s="1"/>
  <c r="L22" i="4" s="1"/>
  <c r="G47" i="4"/>
  <c r="G8" i="4"/>
  <c r="H8" i="4" s="1"/>
  <c r="I8" i="4" s="1"/>
  <c r="J8" i="4" s="1"/>
  <c r="K8" i="4" s="1"/>
  <c r="L8" i="4" s="1"/>
  <c r="G28" i="4"/>
  <c r="H28" i="4" s="1"/>
  <c r="I28" i="4" s="1"/>
  <c r="J28" i="4" s="1"/>
  <c r="K28" i="4" s="1"/>
  <c r="L28" i="4" s="1"/>
  <c r="G65" i="4"/>
  <c r="H65" i="4" s="1"/>
  <c r="I65" i="4" s="1"/>
  <c r="J65" i="4" s="1"/>
  <c r="K65" i="4" s="1"/>
  <c r="L65" i="4" s="1"/>
  <c r="G10" i="4"/>
  <c r="G20" i="4"/>
  <c r="H20" i="4" s="1"/>
  <c r="I20" i="4" s="1"/>
  <c r="J20" i="4" s="1"/>
  <c r="K20" i="4" s="1"/>
  <c r="L20" i="4" s="1"/>
  <c r="G43" i="4"/>
  <c r="H43" i="4" s="1"/>
  <c r="I43" i="4" s="1"/>
  <c r="J43" i="4" s="1"/>
  <c r="K43" i="4" s="1"/>
  <c r="L43" i="4" s="1"/>
  <c r="G53" i="6"/>
  <c r="G8" i="15"/>
  <c r="G5" i="34"/>
  <c r="G14" i="4"/>
  <c r="G37" i="4"/>
  <c r="G58" i="6"/>
  <c r="G59" i="6" s="1"/>
  <c r="G6" i="9"/>
  <c r="G8" i="9" s="1"/>
  <c r="G7" i="16"/>
  <c r="G8" i="16" s="1"/>
  <c r="G7" i="17"/>
  <c r="G8" i="17" s="1"/>
  <c r="G63" i="6"/>
  <c r="G64" i="6" s="1"/>
  <c r="G16" i="6"/>
  <c r="G18" i="6" s="1"/>
  <c r="F5" i="41"/>
  <c r="F5" i="40"/>
  <c r="F38" i="4"/>
  <c r="F6" i="34"/>
  <c r="G12" i="4"/>
  <c r="I36" i="4" l="1"/>
  <c r="H35" i="4"/>
  <c r="H42" i="5" s="1"/>
  <c r="I53" i="4"/>
  <c r="H52" i="4"/>
  <c r="I30" i="4"/>
  <c r="J30" i="4" s="1"/>
  <c r="K30" i="4" s="1"/>
  <c r="L30" i="4" s="1"/>
  <c r="H29" i="4"/>
  <c r="H23" i="5" s="1"/>
  <c r="I62" i="4"/>
  <c r="J63" i="4"/>
  <c r="K63" i="4" s="1"/>
  <c r="L63" i="4" s="1"/>
  <c r="H17" i="4"/>
  <c r="H40" i="5" s="1"/>
  <c r="H48" i="4"/>
  <c r="H40" i="4"/>
  <c r="H56" i="4"/>
  <c r="H50" i="4"/>
  <c r="H58" i="4"/>
  <c r="H23" i="4"/>
  <c r="L80" i="4"/>
  <c r="L74" i="4" s="1"/>
  <c r="K74" i="4"/>
  <c r="H62" i="4"/>
  <c r="H15" i="4"/>
  <c r="H39" i="5" s="1"/>
  <c r="H64" i="4"/>
  <c r="I75" i="4"/>
  <c r="I27" i="4"/>
  <c r="I22" i="5" s="1"/>
  <c r="I42" i="4"/>
  <c r="J30" i="5" s="1"/>
  <c r="I29" i="4"/>
  <c r="I23" i="5" s="1"/>
  <c r="I48" i="4"/>
  <c r="I31" i="4"/>
  <c r="I23" i="4"/>
  <c r="I19" i="4"/>
  <c r="I64" i="4"/>
  <c r="I56" i="4"/>
  <c r="I50" i="4"/>
  <c r="J32" i="5" s="1"/>
  <c r="I40" i="4"/>
  <c r="I66" i="4"/>
  <c r="I58" i="4"/>
  <c r="I25" i="4"/>
  <c r="I21" i="5" s="1"/>
  <c r="I21" i="4"/>
  <c r="I35" i="3" s="1"/>
  <c r="I17" i="4"/>
  <c r="I40" i="5" s="1"/>
  <c r="I10" i="4"/>
  <c r="H68" i="4"/>
  <c r="I69" i="4"/>
  <c r="I15" i="4"/>
  <c r="I39" i="5" s="1"/>
  <c r="J16" i="4"/>
  <c r="H42" i="4"/>
  <c r="H66" i="4"/>
  <c r="H19" i="4"/>
  <c r="H41" i="5" s="1"/>
  <c r="H21" i="4"/>
  <c r="H31" i="4"/>
  <c r="H24" i="5" s="1"/>
  <c r="J75" i="4"/>
  <c r="J48" i="4"/>
  <c r="J31" i="4"/>
  <c r="J23" i="4"/>
  <c r="J19" i="4"/>
  <c r="J41" i="5" s="1"/>
  <c r="J64" i="4"/>
  <c r="J56" i="4"/>
  <c r="J50" i="4"/>
  <c r="J40" i="4"/>
  <c r="J27" i="4"/>
  <c r="J22" i="5" s="1"/>
  <c r="J66" i="4"/>
  <c r="J58" i="4"/>
  <c r="J25" i="4"/>
  <c r="J21" i="4"/>
  <c r="J35" i="3" s="1"/>
  <c r="J17" i="4"/>
  <c r="J40" i="5" s="1"/>
  <c r="J42" i="4"/>
  <c r="J29" i="4"/>
  <c r="J23" i="5" s="1"/>
  <c r="J10" i="4"/>
  <c r="G5" i="40"/>
  <c r="G38" i="4"/>
  <c r="G5" i="41"/>
  <c r="G6" i="34"/>
  <c r="L21" i="4" l="1"/>
  <c r="L35" i="3" s="1"/>
  <c r="L75" i="4"/>
  <c r="L66" i="4"/>
  <c r="L64" i="4"/>
  <c r="L62" i="4"/>
  <c r="L50" i="4"/>
  <c r="L48" i="4"/>
  <c r="L27" i="4"/>
  <c r="L22" i="5" s="1"/>
  <c r="L19" i="4"/>
  <c r="L58" i="4"/>
  <c r="L25" i="4"/>
  <c r="L56" i="4"/>
  <c r="L40" i="4"/>
  <c r="L31" i="3" s="1"/>
  <c r="L31" i="4"/>
  <c r="L42" i="4"/>
  <c r="L17" i="4"/>
  <c r="L23" i="4"/>
  <c r="L29" i="4"/>
  <c r="L10" i="4"/>
  <c r="J15" i="4"/>
  <c r="J39" i="5" s="1"/>
  <c r="K16" i="4"/>
  <c r="L16" i="4" s="1"/>
  <c r="L15" i="4" s="1"/>
  <c r="J13" i="5"/>
  <c r="J12" i="5"/>
  <c r="I24" i="5"/>
  <c r="H33" i="4"/>
  <c r="H34" i="4" s="1"/>
  <c r="H20" i="5"/>
  <c r="H29" i="5"/>
  <c r="H31" i="3"/>
  <c r="I29" i="5"/>
  <c r="I52" i="4"/>
  <c r="J53" i="4"/>
  <c r="J46" i="5"/>
  <c r="J8" i="5"/>
  <c r="J36" i="3"/>
  <c r="K16" i="5"/>
  <c r="H30" i="5"/>
  <c r="I30" i="5"/>
  <c r="H18" i="5"/>
  <c r="I20" i="5"/>
  <c r="I33" i="4"/>
  <c r="I34" i="4" s="1"/>
  <c r="H16" i="5"/>
  <c r="I16" i="5"/>
  <c r="H12" i="5"/>
  <c r="I12" i="5"/>
  <c r="H33" i="5"/>
  <c r="I33" i="5"/>
  <c r="J21" i="5"/>
  <c r="H35" i="3"/>
  <c r="J20" i="5"/>
  <c r="J33" i="4"/>
  <c r="J34" i="4" s="1"/>
  <c r="J17" i="5"/>
  <c r="J16" i="5"/>
  <c r="J31" i="5"/>
  <c r="H15" i="5"/>
  <c r="I15" i="5"/>
  <c r="H13" i="5"/>
  <c r="I13" i="5"/>
  <c r="I31" i="5"/>
  <c r="H31" i="5"/>
  <c r="J31" i="3"/>
  <c r="K29" i="5"/>
  <c r="J62" i="4"/>
  <c r="K17" i="5"/>
  <c r="J24" i="5"/>
  <c r="H17" i="5"/>
  <c r="I17" i="5"/>
  <c r="J69" i="4"/>
  <c r="I68" i="4"/>
  <c r="I18" i="5" s="1"/>
  <c r="I8" i="5"/>
  <c r="I36" i="3"/>
  <c r="I46" i="5"/>
  <c r="I31" i="3"/>
  <c r="J29" i="5"/>
  <c r="I41" i="5"/>
  <c r="I11" i="4"/>
  <c r="I13" i="4" s="1"/>
  <c r="K27" i="4"/>
  <c r="K22" i="5" s="1"/>
  <c r="K19" i="4"/>
  <c r="K41" i="5" s="1"/>
  <c r="K25" i="4"/>
  <c r="K21" i="5" s="1"/>
  <c r="K17" i="4"/>
  <c r="K40" i="5" s="1"/>
  <c r="K40" i="4"/>
  <c r="K31" i="4"/>
  <c r="K24" i="5" s="1"/>
  <c r="K75" i="4"/>
  <c r="K21" i="4"/>
  <c r="K35" i="3" s="1"/>
  <c r="K23" i="4"/>
  <c r="K20" i="5" s="1"/>
  <c r="K64" i="4"/>
  <c r="K56" i="4"/>
  <c r="K50" i="4"/>
  <c r="L32" i="5" s="1"/>
  <c r="K15" i="4"/>
  <c r="K39" i="5" s="1"/>
  <c r="K66" i="4"/>
  <c r="L17" i="5" s="1"/>
  <c r="K58" i="4"/>
  <c r="L13" i="5" s="1"/>
  <c r="K42" i="4"/>
  <c r="K30" i="5" s="1"/>
  <c r="K29" i="4"/>
  <c r="K62" i="4"/>
  <c r="L15" i="5" s="1"/>
  <c r="K48" i="4"/>
  <c r="L31" i="5" s="1"/>
  <c r="K10" i="4"/>
  <c r="H32" i="5"/>
  <c r="I32" i="5"/>
  <c r="I35" i="4"/>
  <c r="I42" i="5" s="1"/>
  <c r="J36" i="4"/>
  <c r="I14" i="4" l="1"/>
  <c r="I37" i="4"/>
  <c r="I38" i="4" s="1"/>
  <c r="H36" i="3"/>
  <c r="H46" i="5"/>
  <c r="H47" i="5" s="1"/>
  <c r="H8" i="5"/>
  <c r="L16" i="5"/>
  <c r="I47" i="5"/>
  <c r="K69" i="4"/>
  <c r="J68" i="4"/>
  <c r="K13" i="5"/>
  <c r="J32" i="3"/>
  <c r="J7" i="5"/>
  <c r="J10" i="5" s="1"/>
  <c r="J33" i="3"/>
  <c r="K32" i="5"/>
  <c r="L23" i="5"/>
  <c r="L24" i="5"/>
  <c r="L21" i="5"/>
  <c r="L12" i="5"/>
  <c r="J18" i="5"/>
  <c r="K33" i="4"/>
  <c r="K34" i="4" s="1"/>
  <c r="K23" i="5"/>
  <c r="K31" i="3"/>
  <c r="L29" i="5"/>
  <c r="K15" i="5"/>
  <c r="J15" i="5"/>
  <c r="H35" i="5"/>
  <c r="L39" i="5"/>
  <c r="L33" i="4"/>
  <c r="L20" i="5"/>
  <c r="L7" i="5"/>
  <c r="L32" i="3"/>
  <c r="L33" i="3"/>
  <c r="K53" i="4"/>
  <c r="J52" i="4"/>
  <c r="H44" i="4"/>
  <c r="H7" i="5"/>
  <c r="H10" i="5" s="1"/>
  <c r="H32" i="3"/>
  <c r="H33" i="3"/>
  <c r="K36" i="4"/>
  <c r="J35" i="4"/>
  <c r="L30" i="5"/>
  <c r="K36" i="3"/>
  <c r="K46" i="5"/>
  <c r="K8" i="5"/>
  <c r="I7" i="5"/>
  <c r="I10" i="5" s="1"/>
  <c r="I32" i="3"/>
  <c r="I33" i="3"/>
  <c r="K12" i="5"/>
  <c r="H11" i="4"/>
  <c r="H13" i="4" s="1"/>
  <c r="K31" i="5"/>
  <c r="I35" i="5"/>
  <c r="L40" i="5"/>
  <c r="L41" i="5"/>
  <c r="L36" i="3"/>
  <c r="L46" i="5"/>
  <c r="L8" i="5"/>
  <c r="I37" i="3" l="1"/>
  <c r="I34" i="3"/>
  <c r="L53" i="4"/>
  <c r="L52" i="4" s="1"/>
  <c r="K52" i="4"/>
  <c r="L10" i="5"/>
  <c r="H34" i="3"/>
  <c r="H37" i="3"/>
  <c r="J42" i="5"/>
  <c r="J47" i="5" s="1"/>
  <c r="J11" i="4"/>
  <c r="J13" i="4" s="1"/>
  <c r="L37" i="3"/>
  <c r="L34" i="3"/>
  <c r="K32" i="3"/>
  <c r="K7" i="5"/>
  <c r="K10" i="5" s="1"/>
  <c r="K33" i="3"/>
  <c r="J37" i="3"/>
  <c r="J34" i="3"/>
  <c r="K18" i="5"/>
  <c r="K33" i="5"/>
  <c r="K35" i="5" s="1"/>
  <c r="J33" i="5"/>
  <c r="J35" i="5" s="1"/>
  <c r="H14" i="4"/>
  <c r="H37" i="4"/>
  <c r="H38" i="4" s="1"/>
  <c r="L36" i="4"/>
  <c r="L35" i="4" s="1"/>
  <c r="K35" i="4"/>
  <c r="I44" i="4"/>
  <c r="H45" i="4"/>
  <c r="H46" i="4"/>
  <c r="L34" i="4"/>
  <c r="L69" i="4"/>
  <c r="L68" i="4" s="1"/>
  <c r="K68" i="4"/>
  <c r="J14" i="4" l="1"/>
  <c r="J37" i="4"/>
  <c r="J38" i="4" s="1"/>
  <c r="L18" i="5"/>
  <c r="L42" i="5"/>
  <c r="L47" i="5" s="1"/>
  <c r="K37" i="4"/>
  <c r="K38" i="4" s="1"/>
  <c r="K42" i="5"/>
  <c r="K47" i="5" s="1"/>
  <c r="K11" i="4"/>
  <c r="K13" i="4" s="1"/>
  <c r="K14" i="4" s="1"/>
  <c r="J38" i="3"/>
  <c r="J41" i="3"/>
  <c r="I38" i="3"/>
  <c r="I41" i="3"/>
  <c r="H47" i="4"/>
  <c r="H54" i="4"/>
  <c r="H55" i="4" s="1"/>
  <c r="L11" i="4"/>
  <c r="L13" i="4" s="1"/>
  <c r="L14" i="4" s="1"/>
  <c r="J44" i="4"/>
  <c r="I45" i="4"/>
  <c r="I46" i="4"/>
  <c r="K34" i="3"/>
  <c r="K37" i="3"/>
  <c r="L38" i="3"/>
  <c r="L41" i="3"/>
  <c r="H41" i="3"/>
  <c r="H38" i="3"/>
  <c r="L33" i="5"/>
  <c r="L35" i="5" s="1"/>
  <c r="K38" i="3" l="1"/>
  <c r="K41" i="3"/>
  <c r="J45" i="3"/>
  <c r="J42" i="3"/>
  <c r="K44" i="4"/>
  <c r="J45" i="4"/>
  <c r="J46" i="4"/>
  <c r="H45" i="3"/>
  <c r="H42" i="3"/>
  <c r="L45" i="3"/>
  <c r="L42" i="3"/>
  <c r="I47" i="4"/>
  <c r="I54" i="4"/>
  <c r="I55" i="4" s="1"/>
  <c r="I45" i="3"/>
  <c r="I42" i="3"/>
  <c r="L37" i="4"/>
  <c r="L38" i="4" s="1"/>
  <c r="J54" i="4" l="1"/>
  <c r="J55" i="4" s="1"/>
  <c r="J47" i="4"/>
  <c r="J47" i="3"/>
  <c r="J5" i="5"/>
  <c r="J46" i="3"/>
  <c r="I47" i="3"/>
  <c r="I46" i="3"/>
  <c r="I5" i="5"/>
  <c r="K42" i="3"/>
  <c r="K45" i="3"/>
  <c r="H47" i="3"/>
  <c r="H5" i="5"/>
  <c r="H49" i="3"/>
  <c r="H46" i="3"/>
  <c r="L47" i="3"/>
  <c r="L49" i="3"/>
  <c r="L46" i="3"/>
  <c r="L5" i="5"/>
  <c r="K45" i="4"/>
  <c r="L44" i="4"/>
  <c r="K46" i="4"/>
  <c r="K47" i="4" l="1"/>
  <c r="K54" i="4"/>
  <c r="K55" i="4" s="1"/>
  <c r="H55" i="3"/>
  <c r="H56" i="3" s="1"/>
  <c r="H50" i="3"/>
  <c r="I48" i="3"/>
  <c r="I26" i="5"/>
  <c r="J26" i="5"/>
  <c r="J27" i="5" s="1"/>
  <c r="J48" i="5" s="1"/>
  <c r="J48" i="3"/>
  <c r="L55" i="3"/>
  <c r="L56" i="3" s="1"/>
  <c r="L50" i="3"/>
  <c r="I27" i="5"/>
  <c r="I48" i="5" s="1"/>
  <c r="J49" i="3"/>
  <c r="K47" i="3"/>
  <c r="K46" i="3"/>
  <c r="K5" i="5"/>
  <c r="K49" i="3"/>
  <c r="L46" i="4"/>
  <c r="L45" i="4"/>
  <c r="L26" i="5"/>
  <c r="L27" i="5" s="1"/>
  <c r="L48" i="5" s="1"/>
  <c r="L48" i="3"/>
  <c r="H48" i="3"/>
  <c r="H26" i="5"/>
  <c r="H27" i="5" s="1"/>
  <c r="H48" i="5" s="1"/>
  <c r="H70" i="4" s="1"/>
  <c r="I49" i="3"/>
  <c r="H71" i="4" l="1"/>
  <c r="H72" i="4"/>
  <c r="H73" i="4" s="1"/>
  <c r="J70" i="4"/>
  <c r="I70" i="4"/>
  <c r="L47" i="4"/>
  <c r="L54" i="4"/>
  <c r="L55" i="4" s="1"/>
  <c r="K26" i="5"/>
  <c r="K27" i="5" s="1"/>
  <c r="K48" i="5" s="1"/>
  <c r="K70" i="4" s="1"/>
  <c r="K48" i="3"/>
  <c r="K50" i="3"/>
  <c r="K55" i="3"/>
  <c r="K56" i="3" s="1"/>
  <c r="I50" i="3"/>
  <c r="I55" i="3"/>
  <c r="I56" i="3" s="1"/>
  <c r="J55" i="3"/>
  <c r="J56" i="3" s="1"/>
  <c r="J50" i="3"/>
  <c r="K71" i="4" l="1"/>
  <c r="K72" i="4"/>
  <c r="K73" i="4" s="1"/>
  <c r="L70" i="4"/>
  <c r="J71" i="4"/>
  <c r="J72" i="4"/>
  <c r="J73" i="4" s="1"/>
  <c r="I71" i="4"/>
  <c r="I72" i="4"/>
  <c r="I73" i="4" s="1"/>
  <c r="L71" i="4" l="1"/>
  <c r="L72" i="4"/>
  <c r="L73" i="4" s="1"/>
</calcChain>
</file>

<file path=xl/sharedStrings.xml><?xml version="1.0" encoding="utf-8"?>
<sst xmlns="http://schemas.openxmlformats.org/spreadsheetml/2006/main" count="720" uniqueCount="288">
  <si>
    <t>Balance Sheet of Reliance Industries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</si>
  <si>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</si>
  <si>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</si>
  <si>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</si>
  <si>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</si>
  <si>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</si>
  <si>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</si>
  <si>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</si>
  <si>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</si>
  <si>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</si>
  <si>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</si>
  <si>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</si>
  <si>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</si>
  <si>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</si>
  <si>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</si>
  <si>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</si>
  <si>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</si>
  <si>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</si>
  <si>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</si>
  <si>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</si>
  <si>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</si>
  <si>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</si>
  <si>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</si>
  <si>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</si>
  <si>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</si>
  <si>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</si>
  <si>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</si>
  <si>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</si>
  <si>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</si>
  <si>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</si>
  <si>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</si>
  <si>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</si>
  <si>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</si>
  <si>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</si>
  <si>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</si>
  <si>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</si>
  <si>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</si>
  <si>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</si>
  <si>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</si>
  <si>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</si>
  <si>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</si>
  <si>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</si>
  <si>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</si>
  <si>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</si>
  <si>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</si>
  <si>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</si>
  <si>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</si>
  <si>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</si>
  <si>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</si>
  <si>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</si>
  <si>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</si>
  <si>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</si>
  <si>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</si>
  <si>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</si>
  <si>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</si>
  <si>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Reliance Industries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</si>
  <si>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</si>
  <si>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</si>
  <si>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</si>
  <si>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</si>
  <si>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</si>
  <si>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</si>
  <si>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</si>
  <si>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</si>
  <si>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</si>
  <si>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</si>
  <si>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</si>
  <si>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</si>
  <si>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</si>
  <si>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</si>
  <si>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</si>
  <si>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</si>
  <si>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</si>
  <si>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</si>
  <si>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</si>
  <si>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</si>
  <si>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</si>
  <si>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</si>
  <si>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</si>
  <si>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</si>
  <si>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</si>
  <si>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</si>
  <si>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</si>
  <si>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</si>
  <si>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</si>
  <si>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</si>
  <si>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</si>
  <si>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</si>
  <si>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</si>
  <si>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</si>
  <si>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</si>
  <si>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</si>
  <si>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</si>
  <si>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</si>
  <si>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</si>
  <si>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</si>
  <si>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</si>
  <si>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</si>
  <si>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</si>
  <si>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</si>
  <si>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</si>
  <si>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</si>
  <si>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</si>
  <si>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</si>
  <si>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</si>
  <si>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</si>
  <si>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</si>
  <si>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</si>
  <si>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</si>
  <si>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</si>
  <si>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</si>
  <si>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</si>
  <si>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</si>
  <si>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</si>
  <si>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</si>
  <si>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</si>
  <si>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</si>
  <si>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</si>
  <si>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</si>
  <si>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</si>
  <si>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</si>
  <si>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</si>
  <si>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</si>
  <si>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</si>
  <si>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</si>
  <si>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</si>
  <si>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</si>
  <si>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</si>
  <si>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</si>
  <si>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</si>
  <si>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</si>
  <si>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</si>
  <si>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</si>
  <si>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</si>
  <si>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</si>
  <si>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</si>
  <si>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</si>
  <si>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</si>
  <si>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</si>
  <si>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</si>
  <si>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</si>
  <si>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</si>
  <si>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</si>
  <si>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</si>
  <si>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</si>
  <si>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</si>
  <si>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</si>
  <si>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</si>
  <si>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</si>
  <si>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</si>
  <si>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</si>
  <si>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</si>
  <si>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</si>
  <si>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</si>
  <si>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</si>
  <si>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</si>
  <si>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</si>
  <si>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</si>
  <si>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</si>
  <si>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</si>
  <si>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</si>
  <si>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</si>
  <si>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</si>
  <si>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</si>
  <si>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</si>
  <si>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</si>
  <si>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</si>
  <si>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</si>
  <si>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</si>
  <si>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</si>
  <si>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</si>
  <si>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</si>
  <si>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</si>
  <si>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</si>
  <si>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</si>
  <si>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</si>
  <si>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</si>
  <si>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</si>
  <si>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</si>
  <si>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</si>
  <si>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</si>
  <si>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</si>
  <si>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</si>
  <si>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</si>
  <si>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</si>
  <si>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</si>
  <si>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</si>
  <si>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</si>
  <si>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</si>
  <si>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</si>
  <si>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</si>
  <si>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</si>
  <si>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</si>
  <si>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</si>
  <si>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</si>
  <si>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</si>
  <si>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</si>
  <si>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</si>
  <si>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</si>
  <si>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</si>
  <si>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</si>
  <si>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</si>
  <si>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</si>
  <si>
    <t>Equity Share Capital % in Assets</t>
  </si>
  <si>
    <t>Preference Share Capital % in Assets</t>
  </si>
  <si>
    <t>Total Share Capital % in Assets</t>
  </si>
  <si>
    <t>Reserves and Surplus % in Assets</t>
  </si>
  <si>
    <t>Net Worth % in Assets</t>
  </si>
  <si>
    <t>Long Term Borrowings % in Assets</t>
  </si>
  <si>
    <t>Deferred Tax Liabilities [Net] % in Assets</t>
  </si>
  <si>
    <t>Short Term Borrowings % in Assets</t>
  </si>
  <si>
    <t>Total Debt % in Assets</t>
  </si>
  <si>
    <t>Long Term Provisions % in Assets</t>
  </si>
  <si>
    <t>Short Term Provisions % in Assets</t>
  </si>
  <si>
    <t>Other Long Term Liabilities % in Assets</t>
  </si>
  <si>
    <t>Trade Payables % in Assets</t>
  </si>
  <si>
    <t>Other Current Liabilities % in Assets</t>
  </si>
  <si>
    <t>Total Current Liabilities % in Assets</t>
  </si>
  <si>
    <t>Minority Interest % in Assets</t>
  </si>
  <si>
    <t>Total Liabilities % in Assets</t>
  </si>
  <si>
    <t>Tangible Assets % in Assets</t>
  </si>
  <si>
    <t>Intangible Assets % in Assets</t>
  </si>
  <si>
    <t>Depreciation % in Assets</t>
  </si>
  <si>
    <t>Net Assets % in Assets</t>
  </si>
  <si>
    <t>Non-Current Investments % in Assets</t>
  </si>
  <si>
    <t>Current Investments % in Assets</t>
  </si>
  <si>
    <t>Capital Work-In-Progress % in Assets</t>
  </si>
  <si>
    <t>Total Non Current Assets % in Assets</t>
  </si>
  <si>
    <t>Deferred Tax Assets [Net] % in Assets</t>
  </si>
  <si>
    <t>Long Term Loans And Advances % in Assets</t>
  </si>
  <si>
    <t>Other Non-Current Assets % in Assets</t>
  </si>
  <si>
    <t>Short Term Loans And Advances % in Assets</t>
  </si>
  <si>
    <t>OtherCurrentAssets % in Assets</t>
  </si>
  <si>
    <t>Inventories % in Assets</t>
  </si>
  <si>
    <t>Trade Receivables % in Assets</t>
  </si>
  <si>
    <t>Cash And Cash Equivalents % in Assets</t>
  </si>
  <si>
    <t>Total Current Assets % in Assets</t>
  </si>
  <si>
    <t>Total Assets % in Assets</t>
  </si>
  <si>
    <t>Gross Sales % in Gross Sales</t>
  </si>
  <si>
    <t>Excise Duty % in Gross Sales</t>
  </si>
  <si>
    <t>Net Sales % in Gross Sales</t>
  </si>
  <si>
    <t>Other Income % in Gross Sales</t>
  </si>
  <si>
    <t>Stock Adjustments % in Gross Sales</t>
  </si>
  <si>
    <t>Total Income % in Gross Sales</t>
  </si>
  <si>
    <t>Cost Of Materials Consumed % in Gross Sales</t>
  </si>
  <si>
    <t>Operating And Direct Expenses % in Gross Sales</t>
  </si>
  <si>
    <t>Employee Benefit Expenses % in Gross Sales</t>
  </si>
  <si>
    <t>Other Expenses % in Gross Sales</t>
  </si>
  <si>
    <t>Total Expenditure % in Gross Sales</t>
  </si>
  <si>
    <t>Operating Profit % in Gross Sales</t>
  </si>
  <si>
    <t>PBDIT % in Gross Sales</t>
  </si>
  <si>
    <t>Depreciation And Amortisation Expenses % in Gross Sales</t>
  </si>
  <si>
    <t>PBIT % in Gross Sales</t>
  </si>
  <si>
    <t>Finance Costs % in Gross Sales</t>
  </si>
  <si>
    <t>Profit Before share of Associates % in Gross Sales</t>
  </si>
  <si>
    <t>Share Of Profit/Loss Of Associates % in Gross Sales</t>
  </si>
  <si>
    <t>PBT % in Gross Sales</t>
  </si>
  <si>
    <t>Exceptional Items % in Gross Sales</t>
  </si>
  <si>
    <t>PBT(Post Extra Ordinary Items) % in Gross Sales</t>
  </si>
  <si>
    <t>Total Tax Expenses % in Gross Sales</t>
  </si>
  <si>
    <t>Reported Net Profit(PAT) % in Gross Sales</t>
  </si>
  <si>
    <t>Equity Share Dividend % in Gross Sales</t>
  </si>
  <si>
    <t>Tax On Dividend % in Gross Sales</t>
  </si>
  <si>
    <t>Amount C\F to Balance Sheet % in Gross Sales</t>
  </si>
  <si>
    <t xml:space="preserve">      ForeCasting</t>
  </si>
  <si>
    <t>TotalAssets TurnOver</t>
  </si>
  <si>
    <t>DepreciationForeCasting</t>
  </si>
  <si>
    <t>InterestForeCasting</t>
  </si>
  <si>
    <t>TaxRateForeCasting</t>
  </si>
  <si>
    <t>DividendTaxRateForeCasting</t>
  </si>
  <si>
    <t>BSInput</t>
  </si>
  <si>
    <t>Back To Index</t>
  </si>
  <si>
    <t>ISMInput</t>
  </si>
  <si>
    <t>Ratios</t>
  </si>
  <si>
    <t>NetWorthVsTotalLiabilties</t>
  </si>
  <si>
    <t>PBDITvsPBIT</t>
  </si>
  <si>
    <t>CAvsCL</t>
  </si>
  <si>
    <t>TotalExpenditureVsTotalIncome</t>
  </si>
  <si>
    <t>Long And Short Term Provisions</t>
  </si>
  <si>
    <t>MaterialConsumed DirectExpenses</t>
  </si>
  <si>
    <t>Gross Sales In Total Income</t>
  </si>
  <si>
    <t>Total Debt In Liabilities</t>
  </si>
  <si>
    <t>Total CL In Liabilities</t>
  </si>
  <si>
    <t>Total NCA In Assets</t>
  </si>
  <si>
    <t>Total CA In Assets</t>
  </si>
  <si>
    <t>Net Profit CF To Balance Sheet</t>
  </si>
  <si>
    <t>BS Backup</t>
  </si>
  <si>
    <t>ISM Backup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</si>
</sst>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13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  <font>
      <sz val="11"/>
      <color indexed="16"/>
      <name val="Century"/>
      <family val="1"/>
    </font>
    <font>
      <b/>
      <sz val="11"/>
      <color indexed="16"/>
      <name val="Century"/>
      <family val="1"/>
    </font>
    <font>
      <b/>
      <sz val="11"/>
      <color indexed="18"/>
      <name val="Century"/>
      <family val="1"/>
    </font>
    <font>
      <u/>
      <sz val="11"/>
      <color theme="10"/>
      <name val="Calibri"/>
      <family val="2"/>
      <scheme val="minor"/>
    </font>
    <font>
      <sz val="11"/>
      <color indexed="3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8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10" fontId="7" fillId="0" borderId="0" xfId="0" applyNumberFormat="1" applyFont="1"/>
    <xf numFmtId="164" fontId="7" fillId="0" borderId="0" xfId="0" applyNumberFormat="1" applyFont="1"/>
    <xf numFmtId="0" fontId="8" fillId="0" borderId="0" xfId="0" applyFont="1" applyAlignment="1">
      <alignment horizontal="left"/>
    </xf>
    <xf numFmtId="10" fontId="8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0" fontId="10" fillId="0" borderId="0" xfId="0" applyNumberFormat="1" applyFont="1" applyAlignment="1">
      <alignment horizontal="right"/>
    </xf>
    <xf numFmtId="10" fontId="9" fillId="0" borderId="0" xfId="0" applyNumberFormat="1" applyFont="1" applyAlignment="1">
      <alignment horizontal="right"/>
    </xf>
    <xf numFmtId="0" fontId="3" fillId="6" borderId="0" xfId="0" applyFont="1" applyFill="1" applyAlignment="1">
      <alignment horizontal="center"/>
    </xf>
    <xf numFmtId="10" fontId="0" fillId="0" borderId="0" xfId="0" applyNumberFormat="1"/>
    <xf numFmtId="4" fontId="1" fillId="8" borderId="0" xfId="0" applyNumberFormat="1" applyFont="1" applyFill="1" applyAlignment="1">
      <alignment horizontal="right"/>
    </xf>
    <xf numFmtId="10" fontId="8" fillId="8" borderId="0" xfId="0" applyNumberFormat="1" applyFont="1" applyFill="1" applyAlignment="1">
      <alignment horizontal="right"/>
    </xf>
    <xf numFmtId="0" fontId="1" fillId="8" borderId="0" xfId="0" applyFont="1" applyFill="1" applyAlignment="1">
      <alignment horizontal="right"/>
    </xf>
    <xf numFmtId="4" fontId="2" fillId="8" borderId="0" xfId="0" applyNumberFormat="1" applyFont="1" applyFill="1" applyAlignment="1">
      <alignment horizontal="right"/>
    </xf>
    <xf numFmtId="10" fontId="10" fillId="8" borderId="0" xfId="0" applyNumberFormat="1" applyFont="1" applyFill="1" applyAlignment="1">
      <alignment horizontal="right"/>
    </xf>
    <xf numFmtId="10" fontId="9" fillId="8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7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5" borderId="0" xfId="0" applyFont="1" applyFill="1" applyAlignment="1">
      <alignment horizontal="center" vertical="center"/>
    </xf>
    <xf numFmtId="0" fontId="11" fillId="0" borderId="0" xfId="1"/>
    <xf numFmtId="0" fontId="0" fillId="0" borderId="0" xfId="0" applyFont="1"/>
    <xf numFmtId="0" fontId="12" fillId="0" borderId="0" xfId="1" applyFont="1"/>
    <xf numFmtId="0" fontId="1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B79-4E16-AFD1-0B3BD9500B2B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B79-4E16-AFD1-0B3BD9500B2B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B79-4E16-AFD1-0B3BD9500B2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Earning__Per_Share!$C$3:$G$3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Earning__Per_Share!$C$8:$G$8</c:f>
              <c:numCache>
                <c:formatCode>General</c:formatCode>
                <c:ptCount val="5"/>
                <c:pt idx="0">
                  <c:v>61</c:v>
                </c:pt>
                <c:pt idx="1">
                  <c:v>67</c:v>
                </c:pt>
                <c:pt idx="2">
                  <c:v>63</c:v>
                </c:pt>
                <c:pt idx="3">
                  <c:v>76</c:v>
                </c:pt>
                <c:pt idx="4">
                  <c:v>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B79-4E16-AFD1-0B3BD9500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2648"/>
        <c:axId val="446764128"/>
      </c:lineChart>
      <c:catAx>
        <c:axId val="446752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64128"/>
        <c:crosses val="autoZero"/>
        <c:auto val="0"/>
        <c:lblAlgn val="ctr"/>
        <c:lblOffset val="100"/>
        <c:noMultiLvlLbl val="0"/>
      </c:catAx>
      <c:valAx>
        <c:axId val="446764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26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F12-4A04-982E-12D9669FD3F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F12-4A04-982E-12D9669FD3F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Return_On_Equity!$C$3:$G$3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Return_On_Equity!$C$8:$G$8</c:f>
              <c:numCache>
                <c:formatCode>0.00%</c:formatCode>
                <c:ptCount val="5"/>
                <c:pt idx="0">
                  <c:v>0.16</c:v>
                </c:pt>
                <c:pt idx="1">
                  <c:v>0.18</c:v>
                </c:pt>
                <c:pt idx="2">
                  <c:v>0.15</c:v>
                </c:pt>
                <c:pt idx="3">
                  <c:v>0.09</c:v>
                </c:pt>
                <c:pt idx="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F12-4A04-982E-12D9669FD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766576"/>
        <c:axId val="364049648"/>
      </c:lineChart>
      <c:catAx>
        <c:axId val="44076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9648"/>
        <c:crosses val="autoZero"/>
        <c:auto val="0"/>
        <c:lblAlgn val="ctr"/>
        <c:lblOffset val="100"/>
        <c:noMultiLvlLbl val="0"/>
      </c:catAx>
      <c:valAx>
        <c:axId val="3640496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0766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22C-40AF-96FA-72249B8F83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Debt_Equity_Ratio!$C$3:$G$3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Debt_Equity_Ratio!$C$8:$G$8</c:f>
              <c:numCache>
                <c:formatCode>General</c:formatCode>
                <c:ptCount val="5"/>
                <c:pt idx="0">
                  <c:v>0.72</c:v>
                </c:pt>
                <c:pt idx="1">
                  <c:v>0.72</c:v>
                </c:pt>
                <c:pt idx="2">
                  <c:v>0.55000000000000004</c:v>
                </c:pt>
                <c:pt idx="3">
                  <c:v>0.34</c:v>
                </c:pt>
                <c:pt idx="4">
                  <c:v>0.33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22C-40AF-96FA-72249B8F8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8336"/>
        <c:axId val="364045712"/>
      </c:lineChart>
      <c:catAx>
        <c:axId val="36404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5712"/>
        <c:crosses val="autoZero"/>
        <c:auto val="0"/>
        <c:lblAlgn val="ctr"/>
        <c:lblOffset val="100"/>
        <c:noMultiLvlLbl val="0"/>
      </c:catAx>
      <c:valAx>
        <c:axId val="3640457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83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D0C-44CC-9B4F-AF166A2FCAE8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D0C-44CC-9B4F-AF166A2FCAE8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D0C-44CC-9B4F-AF166A2FCAE8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1D0C-44CC-9B4F-AF166A2FCAE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Current_Ratio!$C$3:$G$3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Current_Ratio!$C$8:$G$8</c:f>
              <c:numCache>
                <c:formatCode>General</c:formatCode>
                <c:ptCount val="5"/>
                <c:pt idx="0">
                  <c:v>0.46</c:v>
                </c:pt>
                <c:pt idx="1">
                  <c:v>1.0900000000000001</c:v>
                </c:pt>
                <c:pt idx="2">
                  <c:v>1.47</c:v>
                </c:pt>
                <c:pt idx="3">
                  <c:v>1.88</c:v>
                </c:pt>
                <c:pt idx="4">
                  <c:v>1.99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D0C-44CC-9B4F-AF166A2FC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1874008"/>
        <c:axId val="621874336"/>
      </c:lineChart>
      <c:catAx>
        <c:axId val="621874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1874336"/>
        <c:crosses val="autoZero"/>
        <c:auto val="0"/>
        <c:lblAlgn val="ctr"/>
        <c:lblOffset val="100"/>
        <c:noMultiLvlLbl val="0"/>
      </c:catAx>
      <c:valAx>
        <c:axId val="621874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18740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9F3-4F2D-BD11-18FA06B3C1D2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9F3-4F2D-BD11-18FA06B3C1D2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29F3-4F2D-BD11-18FA06B3C1D2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9F3-4F2D-BD11-18FA06B3C1D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Quick_Ratio!$C$3:$G$3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Quick_Ratio!$C$9:$G$9</c:f>
              <c:numCache>
                <c:formatCode>General</c:formatCode>
                <c:ptCount val="5"/>
                <c:pt idx="0">
                  <c:v>0.27</c:v>
                </c:pt>
                <c:pt idx="1">
                  <c:v>0.86</c:v>
                </c:pt>
                <c:pt idx="2">
                  <c:v>1.26</c:v>
                </c:pt>
                <c:pt idx="3">
                  <c:v>1.57</c:v>
                </c:pt>
                <c:pt idx="4">
                  <c:v>1.63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9F3-4F2D-BD11-18FA06B3C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3296"/>
        <c:axId val="553596576"/>
      </c:lineChart>
      <c:catAx>
        <c:axId val="55359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6576"/>
        <c:crosses val="autoZero"/>
        <c:auto val="0"/>
        <c:lblAlgn val="ctr"/>
        <c:lblOffset val="100"/>
        <c:noMultiLvlLbl val="0"/>
      </c:catAx>
      <c:valAx>
        <c:axId val="5535965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32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510-49C1-9ACA-6982334E434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Interest_Coverage_Ratio!$C$3:$G$3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Interest_Coverage_Ratio!$C$8:$G$8</c:f>
              <c:numCache>
                <c:formatCode>General</c:formatCode>
                <c:ptCount val="5"/>
                <c:pt idx="0">
                  <c:v>14.58</c:v>
                </c:pt>
                <c:pt idx="1">
                  <c:v>11.57</c:v>
                </c:pt>
                <c:pt idx="2">
                  <c:v>10.09</c:v>
                </c:pt>
                <c:pt idx="3">
                  <c:v>7.66</c:v>
                </c:pt>
                <c:pt idx="4">
                  <c:v>14.38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510-49C1-9ACA-6982334E4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1876304"/>
        <c:axId val="621876632"/>
      </c:lineChart>
      <c:catAx>
        <c:axId val="62187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1876632"/>
        <c:crosses val="autoZero"/>
        <c:auto val="0"/>
        <c:lblAlgn val="ctr"/>
        <c:lblOffset val="100"/>
        <c:noMultiLvlLbl val="0"/>
      </c:catAx>
      <c:valAx>
        <c:axId val="6218766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187630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C5A-416D-A3EA-CA3C09732E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Material_Consumed!$C$3:$G$3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Material_Consumed!$C$8:$G$8</c:f>
              <c:numCache>
                <c:formatCode>General</c:formatCode>
                <c:ptCount val="5"/>
                <c:pt idx="0">
                  <c:v>0.53</c:v>
                </c:pt>
                <c:pt idx="1">
                  <c:v>0.48</c:v>
                </c:pt>
                <c:pt idx="2">
                  <c:v>0.44</c:v>
                </c:pt>
                <c:pt idx="3">
                  <c:v>0.43</c:v>
                </c:pt>
                <c:pt idx="4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C5A-416D-A3EA-CA3C09732E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2352"/>
        <c:axId val="548322152"/>
      </c:lineChart>
      <c:catAx>
        <c:axId val="54954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2152"/>
        <c:crosses val="autoZero"/>
        <c:auto val="0"/>
        <c:lblAlgn val="ctr"/>
        <c:lblOffset val="100"/>
        <c:noMultiLvlLbl val="0"/>
      </c:catAx>
      <c:valAx>
        <c:axId val="548322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423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1C7-401A-8DF8-3A8F75BA8043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1C7-401A-8DF8-3A8F75BA804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Defensive_Interval_Ratio!$C$3:$G$3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Defensive_Interval_Ratio!$C$8:$G$8</c:f>
              <c:numCache>
                <c:formatCode>General</c:formatCode>
                <c:ptCount val="5"/>
                <c:pt idx="0">
                  <c:v>7.49</c:v>
                </c:pt>
                <c:pt idx="1">
                  <c:v>178.21</c:v>
                </c:pt>
                <c:pt idx="2">
                  <c:v>435.8</c:v>
                </c:pt>
                <c:pt idx="3">
                  <c:v>400.12</c:v>
                </c:pt>
                <c:pt idx="4">
                  <c:v>322.17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C7-401A-8DF8-3A8F75BA8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11000"/>
        <c:axId val="553513952"/>
      </c:lineChart>
      <c:catAx>
        <c:axId val="553511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13952"/>
        <c:crosses val="autoZero"/>
        <c:auto val="0"/>
        <c:lblAlgn val="ctr"/>
        <c:lblOffset val="100"/>
        <c:noMultiLvlLbl val="0"/>
      </c:catAx>
      <c:valAx>
        <c:axId val="553513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110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E8C-4D6B-9B2D-792DD53214B7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E8C-4D6B-9B2D-792DD53214B7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7E8C-4D6B-9B2D-792DD53214B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Purchases_Per_Day!$C$3:$G$3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Purchases_Per_Day!$C$8:$G$8</c:f>
              <c:numCache>
                <c:formatCode>General</c:formatCode>
                <c:ptCount val="5"/>
                <c:pt idx="0">
                  <c:v>4255</c:v>
                </c:pt>
                <c:pt idx="1">
                  <c:v>134382.92000000001</c:v>
                </c:pt>
                <c:pt idx="2">
                  <c:v>311175.84999999998</c:v>
                </c:pt>
                <c:pt idx="3">
                  <c:v>219150.75</c:v>
                </c:pt>
                <c:pt idx="4">
                  <c:v>318444.77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8C-4D6B-9B2D-792DD5321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13296"/>
        <c:axId val="627516768"/>
      </c:lineChart>
      <c:catAx>
        <c:axId val="55351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516768"/>
        <c:crosses val="autoZero"/>
        <c:auto val="0"/>
        <c:lblAlgn val="ctr"/>
        <c:lblOffset val="100"/>
        <c:noMultiLvlLbl val="0"/>
      </c:catAx>
      <c:valAx>
        <c:axId val="6275167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132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FEE-43C6-9E44-572A25057DA9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FEE-43C6-9E44-572A25057DA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Asset_TurnOver_Ratio!$C$3:$G$3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Asset_TurnOver_Ratio!$C$8:$G$8</c:f>
              <c:numCache>
                <c:formatCode>General</c:formatCode>
                <c:ptCount val="5"/>
                <c:pt idx="0">
                  <c:v>0.53</c:v>
                </c:pt>
                <c:pt idx="1">
                  <c:v>0.59</c:v>
                </c:pt>
                <c:pt idx="2">
                  <c:v>0.49</c:v>
                </c:pt>
                <c:pt idx="3">
                  <c:v>0.39</c:v>
                </c:pt>
                <c:pt idx="4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FEE-43C6-9E44-572A25057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139032"/>
        <c:axId val="453139360"/>
      </c:lineChart>
      <c:catAx>
        <c:axId val="453139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139360"/>
        <c:crosses val="autoZero"/>
        <c:auto val="0"/>
        <c:lblAlgn val="ctr"/>
        <c:lblOffset val="100"/>
        <c:noMultiLvlLbl val="0"/>
      </c:catAx>
      <c:valAx>
        <c:axId val="4531393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1390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620-49E1-BE0E-15CF3ECCE8BD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620-49E1-BE0E-15CF3ECCE8B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Inventory_TurnOver_Ratio!$C$8:$G$8</c:f>
              <c:numCache>
                <c:formatCode>General</c:formatCode>
                <c:ptCount val="5"/>
                <c:pt idx="0">
                  <c:v>7.08</c:v>
                </c:pt>
                <c:pt idx="1">
                  <c:v>9.25</c:v>
                </c:pt>
                <c:pt idx="2">
                  <c:v>8.93</c:v>
                </c:pt>
                <c:pt idx="3">
                  <c:v>6.6</c:v>
                </c:pt>
                <c:pt idx="4">
                  <c:v>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620-49E1-BE0E-15CF3ECCE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60520"/>
        <c:axId val="446760848"/>
      </c:lineChart>
      <c:catAx>
        <c:axId val="446760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60848"/>
        <c:crosses val="autoZero"/>
        <c:auto val="0"/>
        <c:lblAlgn val="ctr"/>
        <c:lblOffset val="100"/>
        <c:noMultiLvlLbl val="0"/>
      </c:catAx>
      <c:valAx>
        <c:axId val="4467608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605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213-4F6F-A520-01C7C9294B1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Equity_Dividend_Per_Share!$C$3:$G$3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Equity_Dividend_Per_Share!$C$8:$G$8</c:f>
              <c:numCache>
                <c:formatCode>General</c:formatCode>
                <c:ptCount val="5"/>
                <c:pt idx="0">
                  <c:v>2.0699999999999998</c:v>
                </c:pt>
                <c:pt idx="1">
                  <c:v>1.5</c:v>
                </c:pt>
                <c:pt idx="2">
                  <c:v>1.33</c:v>
                </c:pt>
                <c:pt idx="3">
                  <c:v>2.0499999999999998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213-4F6F-A520-01C7C9294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8880"/>
        <c:axId val="446763472"/>
      </c:lineChart>
      <c:catAx>
        <c:axId val="44675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63472"/>
        <c:crosses val="autoZero"/>
        <c:auto val="0"/>
        <c:lblAlgn val="ctr"/>
        <c:lblOffset val="100"/>
        <c:noMultiLvlLbl val="0"/>
      </c:catAx>
      <c:valAx>
        <c:axId val="4467634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88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DC4-4C1D-8833-24DA72008DF5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DC4-4C1D-8833-24DA72008DF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Debtors_TurnOver_Ratio!$C$3:$G$3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Debtors_TurnOver_Ratio!$C$8:$G$8</c:f>
              <c:numCache>
                <c:formatCode>General</c:formatCode>
                <c:ptCount val="5"/>
                <c:pt idx="0">
                  <c:v>24.54</c:v>
                </c:pt>
                <c:pt idx="1">
                  <c:v>20.78</c:v>
                </c:pt>
                <c:pt idx="2">
                  <c:v>33.58</c:v>
                </c:pt>
                <c:pt idx="3">
                  <c:v>28.36</c:v>
                </c:pt>
                <c:pt idx="4">
                  <c:v>30.53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DC4-4C1D-8833-24DA72008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5076376"/>
        <c:axId val="625077032"/>
      </c:lineChart>
      <c:catAx>
        <c:axId val="625076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077032"/>
        <c:crosses val="autoZero"/>
        <c:auto val="0"/>
        <c:lblAlgn val="ctr"/>
        <c:lblOffset val="100"/>
        <c:noMultiLvlLbl val="0"/>
      </c:catAx>
      <c:valAx>
        <c:axId val="6250770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50763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0DE-4591-8BCA-66BA357ACB7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Fixed_Assets_TurnOver_Ratio!$C$3:$G$3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Fixed_Assets_TurnOver_Ratio!$C$8:$G$8</c:f>
              <c:numCache>
                <c:formatCode>General</c:formatCode>
                <c:ptCount val="5"/>
                <c:pt idx="0">
                  <c:v>1.36</c:v>
                </c:pt>
                <c:pt idx="1">
                  <c:v>2.0699999999999998</c:v>
                </c:pt>
                <c:pt idx="2">
                  <c:v>1.51</c:v>
                </c:pt>
                <c:pt idx="3">
                  <c:v>1.2</c:v>
                </c:pt>
                <c:pt idx="4">
                  <c:v>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DE-4591-8BCA-66BA357AC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5076048"/>
        <c:axId val="625072768"/>
      </c:lineChart>
      <c:catAx>
        <c:axId val="62507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072768"/>
        <c:crosses val="autoZero"/>
        <c:auto val="0"/>
        <c:lblAlgn val="ctr"/>
        <c:lblOffset val="100"/>
        <c:noMultiLvlLbl val="0"/>
      </c:catAx>
      <c:valAx>
        <c:axId val="6250727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50760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625-4B6F-B321-F14D1E008F82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625-4B6F-B321-F14D1E008F82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3625-4B6F-B321-F14D1E008F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Payable_TurnOver_Ratio!$C$8:$G$8</c:f>
              <c:numCache>
                <c:formatCode>General</c:formatCode>
                <c:ptCount val="5"/>
                <c:pt idx="0">
                  <c:v>0.67</c:v>
                </c:pt>
                <c:pt idx="1">
                  <c:v>0.97</c:v>
                </c:pt>
                <c:pt idx="2">
                  <c:v>0.73</c:v>
                </c:pt>
                <c:pt idx="3">
                  <c:v>0.77</c:v>
                </c:pt>
                <c:pt idx="4">
                  <c:v>1.22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25-4B6F-B321-F14D1E008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39728"/>
        <c:axId val="553647224"/>
      </c:lineChart>
      <c:catAx>
        <c:axId val="54953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7224"/>
        <c:crosses val="autoZero"/>
        <c:auto val="0"/>
        <c:lblAlgn val="ctr"/>
        <c:lblOffset val="100"/>
        <c:noMultiLvlLbl val="0"/>
      </c:catAx>
      <c:valAx>
        <c:axId val="553647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397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743-4E81-B5FE-A4A720A1F170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743-4E81-B5FE-A4A720A1F17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Inventory_Days!$C$8:$G$8</c:f>
              <c:numCache>
                <c:formatCode>General</c:formatCode>
                <c:ptCount val="5"/>
                <c:pt idx="0">
                  <c:v>51.55</c:v>
                </c:pt>
                <c:pt idx="1">
                  <c:v>39.44</c:v>
                </c:pt>
                <c:pt idx="2">
                  <c:v>40.869999999999997</c:v>
                </c:pt>
                <c:pt idx="3">
                  <c:v>55.28</c:v>
                </c:pt>
                <c:pt idx="4">
                  <c:v>54.51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43-4E81-B5FE-A4A720A1F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1174320"/>
        <c:axId val="271174648"/>
      </c:lineChart>
      <c:catAx>
        <c:axId val="271174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271174648"/>
        <c:crosses val="autoZero"/>
        <c:auto val="0"/>
        <c:lblAlgn val="ctr"/>
        <c:lblOffset val="100"/>
        <c:noMultiLvlLbl val="0"/>
      </c:catAx>
      <c:valAx>
        <c:axId val="2711746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711743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4C9-4CA9-9CC5-48E3D2F93BA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Payable_Days!$C$8:$G$8</c:f>
              <c:numCache>
                <c:formatCode>General</c:formatCode>
                <c:ptCount val="5"/>
                <c:pt idx="0">
                  <c:v>542.05999999999995</c:v>
                </c:pt>
                <c:pt idx="1">
                  <c:v>378.14</c:v>
                </c:pt>
                <c:pt idx="2">
                  <c:v>502.82</c:v>
                </c:pt>
                <c:pt idx="3">
                  <c:v>476.55</c:v>
                </c:pt>
                <c:pt idx="4">
                  <c:v>298.18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C9-4CA9-9CC5-48E3D2F93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988000"/>
        <c:axId val="453988328"/>
      </c:lineChart>
      <c:catAx>
        <c:axId val="453988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988328"/>
        <c:crosses val="autoZero"/>
        <c:auto val="0"/>
        <c:lblAlgn val="ctr"/>
        <c:lblOffset val="100"/>
        <c:noMultiLvlLbl val="0"/>
      </c:catAx>
      <c:valAx>
        <c:axId val="4539883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9880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A1D4-442F-AC47-CC43DB590EC4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1D4-442F-AC47-CC43DB590E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Receivable_Days!$C$3:$G$3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Receivable_Days!$C$8:$G$8</c:f>
              <c:numCache>
                <c:formatCode>General</c:formatCode>
                <c:ptCount val="5"/>
                <c:pt idx="0">
                  <c:v>14.88</c:v>
                </c:pt>
                <c:pt idx="1">
                  <c:v>17.57</c:v>
                </c:pt>
                <c:pt idx="2">
                  <c:v>10.87</c:v>
                </c:pt>
                <c:pt idx="3">
                  <c:v>12.87</c:v>
                </c:pt>
                <c:pt idx="4">
                  <c:v>11.96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D4-442F-AC47-CC43DB590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5068832"/>
        <c:axId val="625062600"/>
      </c:lineChart>
      <c:catAx>
        <c:axId val="62506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062600"/>
        <c:crosses val="autoZero"/>
        <c:auto val="0"/>
        <c:lblAlgn val="ctr"/>
        <c:lblOffset val="100"/>
        <c:noMultiLvlLbl val="0"/>
      </c:catAx>
      <c:valAx>
        <c:axId val="6250626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50688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D7D-47FB-B14D-8DA9686F3FA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Operating_Cycle!$C$3:$G$3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Operating_Cycle!$C$12:$G$12</c:f>
              <c:numCache>
                <c:formatCode>.00</c:formatCode>
                <c:ptCount val="5"/>
                <c:pt idx="0">
                  <c:v>593.61</c:v>
                </c:pt>
                <c:pt idx="1">
                  <c:v>417.58</c:v>
                </c:pt>
                <c:pt idx="2">
                  <c:v>543.69000000000005</c:v>
                </c:pt>
                <c:pt idx="3">
                  <c:v>531.83000000000004</c:v>
                </c:pt>
                <c:pt idx="4">
                  <c:v>352.69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7D-47FB-B14D-8DA9686F3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857048"/>
        <c:axId val="442857376"/>
      </c:lineChart>
      <c:catAx>
        <c:axId val="442857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857376"/>
        <c:crosses val="autoZero"/>
        <c:auto val="0"/>
        <c:lblAlgn val="ctr"/>
        <c:lblOffset val="100"/>
        <c:noMultiLvlLbl val="0"/>
      </c:catAx>
      <c:valAx>
        <c:axId val="442857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28570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127-427F-BC51-48A0A68EFD0D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127-427F-BC51-48A0A68EFD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Cash_Conversion_Cycle_Days!$C$3:$G$3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Cash_Conversion_Cycle_Days!$C$16:$G$16</c:f>
              <c:numCache>
                <c:formatCode>.00</c:formatCode>
                <c:ptCount val="5"/>
                <c:pt idx="0">
                  <c:v>-51.55</c:v>
                </c:pt>
                <c:pt idx="1">
                  <c:v>-39.44</c:v>
                </c:pt>
                <c:pt idx="2">
                  <c:v>-40.869999999999997</c:v>
                </c:pt>
                <c:pt idx="3">
                  <c:v>-55.28</c:v>
                </c:pt>
                <c:pt idx="4">
                  <c:v>-54.51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27-427F-BC51-48A0A68EF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5061944"/>
        <c:axId val="625067192"/>
      </c:lineChart>
      <c:catAx>
        <c:axId val="625061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067192"/>
        <c:crosses val="autoZero"/>
        <c:auto val="0"/>
        <c:lblAlgn val="ctr"/>
        <c:lblOffset val="100"/>
        <c:noMultiLvlLbl val="0"/>
      </c:catAx>
      <c:valAx>
        <c:axId val="625067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6250619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293491</c:v>
                </c:pt>
                <c:pt idx="1">
                  <c:v>448197.92383863393</c:v>
                </c:pt>
                <c:pt idx="2">
                  <c:v>626016.84914435504</c:v>
                </c:pt>
                <c:pt idx="3">
                  <c:v>767222.74531821522</c:v>
                </c:pt>
                <c:pt idx="4">
                  <c:v>949236.76603093103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1C-4E8F-A2CF-B3287DCA9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558328"/>
        <c:axId val="452558984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816333</c:v>
                </c:pt>
                <c:pt idx="1">
                  <c:v>1063491.923838634</c:v>
                </c:pt>
                <c:pt idx="2">
                  <c:v>1342764.8491443549</c:v>
                </c:pt>
                <c:pt idx="3">
                  <c:v>1388262.7453182153</c:v>
                </c:pt>
                <c:pt idx="4">
                  <c:v>1669416.7660309309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F1C-4E8F-A2CF-B3287DCA9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558328"/>
        <c:axId val="452558984"/>
      </c:lineChart>
      <c:catAx>
        <c:axId val="452558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558984"/>
        <c:crosses val="autoZero"/>
        <c:auto val="1"/>
        <c:lblAlgn val="ctr"/>
        <c:lblOffset val="100"/>
        <c:noMultiLvlLbl val="0"/>
      </c:catAx>
      <c:valAx>
        <c:axId val="452558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55832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134143.93242882448</c:v>
                </c:pt>
                <c:pt idx="1">
                  <c:v>211803.92383863393</c:v>
                </c:pt>
                <c:pt idx="2">
                  <c:v>244389.92530572112</c:v>
                </c:pt>
                <c:pt idx="3">
                  <c:v>188861.89617386018</c:v>
                </c:pt>
                <c:pt idx="4">
                  <c:v>239536.02071271581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5B-413F-995C-E69682B88822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117437.93242882448</c:v>
                </c:pt>
                <c:pt idx="1">
                  <c:v>190869.92383863393</c:v>
                </c:pt>
                <c:pt idx="2">
                  <c:v>222186.92530572112</c:v>
                </c:pt>
                <c:pt idx="3">
                  <c:v>162289.89617386018</c:v>
                </c:pt>
                <c:pt idx="4">
                  <c:v>209739.02071271581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5B-413F-995C-E69682B888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1172352"/>
        <c:axId val="553816224"/>
      </c:barChart>
      <c:catAx>
        <c:axId val="27117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6224"/>
        <c:crosses val="autoZero"/>
        <c:auto val="1"/>
        <c:lblAlgn val="ctr"/>
        <c:lblOffset val="100"/>
        <c:noMultiLvlLbl val="0"/>
      </c:catAx>
      <c:valAx>
        <c:axId val="553816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27117235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8C6-4223-9891-7202825BEA6C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8C6-4223-9891-7202825BEA6C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8C6-4223-9891-7202825BEA6C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8C6-4223-9891-7202825BEA6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Book_Value__Per_Share!$C$3:$G$3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Book_Value__Per_Share!$C$8:$G$8</c:f>
              <c:numCache>
                <c:formatCode>General</c:formatCode>
                <c:ptCount val="5"/>
                <c:pt idx="0">
                  <c:v>186.41</c:v>
                </c:pt>
                <c:pt idx="1">
                  <c:v>188.88</c:v>
                </c:pt>
                <c:pt idx="2">
                  <c:v>216.71</c:v>
                </c:pt>
                <c:pt idx="3">
                  <c:v>402.07</c:v>
                </c:pt>
                <c:pt idx="4">
                  <c:v>480.64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8C6-4223-9891-7202825BEA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9864"/>
        <c:axId val="446760192"/>
      </c:lineChart>
      <c:catAx>
        <c:axId val="446759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60192"/>
        <c:crosses val="autoZero"/>
        <c:auto val="0"/>
        <c:lblAlgn val="ctr"/>
        <c:lblOffset val="100"/>
        <c:noMultiLvlLbl val="0"/>
      </c:catAx>
      <c:valAx>
        <c:axId val="446760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98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142579</c:v>
                </c:pt>
                <c:pt idx="1">
                  <c:v>312235.92383863393</c:v>
                </c:pt>
                <c:pt idx="2">
                  <c:v>527639.84914435504</c:v>
                </c:pt>
                <c:pt idx="3">
                  <c:v>490926.74531821522</c:v>
                </c:pt>
                <c:pt idx="4">
                  <c:v>587363.76603093103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8E-4626-970F-A3A18C35AAC0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308081</c:v>
                </c:pt>
                <c:pt idx="1">
                  <c:v>285149</c:v>
                </c:pt>
                <c:pt idx="2">
                  <c:v>359027</c:v>
                </c:pt>
                <c:pt idx="3">
                  <c:v>261015</c:v>
                </c:pt>
                <c:pt idx="4">
                  <c:v>294732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8E-4626-970F-A3A18C35A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9877808"/>
        <c:axId val="451886632"/>
      </c:barChart>
      <c:catAx>
        <c:axId val="44987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886632"/>
        <c:crosses val="autoZero"/>
        <c:auto val="1"/>
        <c:lblAlgn val="ctr"/>
        <c:lblOffset val="100"/>
        <c:noMultiLvlLbl val="0"/>
      </c:catAx>
      <c:valAx>
        <c:axId val="4518866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87780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Long_And_Short_Term_Provisions!$C$4:$G$4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Long_And_Short_Term_Provisions!$C$5:$G$5</c:f>
              <c:numCache>
                <c:formatCode>.00</c:formatCode>
                <c:ptCount val="5"/>
                <c:pt idx="0">
                  <c:v>2906</c:v>
                </c:pt>
                <c:pt idx="1">
                  <c:v>2856</c:v>
                </c:pt>
                <c:pt idx="2">
                  <c:v>1790</c:v>
                </c:pt>
                <c:pt idx="3">
                  <c:v>2625</c:v>
                </c:pt>
                <c:pt idx="4">
                  <c:v>1853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3B-451E-A2C1-05D19CB307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1901544"/>
        <c:axId val="551903512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Long_And_Short_Term_Provisions!$C$6:$G$6</c:f>
              <c:numCache>
                <c:formatCode>.00</c:formatCode>
                <c:ptCount val="5"/>
                <c:pt idx="0">
                  <c:v>1232</c:v>
                </c:pt>
                <c:pt idx="1">
                  <c:v>1326</c:v>
                </c:pt>
                <c:pt idx="2">
                  <c:v>1890</c:v>
                </c:pt>
                <c:pt idx="3">
                  <c:v>2504</c:v>
                </c:pt>
                <c:pt idx="4">
                  <c:v>1936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3B-451E-A2C1-05D19CB307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1904168"/>
        <c:axId val="445515416"/>
      </c:lineChart>
      <c:catAx>
        <c:axId val="551901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1903512"/>
        <c:crosses val="autoZero"/>
        <c:auto val="1"/>
        <c:lblAlgn val="ctr"/>
        <c:lblOffset val="100"/>
        <c:noMultiLvlLbl val="0"/>
      </c:catAx>
      <c:valAx>
        <c:axId val="551903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901544"/>
        <c:crosses val="autoZero"/>
        <c:crossBetween val="between"/>
      </c:valAx>
      <c:valAx>
        <c:axId val="44551541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1904168"/>
        <c:crosses val="max"/>
        <c:crossBetween val="between"/>
      </c:valAx>
      <c:catAx>
        <c:axId val="551904168"/>
        <c:scaling>
          <c:orientation val="minMax"/>
        </c:scaling>
        <c:delete val="1"/>
        <c:axPos val="b"/>
        <c:majorTickMark val="out"/>
        <c:minorTickMark val="none"/>
        <c:tickLblPos val="nextTo"/>
        <c:crossAx val="445515416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207448</c:v>
                </c:pt>
                <c:pt idx="1">
                  <c:v>275237</c:v>
                </c:pt>
                <c:pt idx="2">
                  <c:v>260621</c:v>
                </c:pt>
                <c:pt idx="3">
                  <c:v>199915</c:v>
                </c:pt>
                <c:pt idx="4">
                  <c:v>360784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DE-4A43-A188-2FD83E0BA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5071128"/>
        <c:axId val="625066864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28360</c:v>
                </c:pt>
                <c:pt idx="2">
                  <c:v>24155</c:v>
                </c:pt>
                <c:pt idx="3">
                  <c:v>19978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DE-4A43-A188-2FD83E0BA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748384"/>
        <c:axId val="625068504"/>
      </c:lineChart>
      <c:catAx>
        <c:axId val="625071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5066864"/>
        <c:crosses val="autoZero"/>
        <c:auto val="1"/>
        <c:lblAlgn val="ctr"/>
        <c:lblOffset val="100"/>
        <c:noMultiLvlLbl val="0"/>
      </c:catAx>
      <c:valAx>
        <c:axId val="625066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071128"/>
        <c:crosses val="autoZero"/>
        <c:crossBetween val="between"/>
      </c:valAx>
      <c:valAx>
        <c:axId val="62506850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6748384"/>
        <c:crosses val="max"/>
        <c:crossBetween val="between"/>
      </c:valAx>
      <c:catAx>
        <c:axId val="446748384"/>
        <c:scaling>
          <c:orientation val="minMax"/>
        </c:scaling>
        <c:delete val="1"/>
        <c:axPos val="b"/>
        <c:majorTickMark val="out"/>
        <c:minorTickMark val="none"/>
        <c:tickLblPos val="nextTo"/>
        <c:crossAx val="625068504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Gross_Sales_In_Total_Income!$C$4:$G$4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Gross_Sales_In_Total_Income!$C$5:$G$5</c:f>
              <c:numCache>
                <c:formatCode>.00</c:formatCode>
                <c:ptCount val="5"/>
                <c:pt idx="0">
                  <c:v>430731</c:v>
                </c:pt>
                <c:pt idx="1">
                  <c:v>625212</c:v>
                </c:pt>
                <c:pt idx="2">
                  <c:v>659997</c:v>
                </c:pt>
                <c:pt idx="3">
                  <c:v>539238</c:v>
                </c:pt>
                <c:pt idx="4">
                  <c:v>721634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4A-4469-929A-2EE2CF916548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Gross_Sales_In_Total_Income!$C$6:$G$6</c:f>
              <c:numCache>
                <c:formatCode>.00</c:formatCode>
                <c:ptCount val="5"/>
                <c:pt idx="0">
                  <c:v>401626.93242882448</c:v>
                </c:pt>
                <c:pt idx="1">
                  <c:v>577595.92383863393</c:v>
                </c:pt>
                <c:pt idx="2">
                  <c:v>610699.92530572112</c:v>
                </c:pt>
                <c:pt idx="3">
                  <c:v>483251.89617386018</c:v>
                </c:pt>
                <c:pt idx="4">
                  <c:v>736582.02071271581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4A-4469-929A-2EE2CF916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5064568"/>
        <c:axId val="625069488"/>
      </c:barChart>
      <c:catAx>
        <c:axId val="62506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069488"/>
        <c:crosses val="autoZero"/>
        <c:auto val="1"/>
        <c:lblAlgn val="ctr"/>
        <c:lblOffset val="100"/>
        <c:noMultiLvlLbl val="0"/>
      </c:catAx>
      <c:valAx>
        <c:axId val="6250694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06456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816333</c:v>
                </c:pt>
                <c:pt idx="1">
                  <c:v>1063491.923838634</c:v>
                </c:pt>
                <c:pt idx="2">
                  <c:v>1342764.8491443549</c:v>
                </c:pt>
                <c:pt idx="3">
                  <c:v>1388262.7453182153</c:v>
                </c:pt>
                <c:pt idx="4">
                  <c:v>1669416.7660309309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87-4CD4-80BF-1EC6784455AD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211222</c:v>
                </c:pt>
                <c:pt idx="1">
                  <c:v>321865</c:v>
                </c:pt>
                <c:pt idx="2">
                  <c:v>345540</c:v>
                </c:pt>
                <c:pt idx="3">
                  <c:v>260765</c:v>
                </c:pt>
                <c:pt idx="4">
                  <c:v>315949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87-4CD4-80BF-1EC6784455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2187368"/>
        <c:axId val="632189992"/>
      </c:barChart>
      <c:catAx>
        <c:axId val="632187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189992"/>
        <c:crosses val="autoZero"/>
        <c:auto val="1"/>
        <c:lblAlgn val="ctr"/>
        <c:lblOffset val="100"/>
        <c:noMultiLvlLbl val="0"/>
      </c:catAx>
      <c:valAx>
        <c:axId val="632189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18736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816333</c:v>
                </c:pt>
                <c:pt idx="1">
                  <c:v>1063491.923838634</c:v>
                </c:pt>
                <c:pt idx="2">
                  <c:v>1342764.8491443549</c:v>
                </c:pt>
                <c:pt idx="3">
                  <c:v>1388262.7453182153</c:v>
                </c:pt>
                <c:pt idx="4">
                  <c:v>1669416.7660309309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0F-4EA2-833B-6F6CC43DF318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308081</c:v>
                </c:pt>
                <c:pt idx="1">
                  <c:v>285149</c:v>
                </c:pt>
                <c:pt idx="2">
                  <c:v>359027</c:v>
                </c:pt>
                <c:pt idx="3">
                  <c:v>261015</c:v>
                </c:pt>
                <c:pt idx="4">
                  <c:v>294732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0F-4EA2-833B-6F6CC43DF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2195568"/>
        <c:axId val="632191960"/>
      </c:barChart>
      <c:catAx>
        <c:axId val="63219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191960"/>
        <c:crosses val="autoZero"/>
        <c:auto val="1"/>
        <c:lblAlgn val="ctr"/>
        <c:lblOffset val="100"/>
        <c:noMultiLvlLbl val="0"/>
      </c:catAx>
      <c:valAx>
        <c:axId val="6321919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19556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816333</c:v>
                </c:pt>
                <c:pt idx="1">
                  <c:v>1063491.923838634</c:v>
                </c:pt>
                <c:pt idx="2">
                  <c:v>1342764.8491443549</c:v>
                </c:pt>
                <c:pt idx="3">
                  <c:v>1388262.7453182153</c:v>
                </c:pt>
                <c:pt idx="4">
                  <c:v>1669416.7660309309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2B-433A-9A26-2CC19B90B013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673754</c:v>
                </c:pt>
                <c:pt idx="1">
                  <c:v>751256</c:v>
                </c:pt>
                <c:pt idx="2">
                  <c:v>815125</c:v>
                </c:pt>
                <c:pt idx="3">
                  <c:v>897336</c:v>
                </c:pt>
                <c:pt idx="4">
                  <c:v>1082053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2B-433A-9A26-2CC19B90B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6841616"/>
        <c:axId val="446838008"/>
      </c:barChart>
      <c:catAx>
        <c:axId val="44684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838008"/>
        <c:crosses val="autoZero"/>
        <c:auto val="1"/>
        <c:lblAlgn val="ctr"/>
        <c:lblOffset val="100"/>
        <c:noMultiLvlLbl val="0"/>
      </c:catAx>
      <c:valAx>
        <c:axId val="4468380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84161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816333</c:v>
                </c:pt>
                <c:pt idx="1">
                  <c:v>1063491.923838634</c:v>
                </c:pt>
                <c:pt idx="2">
                  <c:v>1342764.8491443549</c:v>
                </c:pt>
                <c:pt idx="3">
                  <c:v>1388262.7453182153</c:v>
                </c:pt>
                <c:pt idx="4">
                  <c:v>1669416.7660309309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2A-4CA5-8429-E34456704BDD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142579</c:v>
                </c:pt>
                <c:pt idx="1">
                  <c:v>312235.92383863393</c:v>
                </c:pt>
                <c:pt idx="2">
                  <c:v>527639.84914435504</c:v>
                </c:pt>
                <c:pt idx="3">
                  <c:v>490926.74531821522</c:v>
                </c:pt>
                <c:pt idx="4">
                  <c:v>587363.76603093103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2A-4CA5-8429-E34456704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3487144"/>
        <c:axId val="553487472"/>
      </c:barChart>
      <c:catAx>
        <c:axId val="553487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487472"/>
        <c:crosses val="autoZero"/>
        <c:auto val="1"/>
        <c:lblAlgn val="ctr"/>
        <c:lblOffset val="100"/>
        <c:noMultiLvlLbl val="0"/>
      </c:catAx>
      <c:valAx>
        <c:axId val="5534874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48714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267483</c:v>
                </c:pt>
                <c:pt idx="1">
                  <c:v>365792</c:v>
                </c:pt>
                <c:pt idx="2">
                  <c:v>366310</c:v>
                </c:pt>
                <c:pt idx="3">
                  <c:v>294390</c:v>
                </c:pt>
                <c:pt idx="4">
                  <c:v>497046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8E-42A5-BAB6-01F353D45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5463792"/>
        <c:axId val="555460840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401626.93242882448</c:v>
                </c:pt>
                <c:pt idx="1">
                  <c:v>577595.92383863393</c:v>
                </c:pt>
                <c:pt idx="2">
                  <c:v>610699.92530572112</c:v>
                </c:pt>
                <c:pt idx="3">
                  <c:v>483251.89617386018</c:v>
                </c:pt>
                <c:pt idx="4">
                  <c:v>736582.02071271581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8E-42A5-BAB6-01F353D45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464120"/>
        <c:axId val="555459856"/>
      </c:lineChart>
      <c:catAx>
        <c:axId val="55546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60840"/>
        <c:crosses val="autoZero"/>
        <c:auto val="1"/>
        <c:lblAlgn val="ctr"/>
        <c:lblOffset val="100"/>
        <c:noMultiLvlLbl val="0"/>
      </c:catAx>
      <c:valAx>
        <c:axId val="5554608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63792"/>
        <c:crosses val="autoZero"/>
        <c:crossBetween val="between"/>
      </c:valAx>
      <c:valAx>
        <c:axId val="55545985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5464120"/>
        <c:crosses val="max"/>
        <c:crossBetween val="between"/>
      </c:valAx>
      <c:catAx>
        <c:axId val="555464120"/>
        <c:scaling>
          <c:orientation val="minMax"/>
        </c:scaling>
        <c:delete val="1"/>
        <c:axPos val="b"/>
        <c:majorTickMark val="out"/>
        <c:minorTickMark val="none"/>
        <c:tickLblPos val="nextTo"/>
        <c:crossAx val="555459856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Net_Profit_CF_To_Balance_Sheet!$C$4:$G$4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Net_Profit_CF_To_Balance_Sheet!$C$5:$G$5</c:f>
              <c:numCache>
                <c:formatCode>.00</c:formatCode>
                <c:ptCount val="5"/>
                <c:pt idx="0">
                  <c:v>92123.932428824482</c:v>
                </c:pt>
                <c:pt idx="1">
                  <c:v>154702.92383863393</c:v>
                </c:pt>
                <c:pt idx="2">
                  <c:v>177405.92530572112</c:v>
                </c:pt>
                <c:pt idx="3">
                  <c:v>141099.89617386018</c:v>
                </c:pt>
                <c:pt idx="4">
                  <c:v>181694.02071271581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5A-4733-A6EC-05F9D355E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5458544"/>
        <c:axId val="555462808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Net_Profit_CF_To_Balance_Sheet!$C$6:$G$6</c:f>
              <c:numCache>
                <c:formatCode>.00</c:formatCode>
                <c:ptCount val="5"/>
                <c:pt idx="0">
                  <c:v>96039.932428824482</c:v>
                </c:pt>
                <c:pt idx="1">
                  <c:v>158984.92383863393</c:v>
                </c:pt>
                <c:pt idx="2">
                  <c:v>181989.92530572112</c:v>
                </c:pt>
                <c:pt idx="3">
                  <c:v>145020.89617386018</c:v>
                </c:pt>
                <c:pt idx="4">
                  <c:v>181694.02071271581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D5A-4733-A6EC-05F9D355E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887208"/>
        <c:axId val="559886224"/>
      </c:lineChart>
      <c:catAx>
        <c:axId val="55545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62808"/>
        <c:crosses val="autoZero"/>
        <c:auto val="1"/>
        <c:lblAlgn val="ctr"/>
        <c:lblOffset val="100"/>
        <c:noMultiLvlLbl val="0"/>
      </c:catAx>
      <c:valAx>
        <c:axId val="5554628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58544"/>
        <c:crosses val="autoZero"/>
        <c:crossBetween val="between"/>
      </c:valAx>
      <c:valAx>
        <c:axId val="55988622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9887208"/>
        <c:crosses val="max"/>
        <c:crossBetween val="between"/>
      </c:valAx>
      <c:catAx>
        <c:axId val="559887208"/>
        <c:scaling>
          <c:orientation val="minMax"/>
        </c:scaling>
        <c:delete val="1"/>
        <c:axPos val="b"/>
        <c:majorTickMark val="out"/>
        <c:minorTickMark val="none"/>
        <c:tickLblPos val="nextTo"/>
        <c:crossAx val="559886224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7E7-4BBB-931A-1322403F0C57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7E7-4BBB-931A-1322403F0C5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Dividend_Pay_Out_Ratio!$C$3:$G$3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Dividend_Pay_Out_Ratio!$C$12:$G$12</c:f>
              <c:numCache>
                <c:formatCode>General</c:formatCode>
                <c:ptCount val="5"/>
                <c:pt idx="0">
                  <c:v>0.03</c:v>
                </c:pt>
                <c:pt idx="1">
                  <c:v>0.02</c:v>
                </c:pt>
                <c:pt idx="2">
                  <c:v>0.02</c:v>
                </c:pt>
                <c:pt idx="3">
                  <c:v>0.03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7E7-4BBB-931A-1322403F0C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6696"/>
        <c:axId val="364043088"/>
      </c:lineChart>
      <c:catAx>
        <c:axId val="364046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3088"/>
        <c:crosses val="autoZero"/>
        <c:auto val="0"/>
        <c:lblAlgn val="ctr"/>
        <c:lblOffset val="100"/>
        <c:noMultiLvlLbl val="0"/>
      </c:catAx>
      <c:valAx>
        <c:axId val="3640430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66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642-49F1-930A-F0DB284E8379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642-49F1-930A-F0DB284E8379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8642-49F1-930A-F0DB284E83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Dividend_Retention_Ratio!$C$3:$G$3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Dividend_Retention_Ratio!$C$9:$G$9</c:f>
              <c:numCache>
                <c:formatCode>0.00%</c:formatCode>
                <c:ptCount val="5"/>
                <c:pt idx="0">
                  <c:v>-1.0699999999999998</c:v>
                </c:pt>
                <c:pt idx="1">
                  <c:v>-0.5</c:v>
                </c:pt>
                <c:pt idx="2">
                  <c:v>-0.33000000000000007</c:v>
                </c:pt>
                <c:pt idx="3">
                  <c:v>-1.0499999999999998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642-49F1-930A-F0DB284E8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786496"/>
        <c:axId val="630033112"/>
      </c:lineChart>
      <c:catAx>
        <c:axId val="45078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0033112"/>
        <c:crosses val="autoZero"/>
        <c:auto val="0"/>
        <c:lblAlgn val="ctr"/>
        <c:lblOffset val="100"/>
        <c:noMultiLvlLbl val="0"/>
      </c:catAx>
      <c:valAx>
        <c:axId val="6300331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507864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478-49DE-A896-2C7CB005D778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478-49DE-A896-2C7CB005D778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478-49DE-A896-2C7CB005D77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Gross_Profit!$C$8:$G$8</c:f>
              <c:numCache>
                <c:formatCode>.00</c:formatCode>
                <c:ptCount val="5"/>
                <c:pt idx="0">
                  <c:v>223283</c:v>
                </c:pt>
                <c:pt idx="1">
                  <c:v>349975</c:v>
                </c:pt>
                <c:pt idx="2">
                  <c:v>399376</c:v>
                </c:pt>
                <c:pt idx="3">
                  <c:v>339323</c:v>
                </c:pt>
                <c:pt idx="4">
                  <c:v>360850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478-49DE-A896-2C7CB005D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4728"/>
        <c:axId val="364048008"/>
      </c:lineChart>
      <c:catAx>
        <c:axId val="364044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8008"/>
        <c:crosses val="autoZero"/>
        <c:auto val="0"/>
        <c:lblAlgn val="ctr"/>
        <c:lblOffset val="100"/>
        <c:noMultiLvlLbl val="0"/>
      </c:catAx>
      <c:valAx>
        <c:axId val="3640480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3640447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892-4654-B9F8-E02759E463A0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892-4654-B9F8-E02759E463A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Net_Profit!$C$8:$G$8</c:f>
              <c:numCache>
                <c:formatCode>.00</c:formatCode>
                <c:ptCount val="5"/>
                <c:pt idx="0">
                  <c:v>163248</c:v>
                </c:pt>
                <c:pt idx="1">
                  <c:v>259420</c:v>
                </c:pt>
                <c:pt idx="2">
                  <c:v>293687</c:v>
                </c:pt>
                <c:pt idx="3">
                  <c:v>244848</c:v>
                </c:pt>
                <c:pt idx="4">
                  <c:v>224588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892-4654-B9F8-E02759E463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6240"/>
        <c:axId val="553648864"/>
      </c:lineChart>
      <c:catAx>
        <c:axId val="55364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8864"/>
        <c:crosses val="autoZero"/>
        <c:auto val="0"/>
        <c:lblAlgn val="ctr"/>
        <c:lblOffset val="100"/>
        <c:noMultiLvlLbl val="0"/>
      </c:catAx>
      <c:valAx>
        <c:axId val="553648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36462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555-4DA3-A76B-343F5E1AB948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555-4DA3-A76B-343F5E1AB94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Return_On_Assets!$C$3:$G$3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Return_On_Assets!$C$8:$G$8</c:f>
              <c:numCache>
                <c:formatCode>0.00%</c:formatCode>
                <c:ptCount val="5"/>
                <c:pt idx="0">
                  <c:v>0.12</c:v>
                </c:pt>
                <c:pt idx="1">
                  <c:v>0.15</c:v>
                </c:pt>
                <c:pt idx="2">
                  <c:v>0.14000000000000001</c:v>
                </c:pt>
                <c:pt idx="3">
                  <c:v>0.1</c:v>
                </c:pt>
                <c:pt idx="4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55-4DA3-A76B-343F5E1AB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0031800"/>
        <c:axId val="630030488"/>
      </c:lineChart>
      <c:catAx>
        <c:axId val="630031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0030488"/>
        <c:crosses val="autoZero"/>
        <c:auto val="0"/>
        <c:lblAlgn val="ctr"/>
        <c:lblOffset val="100"/>
        <c:noMultiLvlLbl val="0"/>
      </c:catAx>
      <c:valAx>
        <c:axId val="6300304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6300318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C20-4834-A8BF-4AA85A5B51FF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C20-4834-A8BF-4AA85A5B51F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0C20-4834-A8BF-4AA85A5B51F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Return_On_Capital_Employeed!$C$3:$G$3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Return_On_Capital_Employeed!$C$9:$G$9</c:f>
              <c:numCache>
                <c:formatCode>0.00%</c:formatCode>
                <c:ptCount val="5"/>
                <c:pt idx="0">
                  <c:v>0.28000000000000003</c:v>
                </c:pt>
                <c:pt idx="1">
                  <c:v>0.3</c:v>
                </c:pt>
                <c:pt idx="2">
                  <c:v>0.32</c:v>
                </c:pt>
                <c:pt idx="3">
                  <c:v>0.31</c:v>
                </c:pt>
                <c:pt idx="4">
                  <c:v>0.33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C20-4834-A8BF-4AA85A5B5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8208"/>
        <c:axId val="553592968"/>
      </c:lineChart>
      <c:catAx>
        <c:axId val="55364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2968"/>
        <c:crosses val="autoZero"/>
        <c:auto val="0"/>
        <c:lblAlgn val="ctr"/>
        <c:lblOffset val="100"/>
        <c:noMultiLvlLbl val="0"/>
      </c:catAx>
      <c:valAx>
        <c:axId val="5535929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36482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CA10D4-E835-1BD0-B503-F8A38D93D8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41301A-9D5A-2DCD-793B-DE7D9CA9DD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59C149-4B11-7CC2-F133-5FB4FF5A44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19FCB9-92D9-1BD0-D0D4-8B19F76B66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DB0C7B-6AB1-23E2-D781-2535696535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D3569B-5396-E04D-F826-79BEF72A77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686360-74E0-F066-FDD8-1574E4BCAD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D63546-A22B-0901-2ABD-AB895A0E24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16A0C1-802C-1C42-938A-834943265B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89E6C4-F1DD-D778-76AE-9FB978B088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192DF0-4EFB-C33F-3D96-35571958C4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1D68DA-93BE-AFAD-8DE9-D6BCBA36DC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A692CB-DA8D-04DD-87CC-9C955E2147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B1C7B0-80A2-CF7A-D592-7B47247B9B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ABA071-FD0E-D6F8-D951-914C7085DB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D32AF2-7783-75D4-52B4-225A3425A7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E0F76B-247A-1F28-DC48-821B070DF3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05F0B0-55FE-2F41-65FF-B0D7667ECD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1773CF-9731-DED4-5389-801765EB8D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AA5781-177B-8529-9207-9F74232DA6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AB9BEA9A-0F20-4C84-B952-987244906F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FCA5A7B5-7E4C-F7F6-AB87-9257E3C984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83AE03-7135-F2A2-A491-BEFDAF9DEA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4215B928-B2C3-54ED-A028-06B5CE9E76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1AA4D470-B3B7-4B54-6654-6AB108D666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FEBCFEB9-E360-4DC8-58AB-D72F8DA61F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4DCF8234-43F1-F913-5A30-A48AB8FF51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11043940-510D-FAAE-057B-D6CEAAD834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AAACF3FA-8A5A-F3DA-D6C2-29FED3270B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F8AE0162-5E0C-B816-1C7F-E2A9EDCB98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913EEBB9-EF73-C898-DADD-511ACE11F3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346CE345-C6C5-A6A9-E8E6-03158433CF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691FF2D8-49BC-DBC2-E301-9E6BFBC575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2BD6AE-661D-1175-30BC-0A013ABC78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5D260E-E75B-B163-11E6-96BFCCED6D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720F31-4D97-7CEA-0C74-90E6E311C1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0301F2-EC4C-929C-0CA5-B56DB31FD3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F551E2-668C-A9A2-EA2A-90E5470495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A562DD-902E-4B74-0C01-AB1CFDE2FF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957FB-0F61-4E89-A771-AA1D26E2B594}">
  <dimension ref="A1:O55"/>
  <sheetViews>
    <sheetView topLeftCell="A45" workbookViewId="0">
      <selection activeCell="A55" sqref="A55"/>
    </sheetView>
  </sheetViews>
  <sheetFormatPr defaultRowHeight="15" x14ac:dyDescent="0.25"/>
  <sheetData>
    <row r="1" spans="1:15" x14ac:dyDescent="0.25">
      <c r="F1" s="44" t="s">
        <v>271</v>
      </c>
      <c r="O1" s="45"/>
    </row>
    <row r="2" spans="1:15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3</v>
      </c>
      <c r="H4" t="s">
        <v>1</v>
      </c>
    </row>
    <row r="5" spans="1:15" x14ac:dyDescent="0.25">
      <c r="B5" t="s">
        <v>4</v>
      </c>
      <c r="H5" t="s">
        <v>1</v>
      </c>
    </row>
    <row r="6" spans="1:15" x14ac:dyDescent="0.25">
      <c r="A6" t="s">
        <v>5</v>
      </c>
      <c r="B6" t="s">
        <v>5</v>
      </c>
      <c r="C6" s="2">
        <v>5922</v>
      </c>
      <c r="D6" s="2">
        <v>5926</v>
      </c>
      <c r="E6" s="2">
        <v>6339</v>
      </c>
      <c r="F6" s="2">
        <v>6445</v>
      </c>
      <c r="G6" s="2">
        <v>6765</v>
      </c>
      <c r="H6" t="s">
        <v>1</v>
      </c>
    </row>
    <row r="7" spans="1:15" x14ac:dyDescent="0.25">
      <c r="B7" t="s">
        <v>6</v>
      </c>
      <c r="C7" s="2">
        <v>5922</v>
      </c>
      <c r="D7" s="2">
        <v>5926</v>
      </c>
      <c r="E7" s="2">
        <v>6339</v>
      </c>
      <c r="F7" s="2">
        <v>6445</v>
      </c>
      <c r="G7" s="2">
        <v>6765</v>
      </c>
      <c r="H7" t="s">
        <v>1</v>
      </c>
    </row>
    <row r="8" spans="1:15" x14ac:dyDescent="0.25">
      <c r="A8" t="s">
        <v>90</v>
      </c>
      <c r="B8" t="s">
        <v>7</v>
      </c>
      <c r="C8" s="2">
        <v>287569</v>
      </c>
      <c r="D8" s="2">
        <v>381186</v>
      </c>
      <c r="E8" s="2">
        <v>442827</v>
      </c>
      <c r="F8" s="2">
        <v>693727</v>
      </c>
      <c r="G8" s="2">
        <v>772720</v>
      </c>
      <c r="H8" t="s">
        <v>1</v>
      </c>
    </row>
    <row r="9" spans="1:15" x14ac:dyDescent="0.25">
      <c r="B9" t="s">
        <v>8</v>
      </c>
      <c r="C9" s="2">
        <v>287569</v>
      </c>
      <c r="D9" s="2">
        <v>381186</v>
      </c>
      <c r="E9" s="2">
        <v>442827</v>
      </c>
      <c r="F9" s="2">
        <v>693727</v>
      </c>
      <c r="G9" s="2">
        <v>772720</v>
      </c>
      <c r="H9" t="s">
        <v>1</v>
      </c>
    </row>
    <row r="10" spans="1:15" x14ac:dyDescent="0.25">
      <c r="B10" t="s">
        <v>9</v>
      </c>
      <c r="C10" s="2">
        <v>293491</v>
      </c>
      <c r="D10" s="2">
        <v>387112</v>
      </c>
      <c r="E10" s="2">
        <v>449166</v>
      </c>
      <c r="F10" s="2">
        <v>700172</v>
      </c>
      <c r="G10" s="2">
        <v>779485</v>
      </c>
      <c r="H10" t="s">
        <v>1</v>
      </c>
    </row>
    <row r="11" spans="1:15" x14ac:dyDescent="0.25">
      <c r="A11" t="s">
        <v>10</v>
      </c>
      <c r="B11" t="s">
        <v>10</v>
      </c>
      <c r="C11" s="2">
        <v>3539</v>
      </c>
      <c r="D11" s="2">
        <v>8280</v>
      </c>
      <c r="E11" s="2">
        <v>12181</v>
      </c>
      <c r="F11" s="2">
        <v>99260</v>
      </c>
      <c r="G11" s="2">
        <v>109499</v>
      </c>
      <c r="H11" t="s">
        <v>1</v>
      </c>
    </row>
    <row r="12" spans="1:15" x14ac:dyDescent="0.25">
      <c r="B12" t="s">
        <v>11</v>
      </c>
      <c r="H12" t="s">
        <v>1</v>
      </c>
    </row>
    <row r="13" spans="1:15" x14ac:dyDescent="0.25">
      <c r="A13" t="s">
        <v>91</v>
      </c>
      <c r="B13" t="s">
        <v>12</v>
      </c>
      <c r="C13" s="2">
        <v>144175</v>
      </c>
      <c r="D13" s="2">
        <v>207506</v>
      </c>
      <c r="E13" s="2">
        <v>197631</v>
      </c>
      <c r="F13" s="2">
        <v>163683</v>
      </c>
      <c r="G13" s="2">
        <v>187699</v>
      </c>
      <c r="H13" t="s">
        <v>1</v>
      </c>
    </row>
    <row r="14" spans="1:15" x14ac:dyDescent="0.25">
      <c r="A14" t="s">
        <v>91</v>
      </c>
      <c r="B14" t="s">
        <v>13</v>
      </c>
      <c r="C14" s="2">
        <v>29618</v>
      </c>
      <c r="D14" s="2">
        <v>49923</v>
      </c>
      <c r="E14" s="2">
        <v>54123</v>
      </c>
      <c r="F14" s="2">
        <v>37001</v>
      </c>
      <c r="G14" s="2">
        <v>49644</v>
      </c>
      <c r="H14" t="s">
        <v>1</v>
      </c>
    </row>
    <row r="15" spans="1:15" x14ac:dyDescent="0.25">
      <c r="A15" t="s">
        <v>92</v>
      </c>
      <c r="B15" t="s">
        <v>14</v>
      </c>
      <c r="C15" s="2">
        <v>28752</v>
      </c>
      <c r="D15" s="2">
        <v>29407</v>
      </c>
      <c r="E15" s="2">
        <v>38108</v>
      </c>
      <c r="F15" s="2">
        <v>40903</v>
      </c>
      <c r="G15" s="2">
        <v>62823</v>
      </c>
      <c r="H15" t="s">
        <v>1</v>
      </c>
    </row>
    <row r="16" spans="1:15" x14ac:dyDescent="0.25">
      <c r="A16" t="s">
        <v>93</v>
      </c>
      <c r="B16" t="s">
        <v>15</v>
      </c>
      <c r="C16" s="2">
        <v>2906</v>
      </c>
      <c r="D16" s="2">
        <v>2856</v>
      </c>
      <c r="E16" s="2">
        <v>1790</v>
      </c>
      <c r="F16" s="2">
        <v>2625</v>
      </c>
      <c r="G16" s="2">
        <v>1853</v>
      </c>
      <c r="H16" t="s">
        <v>1</v>
      </c>
    </row>
    <row r="17" spans="1:8" x14ac:dyDescent="0.25">
      <c r="B17" t="s">
        <v>16</v>
      </c>
      <c r="C17" s="2">
        <v>205451</v>
      </c>
      <c r="D17" s="2">
        <v>289692</v>
      </c>
      <c r="E17" s="2">
        <v>291652</v>
      </c>
      <c r="F17" s="2">
        <v>244212</v>
      </c>
      <c r="G17" s="2">
        <v>302019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37429</v>
      </c>
      <c r="D19" s="2">
        <v>64436</v>
      </c>
      <c r="E19" s="2">
        <v>93786</v>
      </c>
      <c r="F19" s="2">
        <v>60081</v>
      </c>
      <c r="G19" s="2">
        <v>78606</v>
      </c>
      <c r="H19" t="s">
        <v>1</v>
      </c>
    </row>
    <row r="20" spans="1:8" x14ac:dyDescent="0.25">
      <c r="A20" t="s">
        <v>92</v>
      </c>
      <c r="B20" t="s">
        <v>19</v>
      </c>
      <c r="C20" s="2">
        <v>106861</v>
      </c>
      <c r="D20" s="2">
        <v>108309</v>
      </c>
      <c r="E20" s="2">
        <v>96799</v>
      </c>
      <c r="F20" s="2">
        <v>108897</v>
      </c>
      <c r="G20" s="2">
        <v>159330</v>
      </c>
      <c r="H20" t="s">
        <v>1</v>
      </c>
    </row>
    <row r="21" spans="1:8" x14ac:dyDescent="0.25">
      <c r="A21" t="s">
        <v>92</v>
      </c>
      <c r="B21" t="s">
        <v>20</v>
      </c>
      <c r="C21" s="2">
        <v>168330</v>
      </c>
      <c r="D21" s="2">
        <v>143251</v>
      </c>
      <c r="E21" s="2">
        <v>220440</v>
      </c>
      <c r="F21" s="2">
        <v>106086</v>
      </c>
      <c r="G21" s="2">
        <v>68790</v>
      </c>
      <c r="H21" t="s">
        <v>1</v>
      </c>
    </row>
    <row r="22" spans="1:8" x14ac:dyDescent="0.25">
      <c r="A22" t="s">
        <v>93</v>
      </c>
      <c r="B22" t="s">
        <v>21</v>
      </c>
      <c r="C22" s="2">
        <v>1232</v>
      </c>
      <c r="D22" s="2">
        <v>1326</v>
      </c>
      <c r="E22" s="2">
        <v>1890</v>
      </c>
      <c r="F22" s="2">
        <v>2504</v>
      </c>
      <c r="G22" s="2">
        <v>1936</v>
      </c>
      <c r="H22" t="s">
        <v>1</v>
      </c>
    </row>
    <row r="23" spans="1:8" x14ac:dyDescent="0.25">
      <c r="B23" t="s">
        <v>22</v>
      </c>
      <c r="C23" s="2">
        <v>313852</v>
      </c>
      <c r="D23" s="2">
        <v>317322</v>
      </c>
      <c r="E23" s="2">
        <v>412915</v>
      </c>
      <c r="F23" s="2">
        <v>277568</v>
      </c>
      <c r="G23" s="2">
        <v>308662</v>
      </c>
      <c r="H23" t="s">
        <v>1</v>
      </c>
    </row>
    <row r="24" spans="1:8" x14ac:dyDescent="0.25">
      <c r="B24" t="s">
        <v>23</v>
      </c>
      <c r="C24" s="2">
        <v>816348</v>
      </c>
      <c r="D24" s="2">
        <v>1002406</v>
      </c>
      <c r="E24" s="2">
        <v>1165915</v>
      </c>
      <c r="F24" s="2">
        <v>1321212</v>
      </c>
      <c r="G24" s="2">
        <v>1499665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316031</v>
      </c>
      <c r="D27" s="2">
        <v>302115</v>
      </c>
      <c r="E27" s="2">
        <v>435920</v>
      </c>
      <c r="F27" s="2">
        <v>451066</v>
      </c>
      <c r="G27" s="2">
        <v>787295</v>
      </c>
      <c r="H27" t="s">
        <v>1</v>
      </c>
    </row>
    <row r="28" spans="1:8" x14ac:dyDescent="0.25">
      <c r="A28" t="s">
        <v>29</v>
      </c>
      <c r="B28" t="s">
        <v>27</v>
      </c>
      <c r="C28">
        <v>82041</v>
      </c>
      <c r="D28" s="2">
        <v>84262</v>
      </c>
      <c r="E28" s="2">
        <v>86479</v>
      </c>
      <c r="F28" s="2">
        <v>79980</v>
      </c>
      <c r="G28" s="2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166220</v>
      </c>
      <c r="D29" s="2">
        <v>150178</v>
      </c>
      <c r="E29" s="2">
        <v>59096</v>
      </c>
      <c r="F29" s="2">
        <v>71171</v>
      </c>
      <c r="G29" s="2">
        <v>0</v>
      </c>
      <c r="H29" t="s">
        <v>1</v>
      </c>
    </row>
    <row r="30" spans="1:8" x14ac:dyDescent="0.25">
      <c r="B30" t="s">
        <v>29</v>
      </c>
      <c r="C30" s="2">
        <v>585094</v>
      </c>
      <c r="D30" s="2">
        <v>565840</v>
      </c>
      <c r="E30" s="2">
        <v>631505</v>
      </c>
      <c r="F30" s="2">
        <v>656999</v>
      </c>
      <c r="G30" s="2">
        <v>787295</v>
      </c>
      <c r="H30" t="s">
        <v>1</v>
      </c>
    </row>
    <row r="31" spans="1:8" x14ac:dyDescent="0.25">
      <c r="A31" t="s">
        <v>94</v>
      </c>
      <c r="B31" t="s">
        <v>30</v>
      </c>
      <c r="C31" s="2">
        <v>25259</v>
      </c>
      <c r="D31" s="2">
        <v>164612</v>
      </c>
      <c r="E31" s="2">
        <v>203852</v>
      </c>
      <c r="F31" s="2">
        <v>212382</v>
      </c>
      <c r="G31" s="2">
        <v>286146</v>
      </c>
      <c r="H31" t="s">
        <v>1</v>
      </c>
    </row>
    <row r="32" spans="1:8" x14ac:dyDescent="0.25">
      <c r="A32" t="s">
        <v>95</v>
      </c>
      <c r="B32" t="s">
        <v>31</v>
      </c>
      <c r="C32" s="2">
        <v>5075</v>
      </c>
      <c r="D32" s="2">
        <v>4776</v>
      </c>
      <c r="E32" s="2">
        <v>2900</v>
      </c>
      <c r="F32" s="2">
        <v>1147</v>
      </c>
      <c r="G32" s="2">
        <v>1043</v>
      </c>
      <c r="H32" t="s">
        <v>1</v>
      </c>
    </row>
    <row r="33" spans="1:8" x14ac:dyDescent="0.25">
      <c r="A33" t="s">
        <v>95</v>
      </c>
      <c r="B33" t="s">
        <v>32</v>
      </c>
      <c r="C33" s="2">
        <v>2668</v>
      </c>
      <c r="D33" s="2">
        <v>5452</v>
      </c>
      <c r="E33" s="2">
        <v>21732</v>
      </c>
      <c r="F33" s="2">
        <v>2484</v>
      </c>
      <c r="G33" s="2">
        <v>1588</v>
      </c>
      <c r="H33" t="s">
        <v>1</v>
      </c>
    </row>
    <row r="34" spans="1:8" x14ac:dyDescent="0.25">
      <c r="A34" t="s">
        <v>95</v>
      </c>
      <c r="B34" t="s">
        <v>33</v>
      </c>
      <c r="C34" s="2">
        <v>8653</v>
      </c>
      <c r="D34" s="2">
        <v>17676</v>
      </c>
      <c r="E34" s="2">
        <v>37407</v>
      </c>
      <c r="F34" s="2">
        <v>64977</v>
      </c>
      <c r="G34" s="2">
        <v>63565</v>
      </c>
      <c r="H34" t="s">
        <v>1</v>
      </c>
    </row>
    <row r="35" spans="1:8" x14ac:dyDescent="0.25">
      <c r="B35" t="s">
        <v>34</v>
      </c>
      <c r="C35" s="2">
        <v>632562</v>
      </c>
      <c r="D35" s="2">
        <v>770353</v>
      </c>
      <c r="E35" s="2">
        <v>907655</v>
      </c>
      <c r="F35" s="2">
        <v>948201</v>
      </c>
      <c r="G35" s="2">
        <v>1152646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 s="2">
        <v>57603</v>
      </c>
      <c r="D37" s="2">
        <v>71023</v>
      </c>
      <c r="E37" s="2">
        <v>72915</v>
      </c>
      <c r="F37" s="2">
        <v>152446</v>
      </c>
      <c r="G37" s="2">
        <v>108118</v>
      </c>
      <c r="H37" t="s">
        <v>1</v>
      </c>
    </row>
    <row r="38" spans="1:8" x14ac:dyDescent="0.25">
      <c r="A38" t="s">
        <v>96</v>
      </c>
      <c r="B38" t="s">
        <v>37</v>
      </c>
      <c r="C38" s="2">
        <v>60837</v>
      </c>
      <c r="D38" s="2">
        <v>67561</v>
      </c>
      <c r="E38" s="2">
        <v>73903</v>
      </c>
      <c r="F38" s="2">
        <v>81672</v>
      </c>
      <c r="G38" s="2">
        <v>107778</v>
      </c>
      <c r="H38" t="s">
        <v>1</v>
      </c>
    </row>
    <row r="39" spans="1:8" x14ac:dyDescent="0.25">
      <c r="A39" t="s">
        <v>96</v>
      </c>
      <c r="B39" t="s">
        <v>38</v>
      </c>
      <c r="C39" s="2">
        <v>17555</v>
      </c>
      <c r="D39" s="2">
        <v>30089</v>
      </c>
      <c r="E39" s="2">
        <v>19656</v>
      </c>
      <c r="F39" s="2">
        <v>19014</v>
      </c>
      <c r="G39" s="2">
        <v>23640</v>
      </c>
      <c r="H39" t="s">
        <v>1</v>
      </c>
    </row>
    <row r="40" spans="1:8" x14ac:dyDescent="0.25">
      <c r="A40" t="s">
        <v>96</v>
      </c>
      <c r="B40" t="s">
        <v>39</v>
      </c>
      <c r="C40" s="2">
        <v>4255</v>
      </c>
      <c r="D40" s="2">
        <v>11081</v>
      </c>
      <c r="E40" s="2">
        <v>30920</v>
      </c>
      <c r="F40" s="2">
        <v>17397</v>
      </c>
      <c r="G40" s="2">
        <v>36178</v>
      </c>
      <c r="H40" t="s">
        <v>1</v>
      </c>
    </row>
    <row r="41" spans="1:8" x14ac:dyDescent="0.25">
      <c r="A41" t="s">
        <v>95</v>
      </c>
      <c r="B41" t="s">
        <v>40</v>
      </c>
      <c r="C41">
        <v>2327</v>
      </c>
      <c r="D41">
        <v>545</v>
      </c>
      <c r="E41">
        <v>669</v>
      </c>
      <c r="F41">
        <v>65</v>
      </c>
      <c r="G41" s="2">
        <v>130</v>
      </c>
      <c r="H41" t="s">
        <v>1</v>
      </c>
    </row>
    <row r="42" spans="1:8" x14ac:dyDescent="0.25">
      <c r="A42" t="s">
        <v>95</v>
      </c>
      <c r="B42" t="s">
        <v>41</v>
      </c>
      <c r="C42" s="2">
        <v>41209</v>
      </c>
      <c r="D42" s="2">
        <v>51754</v>
      </c>
      <c r="E42" s="2">
        <v>60197</v>
      </c>
      <c r="F42" s="2">
        <v>102417</v>
      </c>
      <c r="G42" s="2">
        <v>71175</v>
      </c>
      <c r="H42" t="s">
        <v>1</v>
      </c>
    </row>
    <row r="43" spans="1:8" x14ac:dyDescent="0.25">
      <c r="B43" t="s">
        <v>42</v>
      </c>
      <c r="C43" s="2">
        <v>183786</v>
      </c>
      <c r="D43" s="2">
        <v>232053</v>
      </c>
      <c r="E43" s="2">
        <v>258260</v>
      </c>
      <c r="F43" s="2">
        <v>373011</v>
      </c>
      <c r="G43" s="2">
        <v>347019</v>
      </c>
      <c r="H43" t="s">
        <v>1</v>
      </c>
    </row>
    <row r="44" spans="1:8" x14ac:dyDescent="0.25">
      <c r="B44" t="s">
        <v>43</v>
      </c>
      <c r="C44" s="2">
        <v>816348</v>
      </c>
      <c r="D44" s="2">
        <v>1002406</v>
      </c>
      <c r="E44" s="2">
        <v>1165915</v>
      </c>
      <c r="F44" s="2">
        <v>1321212</v>
      </c>
      <c r="G44" s="2">
        <v>1499665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60997</v>
      </c>
      <c r="D47" s="2">
        <v>50904</v>
      </c>
      <c r="E47" s="2">
        <v>54891</v>
      </c>
      <c r="F47" s="2">
        <v>85366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5188.8900000000003</v>
      </c>
      <c r="D49" s="2">
        <v>5188.8900000000003</v>
      </c>
      <c r="E49" s="2">
        <v>5188.8900000000003</v>
      </c>
      <c r="F49" s="2">
        <v>5188.8900000000003</v>
      </c>
      <c r="G49" s="2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0</v>
      </c>
      <c r="D51">
        <v>0</v>
      </c>
      <c r="E51">
        <v>0</v>
      </c>
      <c r="F51">
        <v>0</v>
      </c>
      <c r="G51">
        <v>0</v>
      </c>
      <c r="H51" t="s">
        <v>1</v>
      </c>
    </row>
    <row r="52" spans="2:8" x14ac:dyDescent="0.25">
      <c r="B52" t="s">
        <v>51</v>
      </c>
      <c r="C52">
        <v>0</v>
      </c>
      <c r="D52" s="2">
        <v>143718</v>
      </c>
      <c r="E52" s="2">
        <v>174448</v>
      </c>
      <c r="F52" s="2">
        <v>193228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0</v>
      </c>
      <c r="D55" s="2">
        <v>44706</v>
      </c>
      <c r="E55" s="2">
        <v>40993</v>
      </c>
      <c r="F55" s="2">
        <v>115098</v>
      </c>
      <c r="G55">
        <v>0</v>
      </c>
      <c r="H55" t="s">
        <v>1</v>
      </c>
    </row>
  </sheetData>
  <hyperlinks>
    <hyperlink ref="F1" location="Index_Data!A1" tooltip="Hi click here To return Index page" display="Index_Data!A1" xr:uid="{16534860-43F2-4048-B142-28FC8ECD29B5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A9DE-02BA-4363-975E-9A982B3C504B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149</v>
      </c>
      <c r="C5" s="43"/>
      <c r="D5" s="43"/>
      <c r="E5" s="43"/>
      <c r="F5" s="43"/>
      <c r="G5" s="43"/>
    </row>
    <row r="6" spans="2:15" ht="18.75" x14ac:dyDescent="0.25">
      <c r="B6" s="12" t="str">
        <f>Balance_Sheet!B13</f>
        <v>Net Worth</v>
      </c>
      <c r="C6" s="13">
        <f>Balance_Sheet!C13</f>
        <v>293491</v>
      </c>
      <c r="D6" s="13">
        <f>Balance_Sheet!D13</f>
        <v>448197.92383863393</v>
      </c>
      <c r="E6" s="13">
        <f>Balance_Sheet!E13</f>
        <v>626016.84914435504</v>
      </c>
      <c r="F6" s="13">
        <f>Balance_Sheet!F13</f>
        <v>767222.74531821522</v>
      </c>
      <c r="G6" s="13">
        <f>Balance_Sheet!G13</f>
        <v>949236.76603093103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1574.4251217840078</v>
      </c>
      <c r="D7" s="13">
        <f>Income_Statement!D61</f>
        <v>2372.9093110243871</v>
      </c>
      <c r="E7" s="13">
        <f>Income_Statement!E61</f>
        <v>2888.7289731066844</v>
      </c>
      <c r="F7" s="13">
        <f>Income_Statement!F61</f>
        <v>1908.1696864981602</v>
      </c>
      <c r="G7" s="13">
        <f>Income_Statement!G61</f>
        <v>1974.935007746911</v>
      </c>
    </row>
    <row r="8" spans="2:15" ht="18.75" x14ac:dyDescent="0.25">
      <c r="B8" s="14" t="s">
        <v>150</v>
      </c>
      <c r="C8" s="14">
        <f>ROUND(C6/C7, 2)</f>
        <v>186.41</v>
      </c>
      <c r="D8" s="14">
        <f t="shared" ref="D8:G8" si="0">ROUND(D6/D7, 2)</f>
        <v>188.88</v>
      </c>
      <c r="E8" s="14">
        <f t="shared" si="0"/>
        <v>216.71</v>
      </c>
      <c r="F8" s="14">
        <f t="shared" si="0"/>
        <v>402.07</v>
      </c>
      <c r="G8" s="14">
        <f t="shared" si="0"/>
        <v>480.64</v>
      </c>
    </row>
  </sheetData>
  <mergeCells count="1">
    <mergeCell ref="B5:G5"/>
  </mergeCells>
  <hyperlinks>
    <hyperlink ref="F1" location="Index_Data!A1" tooltip="Hi click here To return Index page" display="Index_Data!A1" xr:uid="{82F9698D-9ABF-4951-9BFC-4B9DACBBE6C0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D3310-A51A-40C3-8895-44BD865B7074}">
  <dimension ref="B1:O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151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3255</v>
      </c>
      <c r="D6" s="13">
        <f>Income_Statement!D51</f>
        <v>3554</v>
      </c>
      <c r="E6" s="13">
        <f>Income_Statement!E51</f>
        <v>3852</v>
      </c>
      <c r="F6" s="13">
        <f>Income_Statement!F51</f>
        <v>3921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1574.4251217840078</v>
      </c>
      <c r="D7" s="13">
        <f>Income_Statement!D61</f>
        <v>2372.9093110243871</v>
      </c>
      <c r="E7" s="13">
        <f>Income_Statement!E61</f>
        <v>2888.7289731066844</v>
      </c>
      <c r="F7" s="13">
        <f>Income_Statement!F61</f>
        <v>1908.1696864981602</v>
      </c>
      <c r="G7" s="13">
        <f>Income_Statement!G61</f>
        <v>1974.935007746911</v>
      </c>
    </row>
    <row r="8" spans="2:15" ht="18.75" x14ac:dyDescent="0.25">
      <c r="B8" s="12" t="s">
        <v>148</v>
      </c>
      <c r="C8" s="13">
        <f>ROUND(C6/C7, 2)</f>
        <v>2.0699999999999998</v>
      </c>
      <c r="D8" s="13">
        <f t="shared" ref="D8:G8" si="0">ROUND(D6/D7, 2)</f>
        <v>1.5</v>
      </c>
      <c r="E8" s="13">
        <f t="shared" si="0"/>
        <v>1.33</v>
      </c>
      <c r="F8" s="13">
        <f t="shared" si="0"/>
        <v>2.0499999999999998</v>
      </c>
      <c r="G8" s="13">
        <f t="shared" si="0"/>
        <v>0</v>
      </c>
    </row>
    <row r="9" spans="2:15" ht="18.75" x14ac:dyDescent="0.25">
      <c r="B9" s="12" t="str">
        <f>Income_Statement!B49</f>
        <v>Reported Net Profit(PAT)</v>
      </c>
      <c r="C9" s="13">
        <f>Income_Statement!C49</f>
        <v>96039.932428824482</v>
      </c>
      <c r="D9" s="13">
        <f>Income_Statement!D49</f>
        <v>158984.92383863393</v>
      </c>
      <c r="E9" s="13">
        <f>Income_Statement!E49</f>
        <v>181989.92530572112</v>
      </c>
      <c r="F9" s="13">
        <f>Income_Statement!F49</f>
        <v>145020.89617386018</v>
      </c>
      <c r="G9" s="13">
        <f>Income_Statement!G49</f>
        <v>181694.02071271581</v>
      </c>
    </row>
    <row r="10" spans="2:15" ht="18.75" x14ac:dyDescent="0.25">
      <c r="B10" s="12" t="str">
        <f>Income_Statement!B61</f>
        <v>Total Shares Outstanding(cr)</v>
      </c>
      <c r="C10" s="13">
        <f>Income_Statement!C61</f>
        <v>1574.4251217840078</v>
      </c>
      <c r="D10" s="13">
        <f>Income_Statement!D61</f>
        <v>2372.9093110243871</v>
      </c>
      <c r="E10" s="13">
        <f>Income_Statement!E61</f>
        <v>2888.7289731066844</v>
      </c>
      <c r="F10" s="13">
        <f>Income_Statement!F61</f>
        <v>1908.1696864981602</v>
      </c>
      <c r="G10" s="13">
        <f>Income_Statement!G61</f>
        <v>1974.935007746911</v>
      </c>
    </row>
    <row r="11" spans="2:15" ht="18.75" x14ac:dyDescent="0.25">
      <c r="B11" s="12" t="s">
        <v>146</v>
      </c>
      <c r="C11" s="13">
        <f>C9/C10</f>
        <v>61</v>
      </c>
      <c r="D11" s="13">
        <f t="shared" ref="D11:G11" si="1">D9/D10</f>
        <v>67</v>
      </c>
      <c r="E11" s="13">
        <f t="shared" si="1"/>
        <v>63</v>
      </c>
      <c r="F11" s="13">
        <f t="shared" si="1"/>
        <v>76</v>
      </c>
      <c r="G11" s="13">
        <f t="shared" si="1"/>
        <v>92</v>
      </c>
    </row>
    <row r="12" spans="2:15" ht="18.75" x14ac:dyDescent="0.25">
      <c r="B12" s="14" t="s">
        <v>152</v>
      </c>
      <c r="C12" s="14">
        <f>ROUND(C8/C11, 2)</f>
        <v>0.03</v>
      </c>
      <c r="D12" s="14">
        <f t="shared" ref="D12:G12" si="2">ROUND(D8/D11, 2)</f>
        <v>0.02</v>
      </c>
      <c r="E12" s="14">
        <f t="shared" si="2"/>
        <v>0.02</v>
      </c>
      <c r="F12" s="14">
        <f t="shared" si="2"/>
        <v>0.03</v>
      </c>
      <c r="G12" s="14">
        <f t="shared" si="2"/>
        <v>0</v>
      </c>
    </row>
  </sheetData>
  <mergeCells count="1">
    <mergeCell ref="B5:G5"/>
  </mergeCells>
  <hyperlinks>
    <hyperlink ref="F1" location="Index_Data!A1" tooltip="Hi click here To return Index page" display="Index_Data!A1" xr:uid="{FDB2368C-D3AB-486A-BAB5-4A0DE00E77CD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8927D-26C7-4981-BD90-D45D438C27A8}">
  <dimension ref="B1:O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3" width="13.5703125" bestFit="1" customWidth="1"/>
    <col min="4" max="5" width="11.85546875" bestFit="1" customWidth="1"/>
    <col min="6" max="6" width="13.5703125" bestFit="1" customWidth="1"/>
    <col min="7" max="7" width="12.425781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153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3255</v>
      </c>
      <c r="D6" s="13">
        <f>Income_Statement!D51</f>
        <v>3554</v>
      </c>
      <c r="E6" s="13">
        <f>Income_Statement!E51</f>
        <v>3852</v>
      </c>
      <c r="F6" s="13">
        <f>Income_Statement!F51</f>
        <v>3921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1574.4251217840078</v>
      </c>
      <c r="D7" s="13">
        <f>Income_Statement!D61</f>
        <v>2372.9093110243871</v>
      </c>
      <c r="E7" s="13">
        <f>Income_Statement!E61</f>
        <v>2888.7289731066844</v>
      </c>
      <c r="F7" s="13">
        <f>Income_Statement!F61</f>
        <v>1908.1696864981602</v>
      </c>
      <c r="G7" s="13">
        <f>Income_Statement!G61</f>
        <v>1974.935007746911</v>
      </c>
    </row>
    <row r="8" spans="2:15" ht="18.75" x14ac:dyDescent="0.25">
      <c r="B8" s="12" t="s">
        <v>154</v>
      </c>
      <c r="C8" s="13">
        <f>ROUND(C6/C7, 2)</f>
        <v>2.0699999999999998</v>
      </c>
      <c r="D8" s="13">
        <f t="shared" ref="D8:G8" si="0">ROUND(D6/D7, 2)</f>
        <v>1.5</v>
      </c>
      <c r="E8" s="13">
        <f t="shared" si="0"/>
        <v>1.33</v>
      </c>
      <c r="F8" s="13">
        <f t="shared" si="0"/>
        <v>2.0499999999999998</v>
      </c>
      <c r="G8" s="13">
        <f t="shared" si="0"/>
        <v>0</v>
      </c>
    </row>
    <row r="9" spans="2:15" ht="18.75" x14ac:dyDescent="0.25">
      <c r="B9" s="14" t="s">
        <v>155</v>
      </c>
      <c r="C9" s="15">
        <f>1-C8</f>
        <v>-1.0699999999999998</v>
      </c>
      <c r="D9" s="15">
        <f t="shared" ref="D9:G9" si="1">1-D8</f>
        <v>-0.5</v>
      </c>
      <c r="E9" s="15">
        <f t="shared" si="1"/>
        <v>-0.33000000000000007</v>
      </c>
      <c r="F9" s="15">
        <f t="shared" si="1"/>
        <v>-1.0499999999999998</v>
      </c>
      <c r="G9" s="15">
        <f t="shared" si="1"/>
        <v>1</v>
      </c>
    </row>
  </sheetData>
  <mergeCells count="1">
    <mergeCell ref="B5:G5"/>
  </mergeCells>
  <hyperlinks>
    <hyperlink ref="F1" location="Index_Data!A1" tooltip="Hi click here To return Index page" display="Index_Data!A1" xr:uid="{9B3223D5-339E-4F8B-9F3F-4717D82C2294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3F107-CF9C-489C-8372-99520A0DD8B8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156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430731</v>
      </c>
      <c r="D6" s="13">
        <f>Income_Statement!D5</f>
        <v>625212</v>
      </c>
      <c r="E6" s="13">
        <f>Income_Statement!E5</f>
        <v>659997</v>
      </c>
      <c r="F6" s="13">
        <f>Income_Statement!F5</f>
        <v>539238</v>
      </c>
      <c r="G6" s="13">
        <f>Income_Statement!G5</f>
        <v>721634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207448</v>
      </c>
      <c r="D7" s="13">
        <f>Income_Statement!D17</f>
        <v>275237</v>
      </c>
      <c r="E7" s="13">
        <f>Income_Statement!E17</f>
        <v>260621</v>
      </c>
      <c r="F7" s="13">
        <f>Income_Statement!F17</f>
        <v>199915</v>
      </c>
      <c r="G7" s="13">
        <f>Income_Statement!G17</f>
        <v>360784</v>
      </c>
    </row>
    <row r="8" spans="2:15" ht="18.75" x14ac:dyDescent="0.25">
      <c r="B8" s="14" t="s">
        <v>157</v>
      </c>
      <c r="C8" s="16">
        <f>ROUND(C6- C7, 2)</f>
        <v>223283</v>
      </c>
      <c r="D8" s="16">
        <f t="shared" ref="D8:G8" si="0">ROUND(D6- D7, 2)</f>
        <v>349975</v>
      </c>
      <c r="E8" s="16">
        <f t="shared" si="0"/>
        <v>399376</v>
      </c>
      <c r="F8" s="16">
        <f t="shared" si="0"/>
        <v>339323</v>
      </c>
      <c r="G8" s="16">
        <f t="shared" si="0"/>
        <v>360850</v>
      </c>
    </row>
  </sheetData>
  <mergeCells count="1">
    <mergeCell ref="B5:G5"/>
  </mergeCells>
  <hyperlinks>
    <hyperlink ref="F1" location="Index_Data!A1" tooltip="Hi click here To return Index page" display="Index_Data!A1" xr:uid="{C419CB26-26EA-4822-BDC4-9D1D842B0486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93223-9087-46D2-B0B3-71F69979ED64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158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430731</v>
      </c>
      <c r="D6" s="13">
        <f>Income_Statement!D5</f>
        <v>625212</v>
      </c>
      <c r="E6" s="13">
        <f>Income_Statement!E5</f>
        <v>659997</v>
      </c>
      <c r="F6" s="13">
        <f>Income_Statement!F5</f>
        <v>539238</v>
      </c>
      <c r="G6" s="13">
        <f>Income_Statement!G5</f>
        <v>721634</v>
      </c>
    </row>
    <row r="7" spans="2:15" ht="18.75" x14ac:dyDescent="0.25">
      <c r="B7" s="12" t="str">
        <f>Income_Statement!B25</f>
        <v>Total Expenditure</v>
      </c>
      <c r="C7" s="13">
        <f>Income_Statement!C25</f>
        <v>267483</v>
      </c>
      <c r="D7" s="13">
        <f>Income_Statement!D25</f>
        <v>365792</v>
      </c>
      <c r="E7" s="13">
        <f>Income_Statement!E25</f>
        <v>366310</v>
      </c>
      <c r="F7" s="13">
        <f>Income_Statement!F25</f>
        <v>294390</v>
      </c>
      <c r="G7" s="13">
        <f>Income_Statement!G25</f>
        <v>497046</v>
      </c>
    </row>
    <row r="8" spans="2:15" ht="18.75" x14ac:dyDescent="0.25">
      <c r="B8" s="14" t="s">
        <v>159</v>
      </c>
      <c r="C8" s="16">
        <f>ROUND(C6- C7, 2)</f>
        <v>163248</v>
      </c>
      <c r="D8" s="16">
        <f t="shared" ref="D8:G8" si="0">ROUND(D6- D7, 2)</f>
        <v>259420</v>
      </c>
      <c r="E8" s="16">
        <f t="shared" si="0"/>
        <v>293687</v>
      </c>
      <c r="F8" s="16">
        <f t="shared" si="0"/>
        <v>244848</v>
      </c>
      <c r="G8" s="16">
        <f t="shared" si="0"/>
        <v>224588</v>
      </c>
    </row>
  </sheetData>
  <mergeCells count="1">
    <mergeCell ref="B5:G5"/>
  </mergeCells>
  <hyperlinks>
    <hyperlink ref="F1" location="Index_Data!A1" tooltip="Hi click here To return Index page" display="Index_Data!A1" xr:uid="{49EB5DA6-4C1F-4F05-8406-B255A9429C57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97415-C147-4CEB-B394-4716FEBA0ED3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3" width="14.85546875" bestFit="1" customWidth="1"/>
    <col min="4" max="7" width="16.425781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160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96039.932428824482</v>
      </c>
      <c r="D6" s="13">
        <f>Income_Statement!D49</f>
        <v>158984.92383863393</v>
      </c>
      <c r="E6" s="13">
        <f>Income_Statement!E49</f>
        <v>181989.92530572112</v>
      </c>
      <c r="F6" s="13">
        <f>Income_Statement!F49</f>
        <v>145020.89617386018</v>
      </c>
      <c r="G6" s="13">
        <f>Income_Statement!G49</f>
        <v>181694.02071271581</v>
      </c>
    </row>
    <row r="7" spans="2:15" ht="18.75" x14ac:dyDescent="0.25">
      <c r="B7" s="12" t="str">
        <f>Balance_Sheet!B74</f>
        <v>Total Assets</v>
      </c>
      <c r="C7" s="13">
        <f>Balance_Sheet!C74</f>
        <v>816333</v>
      </c>
      <c r="D7" s="13">
        <f>Balance_Sheet!D74</f>
        <v>1063491.923838634</v>
      </c>
      <c r="E7" s="13">
        <f>Balance_Sheet!E74</f>
        <v>1342764.8491443549</v>
      </c>
      <c r="F7" s="13">
        <f>Balance_Sheet!F74</f>
        <v>1388262.7453182153</v>
      </c>
      <c r="G7" s="13">
        <f>Balance_Sheet!G74</f>
        <v>1669416.7660309309</v>
      </c>
    </row>
    <row r="8" spans="2:15" ht="18.75" x14ac:dyDescent="0.25">
      <c r="B8" s="14" t="s">
        <v>161</v>
      </c>
      <c r="C8" s="15">
        <f>ROUND(C6/ C7, 2)</f>
        <v>0.12</v>
      </c>
      <c r="D8" s="15">
        <f t="shared" ref="D8:G8" si="0">ROUND(D6/ D7, 2)</f>
        <v>0.15</v>
      </c>
      <c r="E8" s="15">
        <f t="shared" si="0"/>
        <v>0.14000000000000001</v>
      </c>
      <c r="F8" s="15">
        <f t="shared" si="0"/>
        <v>0.1</v>
      </c>
      <c r="G8" s="15">
        <f t="shared" si="0"/>
        <v>0.11</v>
      </c>
    </row>
  </sheetData>
  <mergeCells count="1">
    <mergeCell ref="B5:G5"/>
  </mergeCells>
  <hyperlinks>
    <hyperlink ref="F1" location="Index_Data!A1" tooltip="Hi click here To return Index page" display="Index_Data!A1" xr:uid="{A771793D-3580-4D58-86B6-AB639EDCF169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765C1-D0AE-44F6-95C1-40146D373C62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162</v>
      </c>
      <c r="C5" s="43"/>
      <c r="D5" s="43"/>
      <c r="E5" s="43"/>
      <c r="F5" s="43"/>
      <c r="G5" s="43"/>
    </row>
    <row r="6" spans="2:15" ht="18.75" x14ac:dyDescent="0.25">
      <c r="B6" s="12" t="str">
        <f>Income_Statement!B33</f>
        <v>PBIT</v>
      </c>
      <c r="C6" s="13">
        <f>Income_Statement!C33</f>
        <v>117437.93242882448</v>
      </c>
      <c r="D6" s="13">
        <f>Income_Statement!D33</f>
        <v>190869.92383863393</v>
      </c>
      <c r="E6" s="13">
        <f>Income_Statement!E33</f>
        <v>222186.92530572112</v>
      </c>
      <c r="F6" s="13">
        <f>Income_Statement!F33</f>
        <v>162289.89617386018</v>
      </c>
      <c r="G6" s="13">
        <f>Income_Statement!G33</f>
        <v>209739.02071271581</v>
      </c>
    </row>
    <row r="7" spans="2:15" ht="18.75" x14ac:dyDescent="0.25">
      <c r="B7" s="12" t="str">
        <f>Balance_Sheet!B21</f>
        <v>Total Debt</v>
      </c>
      <c r="C7" s="13">
        <f>Balance_Sheet!C21</f>
        <v>211222</v>
      </c>
      <c r="D7" s="13">
        <f>Balance_Sheet!D21</f>
        <v>321865</v>
      </c>
      <c r="E7" s="13">
        <f>Balance_Sheet!E21</f>
        <v>345540</v>
      </c>
      <c r="F7" s="13">
        <f>Balance_Sheet!F21</f>
        <v>260765</v>
      </c>
      <c r="G7" s="13">
        <f>Balance_Sheet!G21</f>
        <v>315949</v>
      </c>
    </row>
    <row r="8" spans="2:15" ht="18.75" x14ac:dyDescent="0.25">
      <c r="B8" s="12" t="str">
        <f>Balance_Sheet!B13</f>
        <v>Net Worth</v>
      </c>
      <c r="C8" s="13">
        <f>Balance_Sheet!C13</f>
        <v>293491</v>
      </c>
      <c r="D8" s="13">
        <f>Balance_Sheet!D13</f>
        <v>448197.92383863393</v>
      </c>
      <c r="E8" s="13">
        <f>Balance_Sheet!E13</f>
        <v>626016.84914435504</v>
      </c>
      <c r="F8" s="13">
        <f>Balance_Sheet!F13</f>
        <v>767222.74531821522</v>
      </c>
      <c r="G8" s="13">
        <f>Balance_Sheet!G13</f>
        <v>949236.76603093103</v>
      </c>
    </row>
    <row r="9" spans="2:15" ht="18.75" x14ac:dyDescent="0.25">
      <c r="B9" s="14" t="s">
        <v>163</v>
      </c>
      <c r="C9" s="15">
        <f>ROUND(C6/ (C7+ C7), 2)</f>
        <v>0.28000000000000003</v>
      </c>
      <c r="D9" s="15">
        <f t="shared" ref="D9:G9" si="0">ROUND(D6/ (D7+ D7), 2)</f>
        <v>0.3</v>
      </c>
      <c r="E9" s="15">
        <f t="shared" si="0"/>
        <v>0.32</v>
      </c>
      <c r="F9" s="15">
        <f t="shared" si="0"/>
        <v>0.31</v>
      </c>
      <c r="G9" s="15">
        <f t="shared" si="0"/>
        <v>0.33</v>
      </c>
    </row>
  </sheetData>
  <mergeCells count="1">
    <mergeCell ref="B5:G5"/>
  </mergeCells>
  <hyperlinks>
    <hyperlink ref="F1" location="Index_Data!A1" tooltip="Hi click here To return Index page" display="Index_Data!A1" xr:uid="{AF88AF4A-51F5-42B2-A022-CEE2B55BCDF3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F5437-33F1-4CD0-9802-EE227AB7E7E4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164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96039.932428824482</v>
      </c>
      <c r="D6" s="13">
        <f>Income_Statement!D49</f>
        <v>158984.92383863393</v>
      </c>
      <c r="E6" s="13">
        <f>Income_Statement!E49</f>
        <v>181989.92530572112</v>
      </c>
      <c r="F6" s="13">
        <f>Income_Statement!F49</f>
        <v>145020.89617386018</v>
      </c>
      <c r="G6" s="13">
        <f>Income_Statement!G49</f>
        <v>181694.02071271581</v>
      </c>
    </row>
    <row r="7" spans="2:15" ht="18.75" x14ac:dyDescent="0.25">
      <c r="B7" s="12" t="str">
        <f>Balance_Sheet!B13</f>
        <v>Net Worth</v>
      </c>
      <c r="C7" s="13">
        <f>Balance_Sheet!C13</f>
        <v>293491</v>
      </c>
      <c r="D7" s="13">
        <f>Balance_Sheet!D13</f>
        <v>448197.92383863393</v>
      </c>
      <c r="E7" s="13">
        <f>Balance_Sheet!E13</f>
        <v>626016.84914435504</v>
      </c>
      <c r="F7" s="13">
        <f>Balance_Sheet!F13</f>
        <v>767222.74531821522</v>
      </c>
      <c r="G7" s="13">
        <f>Balance_Sheet!G13</f>
        <v>949236.76603093103</v>
      </c>
    </row>
    <row r="8" spans="2:15" ht="18.75" x14ac:dyDescent="0.25">
      <c r="B8" s="14" t="s">
        <v>165</v>
      </c>
      <c r="C8" s="15">
        <f>ROUND(C6/ (C7+ C7), 2)</f>
        <v>0.16</v>
      </c>
      <c r="D8" s="15">
        <f t="shared" ref="D8:G8" si="0">ROUND(D6/ (D7+ D7), 2)</f>
        <v>0.18</v>
      </c>
      <c r="E8" s="15">
        <f t="shared" si="0"/>
        <v>0.15</v>
      </c>
      <c r="F8" s="15">
        <f t="shared" si="0"/>
        <v>0.09</v>
      </c>
      <c r="G8" s="15">
        <f t="shared" si="0"/>
        <v>0.1</v>
      </c>
    </row>
  </sheetData>
  <mergeCells count="1">
    <mergeCell ref="B5:G5"/>
  </mergeCells>
  <hyperlinks>
    <hyperlink ref="F1" location="Index_Data!A1" tooltip="Hi click here To return Index page" display="Index_Data!A1" xr:uid="{42DE8C91-A11D-4F0B-9969-21001DE2C122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631E4-0D26-4172-9551-9E529EB71CC5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166</v>
      </c>
      <c r="C5" s="43"/>
      <c r="D5" s="43"/>
      <c r="E5" s="43"/>
      <c r="F5" s="43"/>
      <c r="G5" s="43"/>
    </row>
    <row r="6" spans="2:15" ht="18.75" x14ac:dyDescent="0.25">
      <c r="B6" s="12" t="str">
        <f>Balance_Sheet!B21</f>
        <v>Total Debt</v>
      </c>
      <c r="C6" s="13">
        <f>Balance_Sheet!C21</f>
        <v>211222</v>
      </c>
      <c r="D6" s="13">
        <f>Balance_Sheet!D21</f>
        <v>321865</v>
      </c>
      <c r="E6" s="13">
        <f>Balance_Sheet!E21</f>
        <v>345540</v>
      </c>
      <c r="F6" s="13">
        <f>Balance_Sheet!F21</f>
        <v>260765</v>
      </c>
      <c r="G6" s="13">
        <f>Balance_Sheet!G21</f>
        <v>315949</v>
      </c>
    </row>
    <row r="7" spans="2:15" ht="18.75" x14ac:dyDescent="0.25">
      <c r="B7" s="12" t="str">
        <f>Balance_Sheet!B13</f>
        <v>Net Worth</v>
      </c>
      <c r="C7" s="13">
        <f>Balance_Sheet!C13</f>
        <v>293491</v>
      </c>
      <c r="D7" s="13">
        <f>Balance_Sheet!D13</f>
        <v>448197.92383863393</v>
      </c>
      <c r="E7" s="13">
        <f>Balance_Sheet!E13</f>
        <v>626016.84914435504</v>
      </c>
      <c r="F7" s="13">
        <f>Balance_Sheet!F13</f>
        <v>767222.74531821522</v>
      </c>
      <c r="G7" s="13">
        <f>Balance_Sheet!G13</f>
        <v>949236.76603093103</v>
      </c>
    </row>
    <row r="8" spans="2:15" ht="18.75" x14ac:dyDescent="0.25">
      <c r="B8" s="14" t="s">
        <v>167</v>
      </c>
      <c r="C8" s="14">
        <f>ROUND(C6/ C7, 2)</f>
        <v>0.72</v>
      </c>
      <c r="D8" s="14">
        <f t="shared" ref="D8:G8" si="0">ROUND(D6/ D7, 2)</f>
        <v>0.72</v>
      </c>
      <c r="E8" s="14">
        <f t="shared" si="0"/>
        <v>0.55000000000000004</v>
      </c>
      <c r="F8" s="14">
        <f t="shared" si="0"/>
        <v>0.34</v>
      </c>
      <c r="G8" s="14">
        <f t="shared" si="0"/>
        <v>0.33</v>
      </c>
    </row>
  </sheetData>
  <mergeCells count="1">
    <mergeCell ref="B5:G5"/>
  </mergeCells>
  <hyperlinks>
    <hyperlink ref="F1" location="Index_Data!A1" tooltip="Hi click here To return Index page" display="Index_Data!A1" xr:uid="{21A35183-2CD1-4C8F-A73A-16293FCADCB7}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79CC9-0D2F-41B8-A23A-57A64C01F07D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168</v>
      </c>
      <c r="C5" s="43"/>
      <c r="D5" s="43"/>
      <c r="E5" s="43"/>
      <c r="F5" s="43"/>
      <c r="G5" s="43"/>
    </row>
    <row r="6" spans="2:15" ht="18.75" x14ac:dyDescent="0.25">
      <c r="B6" s="12" t="str">
        <f>Balance_Sheet!B72</f>
        <v>Total Current Assets</v>
      </c>
      <c r="C6" s="13">
        <f>Balance_Sheet!C72</f>
        <v>142579</v>
      </c>
      <c r="D6" s="13">
        <f>Balance_Sheet!D72</f>
        <v>312235.92383863393</v>
      </c>
      <c r="E6" s="13">
        <f>Balance_Sheet!E72</f>
        <v>527639.84914435504</v>
      </c>
      <c r="F6" s="13">
        <f>Balance_Sheet!F72</f>
        <v>490926.74531821522</v>
      </c>
      <c r="G6" s="13">
        <f>Balance_Sheet!G72</f>
        <v>587363.76603093103</v>
      </c>
    </row>
    <row r="7" spans="2:15" ht="18.75" x14ac:dyDescent="0.25">
      <c r="B7" s="12" t="str">
        <f>Balance_Sheet!B33</f>
        <v>Total Current Liabilities</v>
      </c>
      <c r="C7" s="13">
        <f>Balance_Sheet!C33</f>
        <v>308081</v>
      </c>
      <c r="D7" s="13">
        <f>Balance_Sheet!D33</f>
        <v>285149</v>
      </c>
      <c r="E7" s="13">
        <f>Balance_Sheet!E33</f>
        <v>359027</v>
      </c>
      <c r="F7" s="13">
        <f>Balance_Sheet!F33</f>
        <v>261015</v>
      </c>
      <c r="G7" s="13">
        <f>Balance_Sheet!G33</f>
        <v>294732</v>
      </c>
    </row>
    <row r="8" spans="2:15" ht="18.75" x14ac:dyDescent="0.25">
      <c r="B8" s="14" t="s">
        <v>169</v>
      </c>
      <c r="C8" s="14">
        <f>ROUND(C6/ C7, 2)</f>
        <v>0.46</v>
      </c>
      <c r="D8" s="14">
        <f t="shared" ref="D8:G8" si="0">ROUND(D6/ D7, 2)</f>
        <v>1.0900000000000001</v>
      </c>
      <c r="E8" s="14">
        <f t="shared" si="0"/>
        <v>1.47</v>
      </c>
      <c r="F8" s="14">
        <f t="shared" si="0"/>
        <v>1.88</v>
      </c>
      <c r="G8" s="14">
        <f t="shared" si="0"/>
        <v>1.99</v>
      </c>
    </row>
  </sheetData>
  <mergeCells count="1">
    <mergeCell ref="B5:G5"/>
  </mergeCells>
  <hyperlinks>
    <hyperlink ref="F1" location="Index_Data!A1" tooltip="Hi click here To return Index page" display="Index_Data!A1" xr:uid="{360F523A-BFCA-4A44-B576-CE6EDDC8078E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FE554-DA1F-421C-BC95-597CA108D514}">
  <dimension ref="A1:O41"/>
  <sheetViews>
    <sheetView topLeftCell="A23" workbookViewId="0">
      <selection activeCell="A41" sqref="A41"/>
    </sheetView>
  </sheetViews>
  <sheetFormatPr defaultRowHeight="15" x14ac:dyDescent="0.25"/>
  <sheetData>
    <row r="1" spans="1:15" x14ac:dyDescent="0.25">
      <c r="F1" s="44" t="s">
        <v>271</v>
      </c>
      <c r="O1" s="45"/>
    </row>
    <row r="2" spans="1:15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56</v>
      </c>
      <c r="H4" t="s">
        <v>1</v>
      </c>
    </row>
    <row r="5" spans="1:15" x14ac:dyDescent="0.25">
      <c r="A5" t="s">
        <v>97</v>
      </c>
      <c r="B5" t="s">
        <v>97</v>
      </c>
      <c r="C5" s="2">
        <v>430731</v>
      </c>
      <c r="D5" s="2">
        <v>625212</v>
      </c>
      <c r="E5" s="2">
        <v>659997</v>
      </c>
      <c r="F5" s="2">
        <v>539238</v>
      </c>
      <c r="G5" s="2">
        <v>721634</v>
      </c>
      <c r="H5" t="s">
        <v>1</v>
      </c>
    </row>
    <row r="6" spans="1:15" x14ac:dyDescent="0.25">
      <c r="A6" t="s">
        <v>98</v>
      </c>
      <c r="B6" t="s">
        <v>98</v>
      </c>
      <c r="C6">
        <v>39054</v>
      </c>
      <c r="D6" s="2">
        <v>56003</v>
      </c>
      <c r="E6" s="2">
        <v>62462</v>
      </c>
      <c r="F6" s="2">
        <v>72314</v>
      </c>
      <c r="G6" s="2">
        <v>0</v>
      </c>
      <c r="H6" t="s">
        <v>1</v>
      </c>
    </row>
    <row r="7" spans="1:15" x14ac:dyDescent="0.25">
      <c r="B7" t="s">
        <v>57</v>
      </c>
      <c r="C7" s="2">
        <v>391677</v>
      </c>
      <c r="D7" s="2">
        <v>569209</v>
      </c>
      <c r="E7" s="2">
        <v>597535</v>
      </c>
      <c r="F7" s="2">
        <v>466924</v>
      </c>
      <c r="G7" s="2">
        <v>721634</v>
      </c>
      <c r="H7" t="s">
        <v>1</v>
      </c>
    </row>
    <row r="8" spans="1:15" x14ac:dyDescent="0.25">
      <c r="B8" t="s">
        <v>58</v>
      </c>
      <c r="C8" s="2">
        <v>391677</v>
      </c>
      <c r="D8" s="2">
        <v>569209</v>
      </c>
      <c r="E8" s="2">
        <v>597535</v>
      </c>
      <c r="F8" s="2">
        <v>466924</v>
      </c>
      <c r="G8" s="2">
        <v>721634</v>
      </c>
      <c r="H8" t="s">
        <v>1</v>
      </c>
    </row>
    <row r="9" spans="1:15" x14ac:dyDescent="0.25">
      <c r="A9" t="s">
        <v>59</v>
      </c>
      <c r="B9" t="s">
        <v>59</v>
      </c>
      <c r="C9" s="2">
        <v>9949</v>
      </c>
      <c r="D9" s="2">
        <v>8386</v>
      </c>
      <c r="E9" s="2">
        <v>13164</v>
      </c>
      <c r="F9" s="2">
        <v>16327</v>
      </c>
      <c r="G9" s="2">
        <v>14947</v>
      </c>
      <c r="H9" t="s">
        <v>1</v>
      </c>
    </row>
    <row r="10" spans="1:15" x14ac:dyDescent="0.25">
      <c r="B10" t="s">
        <v>60</v>
      </c>
      <c r="C10" s="2">
        <v>401626</v>
      </c>
      <c r="D10" s="2">
        <v>577595</v>
      </c>
      <c r="E10" s="2">
        <v>610699</v>
      </c>
      <c r="F10" s="2">
        <v>483251</v>
      </c>
      <c r="G10" s="2">
        <v>736581</v>
      </c>
      <c r="H10" t="s">
        <v>1</v>
      </c>
    </row>
    <row r="11" spans="1:15" x14ac:dyDescent="0.25">
      <c r="B11" t="s">
        <v>61</v>
      </c>
      <c r="H11" t="s">
        <v>1</v>
      </c>
    </row>
    <row r="12" spans="1:15" x14ac:dyDescent="0.25">
      <c r="A12" t="s">
        <v>99</v>
      </c>
      <c r="B12" t="s">
        <v>62</v>
      </c>
      <c r="C12" s="2">
        <v>207448</v>
      </c>
      <c r="D12" s="2">
        <v>275237</v>
      </c>
      <c r="E12" s="2">
        <v>260621</v>
      </c>
      <c r="F12" s="2">
        <v>199915</v>
      </c>
      <c r="G12" s="2">
        <v>360784</v>
      </c>
      <c r="H12" t="s">
        <v>1</v>
      </c>
    </row>
    <row r="13" spans="1:15" x14ac:dyDescent="0.25">
      <c r="B13" t="s">
        <v>63</v>
      </c>
      <c r="C13" s="2">
        <v>68628</v>
      </c>
      <c r="D13" s="2">
        <v>123930</v>
      </c>
      <c r="E13" s="2">
        <v>149667</v>
      </c>
      <c r="F13" s="2">
        <v>101850</v>
      </c>
      <c r="G13" s="2">
        <v>135585</v>
      </c>
      <c r="H13" t="s">
        <v>1</v>
      </c>
    </row>
    <row r="14" spans="1:15" x14ac:dyDescent="0.25">
      <c r="A14" t="s">
        <v>99</v>
      </c>
      <c r="B14" t="s">
        <v>64</v>
      </c>
      <c r="C14">
        <v>0</v>
      </c>
      <c r="D14" s="2">
        <v>28360</v>
      </c>
      <c r="E14" s="2">
        <v>24155</v>
      </c>
      <c r="F14" s="2">
        <v>19978</v>
      </c>
      <c r="G14">
        <v>0</v>
      </c>
      <c r="H14" t="s">
        <v>1</v>
      </c>
    </row>
    <row r="15" spans="1:15" x14ac:dyDescent="0.25">
      <c r="B15" t="s">
        <v>65</v>
      </c>
      <c r="C15" s="2">
        <v>-8610</v>
      </c>
      <c r="D15" s="2">
        <v>-4680</v>
      </c>
      <c r="E15" s="2">
        <v>-5048</v>
      </c>
      <c r="F15" s="2">
        <v>-9064</v>
      </c>
      <c r="G15" s="2">
        <v>-21457</v>
      </c>
      <c r="H15" t="s">
        <v>1</v>
      </c>
    </row>
    <row r="16" spans="1:15" x14ac:dyDescent="0.25">
      <c r="A16" t="s">
        <v>99</v>
      </c>
      <c r="B16" t="s">
        <v>66</v>
      </c>
      <c r="C16" s="2">
        <v>9523</v>
      </c>
      <c r="D16" s="2">
        <v>12488</v>
      </c>
      <c r="E16" s="2">
        <v>14075</v>
      </c>
      <c r="F16" s="2">
        <v>14817</v>
      </c>
      <c r="G16" s="2">
        <v>18775</v>
      </c>
      <c r="H16" t="s">
        <v>1</v>
      </c>
    </row>
    <row r="17" spans="1:8" x14ac:dyDescent="0.25">
      <c r="A17" t="s">
        <v>100</v>
      </c>
      <c r="B17" t="s">
        <v>67</v>
      </c>
      <c r="C17" s="2">
        <v>8052</v>
      </c>
      <c r="D17" s="2">
        <v>16495</v>
      </c>
      <c r="E17" s="2">
        <v>22027</v>
      </c>
      <c r="F17" s="2">
        <v>21189</v>
      </c>
      <c r="G17" s="2">
        <v>14584</v>
      </c>
      <c r="H17" t="s">
        <v>1</v>
      </c>
    </row>
    <row r="18" spans="1:8" x14ac:dyDescent="0.25">
      <c r="A18" t="s">
        <v>101</v>
      </c>
      <c r="B18" t="s">
        <v>68</v>
      </c>
      <c r="C18" s="2">
        <v>16706</v>
      </c>
      <c r="D18" s="2">
        <v>20934</v>
      </c>
      <c r="E18" s="2">
        <v>22203</v>
      </c>
      <c r="F18" s="2">
        <v>26572</v>
      </c>
      <c r="G18" s="2">
        <v>29797</v>
      </c>
      <c r="H18" t="s">
        <v>1</v>
      </c>
    </row>
    <row r="19" spans="1:8" x14ac:dyDescent="0.25">
      <c r="A19" t="s">
        <v>99</v>
      </c>
      <c r="B19" t="s">
        <v>69</v>
      </c>
      <c r="C19" s="2">
        <v>50512</v>
      </c>
      <c r="D19" s="2">
        <v>49707</v>
      </c>
      <c r="E19" s="2">
        <v>67459</v>
      </c>
      <c r="F19" s="2">
        <v>59680</v>
      </c>
      <c r="G19" s="2">
        <v>117487</v>
      </c>
      <c r="H19" t="s">
        <v>1</v>
      </c>
    </row>
    <row r="20" spans="1:8" x14ac:dyDescent="0.25">
      <c r="B20" t="s">
        <v>70</v>
      </c>
      <c r="C20" s="2">
        <v>352259</v>
      </c>
      <c r="D20" s="2">
        <v>522471</v>
      </c>
      <c r="E20" s="2">
        <v>552756</v>
      </c>
      <c r="F20" s="2">
        <v>433948</v>
      </c>
      <c r="G20" s="2">
        <v>655555</v>
      </c>
      <c r="H20" t="s">
        <v>1</v>
      </c>
    </row>
    <row r="21" spans="1:8" x14ac:dyDescent="0.25">
      <c r="B21" t="s">
        <v>71</v>
      </c>
      <c r="C21" s="2">
        <v>49367</v>
      </c>
      <c r="D21" s="2">
        <v>55124</v>
      </c>
      <c r="E21" s="2">
        <v>57943</v>
      </c>
      <c r="F21" s="2">
        <v>49303</v>
      </c>
      <c r="G21" s="2">
        <v>81026</v>
      </c>
      <c r="H21" t="s">
        <v>1</v>
      </c>
    </row>
    <row r="22" spans="1:8" x14ac:dyDescent="0.25">
      <c r="A22" t="s">
        <v>102</v>
      </c>
      <c r="B22" t="s">
        <v>72</v>
      </c>
      <c r="C22" s="2">
        <v>0</v>
      </c>
      <c r="D22" s="2">
        <v>0</v>
      </c>
      <c r="E22" s="2">
        <v>-4444</v>
      </c>
      <c r="F22">
        <v>5642</v>
      </c>
      <c r="G22">
        <v>2836</v>
      </c>
      <c r="H22" t="s">
        <v>1</v>
      </c>
    </row>
    <row r="23" spans="1:8" x14ac:dyDescent="0.25">
      <c r="B23" t="s">
        <v>73</v>
      </c>
      <c r="C23" s="2">
        <v>49367</v>
      </c>
      <c r="D23" s="2">
        <v>55124</v>
      </c>
      <c r="E23" s="2">
        <v>53499</v>
      </c>
      <c r="F23" s="2">
        <v>54945</v>
      </c>
      <c r="G23" s="2">
        <v>83862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10098</v>
      </c>
      <c r="D25" s="2">
        <v>11683</v>
      </c>
      <c r="E25" s="2">
        <v>8630</v>
      </c>
      <c r="F25" s="2">
        <v>2205</v>
      </c>
      <c r="G25" s="2">
        <v>16297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3248</v>
      </c>
      <c r="D27">
        <v>3707</v>
      </c>
      <c r="E27" s="2">
        <v>5096</v>
      </c>
      <c r="F27" s="2">
        <v>-483</v>
      </c>
      <c r="G27" s="2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13346</v>
      </c>
      <c r="D29" s="2">
        <v>15390</v>
      </c>
      <c r="E29" s="2">
        <v>13726</v>
      </c>
      <c r="F29" s="2">
        <v>1722</v>
      </c>
      <c r="G29" s="2">
        <v>16297</v>
      </c>
      <c r="H29" t="s">
        <v>1</v>
      </c>
    </row>
    <row r="30" spans="1:8" x14ac:dyDescent="0.25">
      <c r="B30" t="s">
        <v>80</v>
      </c>
      <c r="C30" s="2">
        <v>36021</v>
      </c>
      <c r="D30" s="2">
        <v>39734</v>
      </c>
      <c r="E30" s="2">
        <v>39773</v>
      </c>
      <c r="F30" s="2">
        <v>53223</v>
      </c>
      <c r="G30" s="2">
        <v>67565</v>
      </c>
      <c r="H30" t="s">
        <v>1</v>
      </c>
    </row>
    <row r="31" spans="1:8" x14ac:dyDescent="0.25">
      <c r="B31" t="s">
        <v>81</v>
      </c>
      <c r="C31" s="2">
        <v>36021</v>
      </c>
      <c r="D31" s="2">
        <v>39734</v>
      </c>
      <c r="E31" s="2">
        <v>39773</v>
      </c>
      <c r="F31" s="2">
        <v>53223</v>
      </c>
      <c r="G31" s="2">
        <v>67565</v>
      </c>
      <c r="H31" t="s">
        <v>1</v>
      </c>
    </row>
    <row r="32" spans="1:8" x14ac:dyDescent="0.25">
      <c r="B32" t="s">
        <v>82</v>
      </c>
      <c r="C32" s="2">
        <v>36021</v>
      </c>
      <c r="D32" s="2">
        <v>39734</v>
      </c>
      <c r="E32" s="2">
        <v>39773</v>
      </c>
      <c r="F32" s="2">
        <v>53223</v>
      </c>
      <c r="G32" s="2">
        <v>67565</v>
      </c>
      <c r="H32" t="s">
        <v>1</v>
      </c>
    </row>
    <row r="33" spans="1:8" x14ac:dyDescent="0.25">
      <c r="B33" t="s">
        <v>10</v>
      </c>
      <c r="C33" s="2">
        <v>-5</v>
      </c>
      <c r="D33" s="2">
        <v>-249</v>
      </c>
      <c r="E33">
        <v>-526</v>
      </c>
      <c r="F33">
        <v>-4611</v>
      </c>
      <c r="G33">
        <v>-7140</v>
      </c>
      <c r="H33" t="s">
        <v>1</v>
      </c>
    </row>
    <row r="34" spans="1:8" x14ac:dyDescent="0.25">
      <c r="B34" t="s">
        <v>83</v>
      </c>
      <c r="C34" s="2">
        <v>36075</v>
      </c>
      <c r="D34" s="2">
        <v>39588</v>
      </c>
      <c r="E34" s="2">
        <v>39354</v>
      </c>
      <c r="F34" s="2">
        <v>49128</v>
      </c>
      <c r="G34" s="2">
        <v>60705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61</v>
      </c>
      <c r="D37">
        <v>67</v>
      </c>
      <c r="E37">
        <v>63</v>
      </c>
      <c r="F37">
        <v>76</v>
      </c>
      <c r="G37">
        <v>92</v>
      </c>
      <c r="H37" t="s">
        <v>1</v>
      </c>
    </row>
    <row r="38" spans="1:8" x14ac:dyDescent="0.25">
      <c r="B38" t="s">
        <v>86</v>
      </c>
      <c r="C38">
        <v>61</v>
      </c>
      <c r="D38">
        <v>67</v>
      </c>
      <c r="E38">
        <v>63</v>
      </c>
      <c r="F38">
        <v>75</v>
      </c>
      <c r="G38">
        <v>91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3255</v>
      </c>
      <c r="D40" s="2">
        <v>3554</v>
      </c>
      <c r="E40" s="2">
        <v>3852</v>
      </c>
      <c r="F40" s="2">
        <v>3921</v>
      </c>
      <c r="G40" s="2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661</v>
      </c>
      <c r="D41">
        <v>728</v>
      </c>
      <c r="E41">
        <v>732</v>
      </c>
      <c r="F41">
        <v>0</v>
      </c>
      <c r="G41">
        <v>0</v>
      </c>
      <c r="H41" t="s">
        <v>1</v>
      </c>
    </row>
  </sheetData>
  <hyperlinks>
    <hyperlink ref="F1" location="Index_Data!A1" tooltip="Hi click here To return Index page" display="Index_Data!A1" xr:uid="{83FE9498-6D5D-445C-B8A8-D5CCF8E95C3C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63D-D42B-4BEC-B158-B3375FAFDFF6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170</v>
      </c>
      <c r="C5" s="43"/>
      <c r="D5" s="43"/>
      <c r="E5" s="43"/>
      <c r="F5" s="43"/>
      <c r="G5" s="43"/>
    </row>
    <row r="6" spans="2:15" ht="18.75" x14ac:dyDescent="0.25">
      <c r="B6" s="12" t="str">
        <f>Balance_Sheet!B72</f>
        <v>Total Current Assets</v>
      </c>
      <c r="C6" s="13">
        <f>Balance_Sheet!C72</f>
        <v>142579</v>
      </c>
      <c r="D6" s="13">
        <f>Balance_Sheet!D72</f>
        <v>312235.92383863393</v>
      </c>
      <c r="E6" s="13">
        <f>Balance_Sheet!E72</f>
        <v>527639.84914435504</v>
      </c>
      <c r="F6" s="13">
        <f>Balance_Sheet!F72</f>
        <v>490926.74531821522</v>
      </c>
      <c r="G6" s="13">
        <f>Balance_Sheet!G72</f>
        <v>587363.76603093103</v>
      </c>
    </row>
    <row r="7" spans="2:15" ht="18.75" x14ac:dyDescent="0.25">
      <c r="B7" s="12" t="str">
        <f>Balance_Sheet!B66</f>
        <v>Inventories</v>
      </c>
      <c r="C7" s="13">
        <f>Balance_Sheet!C66</f>
        <v>60837</v>
      </c>
      <c r="D7" s="13">
        <f>Balance_Sheet!D66</f>
        <v>67561</v>
      </c>
      <c r="E7" s="13">
        <f>Balance_Sheet!E66</f>
        <v>73903</v>
      </c>
      <c r="F7" s="13">
        <f>Balance_Sheet!F66</f>
        <v>81672</v>
      </c>
      <c r="G7" s="13">
        <f>Balance_Sheet!G66</f>
        <v>107778</v>
      </c>
    </row>
    <row r="8" spans="2:15" ht="18.75" x14ac:dyDescent="0.25">
      <c r="B8" s="12" t="str">
        <f>Balance_Sheet!B33</f>
        <v>Total Current Liabilities</v>
      </c>
      <c r="C8" s="13">
        <f>Balance_Sheet!C33</f>
        <v>308081</v>
      </c>
      <c r="D8" s="13">
        <f>Balance_Sheet!D33</f>
        <v>285149</v>
      </c>
      <c r="E8" s="13">
        <f>Balance_Sheet!E33</f>
        <v>359027</v>
      </c>
      <c r="F8" s="13">
        <f>Balance_Sheet!F33</f>
        <v>261015</v>
      </c>
      <c r="G8" s="13">
        <f>Balance_Sheet!G33</f>
        <v>294732</v>
      </c>
    </row>
    <row r="9" spans="2:15" ht="18.75" x14ac:dyDescent="0.25">
      <c r="B9" s="14" t="s">
        <v>171</v>
      </c>
      <c r="C9" s="14">
        <f>ROUND((C6-C7)/ C8, 2)</f>
        <v>0.27</v>
      </c>
      <c r="D9" s="14">
        <f t="shared" ref="D9:G9" si="0">ROUND((D6-D7)/ D8, 2)</f>
        <v>0.86</v>
      </c>
      <c r="E9" s="14">
        <f t="shared" si="0"/>
        <v>1.26</v>
      </c>
      <c r="F9" s="14">
        <f t="shared" si="0"/>
        <v>1.57</v>
      </c>
      <c r="G9" s="14">
        <f t="shared" si="0"/>
        <v>1.63</v>
      </c>
    </row>
  </sheetData>
  <mergeCells count="1">
    <mergeCell ref="B5:G5"/>
  </mergeCells>
  <hyperlinks>
    <hyperlink ref="F1" location="Index_Data!A1" tooltip="Hi click here To return Index page" display="Index_Data!A1" xr:uid="{123F2E89-FB2D-4663-B91B-B0F9BF09A2CF}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1B6B1-066C-487F-B579-358390EDD9F4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172</v>
      </c>
      <c r="C5" s="43"/>
      <c r="D5" s="43"/>
      <c r="E5" s="43"/>
      <c r="F5" s="43"/>
      <c r="G5" s="43"/>
    </row>
    <row r="6" spans="2:15" ht="18.75" x14ac:dyDescent="0.25">
      <c r="B6" s="12" t="str">
        <f>Income_Statement!B33</f>
        <v>PBIT</v>
      </c>
      <c r="C6" s="13">
        <f>Income_Statement!C33</f>
        <v>117437.93242882448</v>
      </c>
      <c r="D6" s="13">
        <f>Income_Statement!D33</f>
        <v>190869.92383863393</v>
      </c>
      <c r="E6" s="13">
        <f>Income_Statement!E33</f>
        <v>222186.92530572112</v>
      </c>
      <c r="F6" s="13">
        <f>Income_Statement!F33</f>
        <v>162289.89617386018</v>
      </c>
      <c r="G6" s="13">
        <f>Income_Statement!G33</f>
        <v>209739.02071271581</v>
      </c>
    </row>
    <row r="7" spans="2:15" ht="18.75" x14ac:dyDescent="0.25">
      <c r="B7" s="12" t="str">
        <f>Income_Statement!B35</f>
        <v>Finance Costs</v>
      </c>
      <c r="C7" s="13">
        <f>Income_Statement!C35</f>
        <v>8052</v>
      </c>
      <c r="D7" s="13">
        <f>Income_Statement!D35</f>
        <v>16495</v>
      </c>
      <c r="E7" s="13">
        <f>Income_Statement!E35</f>
        <v>22027</v>
      </c>
      <c r="F7" s="13">
        <f>Income_Statement!F35</f>
        <v>21189</v>
      </c>
      <c r="G7" s="13">
        <f>Income_Statement!G35</f>
        <v>14584</v>
      </c>
    </row>
    <row r="8" spans="2:15" ht="18.75" x14ac:dyDescent="0.25">
      <c r="B8" s="14" t="s">
        <v>173</v>
      </c>
      <c r="C8" s="14">
        <f>ROUND(C6/C7, 2)</f>
        <v>14.58</v>
      </c>
      <c r="D8" s="14">
        <f t="shared" ref="D8:G8" si="0">ROUND(D6/D7, 2)</f>
        <v>11.57</v>
      </c>
      <c r="E8" s="14">
        <f t="shared" si="0"/>
        <v>10.09</v>
      </c>
      <c r="F8" s="14">
        <f t="shared" si="0"/>
        <v>7.66</v>
      </c>
      <c r="G8" s="14">
        <f t="shared" si="0"/>
        <v>14.38</v>
      </c>
    </row>
  </sheetData>
  <mergeCells count="1">
    <mergeCell ref="B5:G5"/>
  </mergeCells>
  <hyperlinks>
    <hyperlink ref="F1" location="Index_Data!A1" tooltip="Hi click here To return Index page" display="Index_Data!A1" xr:uid="{558D9C78-2368-44C0-AE01-8802A67CEF4B}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2ACD6-C023-4884-BA0B-8EF0ADA0EF83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174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207448</v>
      </c>
      <c r="D6" s="13">
        <f>Income_Statement!D17</f>
        <v>275237</v>
      </c>
      <c r="E6" s="13">
        <f>Income_Statement!E17</f>
        <v>260621</v>
      </c>
      <c r="F6" s="13">
        <f>Income_Statement!F17</f>
        <v>199915</v>
      </c>
      <c r="G6" s="13">
        <f>Income_Statement!G17</f>
        <v>360784</v>
      </c>
    </row>
    <row r="7" spans="2:15" ht="18.75" x14ac:dyDescent="0.25">
      <c r="B7" s="12" t="str">
        <f>Income_Statement!B9</f>
        <v>Net Sales</v>
      </c>
      <c r="C7" s="13">
        <f>Income_Statement!C9</f>
        <v>391677</v>
      </c>
      <c r="D7" s="13">
        <f>Income_Statement!D9</f>
        <v>569209</v>
      </c>
      <c r="E7" s="13">
        <f>Income_Statement!E9</f>
        <v>597535</v>
      </c>
      <c r="F7" s="13">
        <f>Income_Statement!F9</f>
        <v>466924</v>
      </c>
      <c r="G7" s="13">
        <f>Income_Statement!G9</f>
        <v>721634</v>
      </c>
    </row>
    <row r="8" spans="2:15" ht="18.75" x14ac:dyDescent="0.25">
      <c r="B8" s="14" t="s">
        <v>175</v>
      </c>
      <c r="C8" s="14">
        <f>ROUND(C6/C7, 2)</f>
        <v>0.53</v>
      </c>
      <c r="D8" s="14">
        <f t="shared" ref="D8:G8" si="0">ROUND(D6/D7, 2)</f>
        <v>0.48</v>
      </c>
      <c r="E8" s="14">
        <f t="shared" si="0"/>
        <v>0.44</v>
      </c>
      <c r="F8" s="14">
        <f t="shared" si="0"/>
        <v>0.43</v>
      </c>
      <c r="G8" s="14">
        <f t="shared" si="0"/>
        <v>0.5</v>
      </c>
    </row>
  </sheetData>
  <mergeCells count="1">
    <mergeCell ref="B5:G5"/>
  </mergeCells>
  <hyperlinks>
    <hyperlink ref="F1" location="Index_Data!A1" tooltip="Hi click here To return Index page" display="Index_Data!A1" xr:uid="{50CE5869-BDD4-42A1-92CD-4E7F001A38C9}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08007-0036-4CFE-BEA5-61415CBD5CDF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176</v>
      </c>
      <c r="C5" s="43"/>
      <c r="D5" s="43"/>
      <c r="E5" s="43"/>
      <c r="F5" s="43"/>
      <c r="G5" s="43"/>
    </row>
    <row r="6" spans="2:15" ht="18.75" x14ac:dyDescent="0.25">
      <c r="B6" s="12" t="str">
        <f>Balance_Sheet!B70</f>
        <v>Cash And Cash Equivalents</v>
      </c>
      <c r="C6" s="13">
        <f>Balance_Sheet!C70</f>
        <v>4255</v>
      </c>
      <c r="D6" s="13">
        <f>Balance_Sheet!D70</f>
        <v>134382.92383863393</v>
      </c>
      <c r="E6" s="13">
        <f>Balance_Sheet!E70</f>
        <v>311175.84914435504</v>
      </c>
      <c r="F6" s="13">
        <f>Balance_Sheet!F70</f>
        <v>219150.74531821522</v>
      </c>
      <c r="G6" s="13">
        <f>Balance_Sheet!G70</f>
        <v>318444.76603093103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207448</v>
      </c>
      <c r="D7" s="13">
        <f>Income_Statement!D17</f>
        <v>275237</v>
      </c>
      <c r="E7" s="13">
        <f>Income_Statement!E17</f>
        <v>260621</v>
      </c>
      <c r="F7" s="13">
        <f>Income_Statement!F17</f>
        <v>199915</v>
      </c>
      <c r="G7" s="13">
        <f>Income_Statement!G17</f>
        <v>360784</v>
      </c>
    </row>
    <row r="8" spans="2:15" ht="18.75" x14ac:dyDescent="0.25">
      <c r="B8" s="14" t="s">
        <v>177</v>
      </c>
      <c r="C8" s="14">
        <f>ROUND(C6/C7*365, 2)</f>
        <v>7.49</v>
      </c>
      <c r="D8" s="14">
        <f t="shared" ref="D8:G8" si="0">ROUND(D6/D7*365, 2)</f>
        <v>178.21</v>
      </c>
      <c r="E8" s="14">
        <f t="shared" si="0"/>
        <v>435.8</v>
      </c>
      <c r="F8" s="14">
        <f t="shared" si="0"/>
        <v>400.12</v>
      </c>
      <c r="G8" s="14">
        <f t="shared" si="0"/>
        <v>322.17</v>
      </c>
    </row>
  </sheetData>
  <mergeCells count="1">
    <mergeCell ref="B5:G5"/>
  </mergeCells>
  <hyperlinks>
    <hyperlink ref="F1" location="Index_Data!A1" tooltip="Hi click here To return Index page" display="Index_Data!A1" xr:uid="{68DE60AB-DC83-43B7-9574-B1DF471A013A}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0118B-62F4-46EE-809C-CEB92590A85F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1.57031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178</v>
      </c>
      <c r="C5" s="43"/>
      <c r="D5" s="43"/>
      <c r="E5" s="43"/>
      <c r="F5" s="43"/>
      <c r="G5" s="43"/>
    </row>
    <row r="6" spans="2:15" ht="18.75" x14ac:dyDescent="0.25">
      <c r="B6" s="12" t="str">
        <f>Balance_Sheet!B70</f>
        <v>Cash And Cash Equivalents</v>
      </c>
      <c r="C6" s="13">
        <f>Balance_Sheet!C70</f>
        <v>4255</v>
      </c>
      <c r="D6" s="13">
        <f>Balance_Sheet!D70</f>
        <v>134382.92383863393</v>
      </c>
      <c r="E6" s="13">
        <f>Balance_Sheet!E70</f>
        <v>311175.84914435504</v>
      </c>
      <c r="F6" s="13">
        <f>Balance_Sheet!F70</f>
        <v>219150.74531821522</v>
      </c>
      <c r="G6" s="13">
        <f>Balance_Sheet!G70</f>
        <v>318444.76603093103</v>
      </c>
    </row>
    <row r="7" spans="2:15" ht="18.75" x14ac:dyDescent="0.25">
      <c r="B7" s="12" t="s">
        <v>179</v>
      </c>
      <c r="C7" s="13">
        <v>365</v>
      </c>
      <c r="D7" s="13">
        <v>365</v>
      </c>
      <c r="E7" s="13">
        <v>365</v>
      </c>
      <c r="F7" s="13">
        <v>365</v>
      </c>
      <c r="G7" s="13">
        <v>365</v>
      </c>
    </row>
    <row r="8" spans="2:15" ht="18.75" x14ac:dyDescent="0.25">
      <c r="B8" s="14" t="s">
        <v>180</v>
      </c>
      <c r="C8" s="14">
        <f>ROUND(C6/C7*365, 2)</f>
        <v>4255</v>
      </c>
      <c r="D8" s="14">
        <f t="shared" ref="D8:G8" si="0">ROUND(D6/D7*365, 2)</f>
        <v>134382.92000000001</v>
      </c>
      <c r="E8" s="14">
        <f t="shared" si="0"/>
        <v>311175.84999999998</v>
      </c>
      <c r="F8" s="14">
        <f t="shared" si="0"/>
        <v>219150.75</v>
      </c>
      <c r="G8" s="14">
        <f t="shared" si="0"/>
        <v>318444.77</v>
      </c>
    </row>
  </sheetData>
  <mergeCells count="1">
    <mergeCell ref="B5:G5"/>
  </mergeCells>
  <hyperlinks>
    <hyperlink ref="F1" location="Index_Data!A1" tooltip="Hi click here To return Index page" display="Index_Data!A1" xr:uid="{24446474-2BF8-47DD-A2AA-2742B6FFF0C8}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81779-0AA7-4B7E-B483-1E6E0DB1F2A6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3" width="14.85546875" bestFit="1" customWidth="1"/>
    <col min="4" max="7" width="16.425781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181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430731</v>
      </c>
      <c r="D6" s="13">
        <f>Income_Statement!D5</f>
        <v>625212</v>
      </c>
      <c r="E6" s="13">
        <f>Income_Statement!E5</f>
        <v>659997</v>
      </c>
      <c r="F6" s="13">
        <f>Income_Statement!F5</f>
        <v>539238</v>
      </c>
      <c r="G6" s="13">
        <f>Income_Statement!G5</f>
        <v>721634</v>
      </c>
    </row>
    <row r="7" spans="2:15" ht="18.75" x14ac:dyDescent="0.25">
      <c r="B7" s="12" t="str">
        <f>Balance_Sheet!B74</f>
        <v>Total Assets</v>
      </c>
      <c r="C7" s="13">
        <f>Balance_Sheet!C74</f>
        <v>816333</v>
      </c>
      <c r="D7" s="13">
        <f>Balance_Sheet!D74</f>
        <v>1063491.923838634</v>
      </c>
      <c r="E7" s="13">
        <f>Balance_Sheet!E74</f>
        <v>1342764.8491443549</v>
      </c>
      <c r="F7" s="13">
        <f>Balance_Sheet!F74</f>
        <v>1388262.7453182153</v>
      </c>
      <c r="G7" s="13">
        <f>Balance_Sheet!G74</f>
        <v>1669416.7660309309</v>
      </c>
    </row>
    <row r="8" spans="2:15" ht="18.75" x14ac:dyDescent="0.25">
      <c r="B8" s="14" t="s">
        <v>182</v>
      </c>
      <c r="C8" s="14">
        <f>ROUND(C6/C7, 2)</f>
        <v>0.53</v>
      </c>
      <c r="D8" s="14">
        <f t="shared" ref="D8:G8" si="0">ROUND(D6/D7, 2)</f>
        <v>0.59</v>
      </c>
      <c r="E8" s="14">
        <f t="shared" si="0"/>
        <v>0.49</v>
      </c>
      <c r="F8" s="14">
        <f t="shared" si="0"/>
        <v>0.39</v>
      </c>
      <c r="G8" s="14">
        <f t="shared" si="0"/>
        <v>0.43</v>
      </c>
    </row>
  </sheetData>
  <mergeCells count="1">
    <mergeCell ref="B5:G5"/>
  </mergeCells>
  <hyperlinks>
    <hyperlink ref="F1" location="Index_Data!A1" tooltip="Hi click here To return Index page" display="Index_Data!A1" xr:uid="{8CCD6C0F-D9F4-4679-8FC9-B6C6CE18EBD9}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41BD8-7D3C-412F-8917-DCA7CD9EAF35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183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430731</v>
      </c>
      <c r="D6" s="13">
        <f>Income_Statement!D5</f>
        <v>625212</v>
      </c>
      <c r="E6" s="13">
        <f>Income_Statement!E5</f>
        <v>659997</v>
      </c>
      <c r="F6" s="13">
        <f>Income_Statement!F5</f>
        <v>539238</v>
      </c>
      <c r="G6" s="13">
        <f>Income_Statement!G5</f>
        <v>721634</v>
      </c>
    </row>
    <row r="7" spans="2:15" ht="18.75" x14ac:dyDescent="0.25">
      <c r="B7" s="12" t="str">
        <f>Balance_Sheet!B66</f>
        <v>Inventories</v>
      </c>
      <c r="C7" s="13">
        <f>Balance_Sheet!C66</f>
        <v>60837</v>
      </c>
      <c r="D7" s="13">
        <f>Balance_Sheet!D66</f>
        <v>67561</v>
      </c>
      <c r="E7" s="13">
        <f>Balance_Sheet!E66</f>
        <v>73903</v>
      </c>
      <c r="F7" s="13">
        <f>Balance_Sheet!F66</f>
        <v>81672</v>
      </c>
      <c r="G7" s="13">
        <f>Balance_Sheet!G66</f>
        <v>107778</v>
      </c>
    </row>
    <row r="8" spans="2:15" ht="18.75" x14ac:dyDescent="0.25">
      <c r="B8" s="14" t="s">
        <v>184</v>
      </c>
      <c r="C8" s="14">
        <f>ROUND(C6/C7, 2)</f>
        <v>7.08</v>
      </c>
      <c r="D8" s="14">
        <f t="shared" ref="D8:G8" si="0">ROUND(D6/D7, 2)</f>
        <v>9.25</v>
      </c>
      <c r="E8" s="14">
        <f t="shared" si="0"/>
        <v>8.93</v>
      </c>
      <c r="F8" s="14">
        <f t="shared" si="0"/>
        <v>6.6</v>
      </c>
      <c r="G8" s="14">
        <f t="shared" si="0"/>
        <v>6.7</v>
      </c>
    </row>
  </sheetData>
  <mergeCells count="1">
    <mergeCell ref="B5:G5"/>
  </mergeCells>
  <hyperlinks>
    <hyperlink ref="F1" location="Index_Data!A1" tooltip="Hi click here To return Index page" display="Index_Data!A1" xr:uid="{0082C0EC-6979-44DA-A2FE-0110444A2941}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5F4C6-5556-40FE-A56C-FD3D6B837D4D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185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430731</v>
      </c>
      <c r="D6" s="13">
        <f>Income_Statement!D5</f>
        <v>625212</v>
      </c>
      <c r="E6" s="13">
        <f>Income_Statement!E5</f>
        <v>659997</v>
      </c>
      <c r="F6" s="13">
        <f>Income_Statement!F5</f>
        <v>539238</v>
      </c>
      <c r="G6" s="13">
        <f>Income_Statement!G5</f>
        <v>721634</v>
      </c>
    </row>
    <row r="7" spans="2:15" ht="18.75" x14ac:dyDescent="0.25">
      <c r="B7" s="12" t="str">
        <f>Balance_Sheet!B68</f>
        <v>Trade Receivables</v>
      </c>
      <c r="C7" s="13">
        <f>Balance_Sheet!C68</f>
        <v>17555</v>
      </c>
      <c r="D7" s="13">
        <f>Balance_Sheet!D68</f>
        <v>30089</v>
      </c>
      <c r="E7" s="13">
        <f>Balance_Sheet!E68</f>
        <v>19656</v>
      </c>
      <c r="F7" s="13">
        <f>Balance_Sheet!F68</f>
        <v>19014</v>
      </c>
      <c r="G7" s="13">
        <f>Balance_Sheet!G68</f>
        <v>23640</v>
      </c>
    </row>
    <row r="8" spans="2:15" ht="18.75" x14ac:dyDescent="0.25">
      <c r="B8" s="14" t="s">
        <v>186</v>
      </c>
      <c r="C8" s="14">
        <f>ROUND(C6/C7, 2)</f>
        <v>24.54</v>
      </c>
      <c r="D8" s="14">
        <f t="shared" ref="D8:G8" si="0">ROUND(D6/D7, 2)</f>
        <v>20.78</v>
      </c>
      <c r="E8" s="14">
        <f t="shared" si="0"/>
        <v>33.58</v>
      </c>
      <c r="F8" s="14">
        <f t="shared" si="0"/>
        <v>28.36</v>
      </c>
      <c r="G8" s="14">
        <f t="shared" si="0"/>
        <v>30.53</v>
      </c>
    </row>
  </sheetData>
  <mergeCells count="1">
    <mergeCell ref="B5:G5"/>
  </mergeCells>
  <hyperlinks>
    <hyperlink ref="F1" location="Index_Data!A1" tooltip="Hi click here To return Index page" display="Index_Data!A1" xr:uid="{83835D1D-4C5C-4808-94DE-9BA09D3DEADF}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01202-CAC2-462B-B3CE-7C7C45B181C3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187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430731</v>
      </c>
      <c r="D6" s="13">
        <f>Income_Statement!D5</f>
        <v>625212</v>
      </c>
      <c r="E6" s="13">
        <f>Income_Statement!E5</f>
        <v>659997</v>
      </c>
      <c r="F6" s="13">
        <f>Income_Statement!F5</f>
        <v>539238</v>
      </c>
      <c r="G6" s="13">
        <f>Income_Statement!G5</f>
        <v>721634</v>
      </c>
    </row>
    <row r="7" spans="2:15" ht="18.75" x14ac:dyDescent="0.25">
      <c r="B7" s="12" t="str">
        <f>Balance_Sheet!B40</f>
        <v>Tangible Assets</v>
      </c>
      <c r="C7" s="13">
        <f>Balance_Sheet!C40</f>
        <v>316031</v>
      </c>
      <c r="D7" s="13">
        <f>Balance_Sheet!D40</f>
        <v>302115</v>
      </c>
      <c r="E7" s="13">
        <f>Balance_Sheet!E40</f>
        <v>435920</v>
      </c>
      <c r="F7" s="13">
        <f>Balance_Sheet!F40</f>
        <v>451066</v>
      </c>
      <c r="G7" s="13">
        <f>Balance_Sheet!G40</f>
        <v>787295</v>
      </c>
    </row>
    <row r="8" spans="2:15" ht="18.75" x14ac:dyDescent="0.25">
      <c r="B8" s="14" t="s">
        <v>188</v>
      </c>
      <c r="C8" s="14">
        <f>ROUND(C6/C7, 2)</f>
        <v>1.36</v>
      </c>
      <c r="D8" s="14">
        <f t="shared" ref="D8:G8" si="0">ROUND(D6/D7, 2)</f>
        <v>2.0699999999999998</v>
      </c>
      <c r="E8" s="14">
        <f t="shared" si="0"/>
        <v>1.51</v>
      </c>
      <c r="F8" s="14">
        <f t="shared" si="0"/>
        <v>1.2</v>
      </c>
      <c r="G8" s="14">
        <f t="shared" si="0"/>
        <v>0.92</v>
      </c>
    </row>
  </sheetData>
  <mergeCells count="1">
    <mergeCell ref="B5:G5"/>
  </mergeCells>
  <hyperlinks>
    <hyperlink ref="F1" location="Index_Data!A1" tooltip="Hi click here To return Index page" display="Index_Data!A1" xr:uid="{3B07B4CE-CEFE-4EB7-B593-F2B38129A88F}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2CB0C-8591-45ED-A8FA-706430FD3E5A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189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207448</v>
      </c>
      <c r="D6" s="13">
        <f>Income_Statement!D17</f>
        <v>275237</v>
      </c>
      <c r="E6" s="13">
        <f>Income_Statement!E17</f>
        <v>260621</v>
      </c>
      <c r="F6" s="13">
        <f>Income_Statement!F17</f>
        <v>199915</v>
      </c>
      <c r="G6" s="13">
        <f>Income_Statement!G17</f>
        <v>360784</v>
      </c>
    </row>
    <row r="7" spans="2:15" ht="18.75" x14ac:dyDescent="0.25">
      <c r="B7" s="12" t="str">
        <f>Balance_Sheet!B33</f>
        <v>Total Current Liabilities</v>
      </c>
      <c r="C7" s="13">
        <f>Balance_Sheet!C33</f>
        <v>308081</v>
      </c>
      <c r="D7" s="13">
        <f>Balance_Sheet!D33</f>
        <v>285149</v>
      </c>
      <c r="E7" s="13">
        <f>Balance_Sheet!E33</f>
        <v>359027</v>
      </c>
      <c r="F7" s="13">
        <f>Balance_Sheet!F33</f>
        <v>261015</v>
      </c>
      <c r="G7" s="13">
        <f>Balance_Sheet!G33</f>
        <v>294732</v>
      </c>
    </row>
    <row r="8" spans="2:15" ht="18.75" x14ac:dyDescent="0.25">
      <c r="B8" s="14" t="s">
        <v>190</v>
      </c>
      <c r="C8" s="14">
        <f>ROUND(C6/C7, 2)</f>
        <v>0.67</v>
      </c>
      <c r="D8" s="14">
        <f t="shared" ref="D8:G8" si="0">ROUND(D6/D7, 2)</f>
        <v>0.97</v>
      </c>
      <c r="E8" s="14">
        <f t="shared" si="0"/>
        <v>0.73</v>
      </c>
      <c r="F8" s="14">
        <f t="shared" si="0"/>
        <v>0.77</v>
      </c>
      <c r="G8" s="14">
        <f t="shared" si="0"/>
        <v>1.22</v>
      </c>
    </row>
  </sheetData>
  <mergeCells count="1">
    <mergeCell ref="B5:G5"/>
  </mergeCells>
  <hyperlinks>
    <hyperlink ref="F1" location="Index_Data!A1" tooltip="Hi click here To return Index page" display="Index_Data!A1" xr:uid="{D8237D31-30BF-45CB-9E74-85E5654F3B94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37962-89D6-425F-B42C-4AD5D4818661}">
  <dimension ref="A1:A48"/>
  <sheetViews>
    <sheetView showGridLines="0" tabSelected="1" topLeftCell="A34" workbookViewId="0">
      <selection activeCell="A48" sqref="A48"/>
    </sheetView>
  </sheetViews>
  <sheetFormatPr defaultRowHeight="15" x14ac:dyDescent="0.25"/>
  <cols>
    <col min="1" max="1" width="33.140625" bestFit="1" customWidth="1"/>
  </cols>
  <sheetData>
    <row r="1" spans="1:1" x14ac:dyDescent="0.25">
      <c r="A1" s="46" t="s">
        <v>270</v>
      </c>
    </row>
    <row r="2" spans="1:1" x14ac:dyDescent="0.25">
      <c r="A2" s="46" t="s">
        <v>272</v>
      </c>
    </row>
    <row r="3" spans="1:1" x14ac:dyDescent="0.25">
      <c r="A3" s="47"/>
    </row>
    <row r="4" spans="1:1" x14ac:dyDescent="0.25">
      <c r="A4" s="46" t="s">
        <v>120</v>
      </c>
    </row>
    <row r="5" spans="1:1" x14ac:dyDescent="0.25">
      <c r="A5" s="46" t="s">
        <v>128</v>
      </c>
    </row>
    <row r="6" spans="1:1" x14ac:dyDescent="0.25">
      <c r="A6" s="46" t="s">
        <v>143</v>
      </c>
    </row>
    <row r="7" spans="1:1" x14ac:dyDescent="0.25">
      <c r="A7" s="46" t="s">
        <v>273</v>
      </c>
    </row>
    <row r="8" spans="1:1" x14ac:dyDescent="0.25">
      <c r="A8" s="46" t="s">
        <v>146</v>
      </c>
    </row>
    <row r="9" spans="1:1" x14ac:dyDescent="0.25">
      <c r="A9" s="46" t="s">
        <v>148</v>
      </c>
    </row>
    <row r="10" spans="1:1" x14ac:dyDescent="0.25">
      <c r="A10" s="46" t="s">
        <v>150</v>
      </c>
    </row>
    <row r="11" spans="1:1" x14ac:dyDescent="0.25">
      <c r="A11" s="46" t="s">
        <v>152</v>
      </c>
    </row>
    <row r="12" spans="1:1" x14ac:dyDescent="0.25">
      <c r="A12" s="46" t="s">
        <v>155</v>
      </c>
    </row>
    <row r="13" spans="1:1" x14ac:dyDescent="0.25">
      <c r="A13" s="46" t="s">
        <v>157</v>
      </c>
    </row>
    <row r="14" spans="1:1" x14ac:dyDescent="0.25">
      <c r="A14" s="46" t="s">
        <v>159</v>
      </c>
    </row>
    <row r="15" spans="1:1" x14ac:dyDescent="0.25">
      <c r="A15" s="46" t="s">
        <v>161</v>
      </c>
    </row>
    <row r="16" spans="1:1" x14ac:dyDescent="0.25">
      <c r="A16" s="46" t="s">
        <v>163</v>
      </c>
    </row>
    <row r="17" spans="1:1" x14ac:dyDescent="0.25">
      <c r="A17" s="46" t="s">
        <v>165</v>
      </c>
    </row>
    <row r="18" spans="1:1" x14ac:dyDescent="0.25">
      <c r="A18" s="46" t="s">
        <v>167</v>
      </c>
    </row>
    <row r="19" spans="1:1" x14ac:dyDescent="0.25">
      <c r="A19" s="46" t="s">
        <v>169</v>
      </c>
    </row>
    <row r="20" spans="1:1" x14ac:dyDescent="0.25">
      <c r="A20" s="46" t="s">
        <v>171</v>
      </c>
    </row>
    <row r="21" spans="1:1" x14ac:dyDescent="0.25">
      <c r="A21" s="46" t="s">
        <v>173</v>
      </c>
    </row>
    <row r="22" spans="1:1" x14ac:dyDescent="0.25">
      <c r="A22" s="46" t="s">
        <v>175</v>
      </c>
    </row>
    <row r="23" spans="1:1" x14ac:dyDescent="0.25">
      <c r="A23" s="46" t="s">
        <v>177</v>
      </c>
    </row>
    <row r="24" spans="1:1" x14ac:dyDescent="0.25">
      <c r="A24" s="46" t="s">
        <v>180</v>
      </c>
    </row>
    <row r="25" spans="1:1" x14ac:dyDescent="0.25">
      <c r="A25" s="46" t="s">
        <v>182</v>
      </c>
    </row>
    <row r="26" spans="1:1" x14ac:dyDescent="0.25">
      <c r="A26" s="46" t="s">
        <v>184</v>
      </c>
    </row>
    <row r="27" spans="1:1" x14ac:dyDescent="0.25">
      <c r="A27" s="46" t="s">
        <v>186</v>
      </c>
    </row>
    <row r="28" spans="1:1" x14ac:dyDescent="0.25">
      <c r="A28" s="46" t="s">
        <v>188</v>
      </c>
    </row>
    <row r="29" spans="1:1" x14ac:dyDescent="0.25">
      <c r="A29" s="46" t="s">
        <v>190</v>
      </c>
    </row>
    <row r="30" spans="1:1" x14ac:dyDescent="0.25">
      <c r="A30" s="46" t="s">
        <v>192</v>
      </c>
    </row>
    <row r="31" spans="1:1" x14ac:dyDescent="0.25">
      <c r="A31" s="46" t="s">
        <v>194</v>
      </c>
    </row>
    <row r="32" spans="1:1" x14ac:dyDescent="0.25">
      <c r="A32" s="46" t="s">
        <v>196</v>
      </c>
    </row>
    <row r="33" spans="1:1" x14ac:dyDescent="0.25">
      <c r="A33" s="46" t="s">
        <v>198</v>
      </c>
    </row>
    <row r="34" spans="1:1" x14ac:dyDescent="0.25">
      <c r="A34" s="46" t="s">
        <v>201</v>
      </c>
    </row>
    <row r="35" spans="1:1" x14ac:dyDescent="0.25">
      <c r="A35" s="46" t="s">
        <v>274</v>
      </c>
    </row>
    <row r="36" spans="1:1" x14ac:dyDescent="0.25">
      <c r="A36" s="46" t="s">
        <v>275</v>
      </c>
    </row>
    <row r="37" spans="1:1" x14ac:dyDescent="0.25">
      <c r="A37" s="46" t="s">
        <v>276</v>
      </c>
    </row>
    <row r="38" spans="1:1" x14ac:dyDescent="0.25">
      <c r="A38" s="46" t="s">
        <v>278</v>
      </c>
    </row>
    <row r="39" spans="1:1" x14ac:dyDescent="0.25">
      <c r="A39" s="46" t="s">
        <v>279</v>
      </c>
    </row>
    <row r="40" spans="1:1" x14ac:dyDescent="0.25">
      <c r="A40" s="46" t="s">
        <v>280</v>
      </c>
    </row>
    <row r="41" spans="1:1" x14ac:dyDescent="0.25">
      <c r="A41" s="46" t="s">
        <v>281</v>
      </c>
    </row>
    <row r="42" spans="1:1" x14ac:dyDescent="0.25">
      <c r="A42" s="46" t="s">
        <v>282</v>
      </c>
    </row>
    <row r="43" spans="1:1" x14ac:dyDescent="0.25">
      <c r="A43" s="46" t="s">
        <v>283</v>
      </c>
    </row>
    <row r="44" spans="1:1" x14ac:dyDescent="0.25">
      <c r="A44" s="46" t="s">
        <v>284</v>
      </c>
    </row>
    <row r="45" spans="1:1" x14ac:dyDescent="0.25">
      <c r="A45" s="46" t="s">
        <v>277</v>
      </c>
    </row>
    <row r="46" spans="1:1" x14ac:dyDescent="0.25">
      <c r="A46" s="46" t="s">
        <v>285</v>
      </c>
    </row>
    <row r="47" spans="1:1" x14ac:dyDescent="0.25">
      <c r="A47" s="46" t="s">
        <v>286</v>
      </c>
    </row>
    <row r="48" spans="1:1" x14ac:dyDescent="0.25">
      <c r="A48" s="46" t="s">
        <v>287</v>
      </c>
    </row>
  </sheetData>
  <hyperlinks>
    <hyperlink ref="A1" location="BSInput!A1" tooltip="Hi click here to view the sheet" display="BSInput!A1" xr:uid="{6C0EB958-60D6-40B3-BD22-027F20197ED9}"/>
    <hyperlink ref="A2" location="ISMInput!A1" tooltip="Hi click here to view the sheet" display="ISMInput!A1" xr:uid="{05FBE422-FD19-4663-8C47-906810A2A04E}"/>
    <hyperlink ref="A4" location="Income_Statement!A1" tooltip="Hi click here to view the sheet" display="Income_Statement!A1" xr:uid="{37780456-F57F-494E-BFA2-563F012B41CA}"/>
    <hyperlink ref="A5" location="Balance_Sheet!A1" tooltip="Hi click here to view the sheet" display="Balance_Sheet!A1" xr:uid="{0E758C3E-C25F-4A6E-808E-FDFC6F6514D3}"/>
    <hyperlink ref="A6" location="CashFlow_Statement!A1" tooltip="Hi click here to view the sheet" display="CashFlow_Statement!A1" xr:uid="{A8455692-6906-46DF-B94F-1E6999676DF1}"/>
    <hyperlink ref="A7" location="Ratios!A1" tooltip="Hi click here to view the sheet" display="Ratios!A1" xr:uid="{F516DAA8-D0D3-4152-A1FE-4C9FB5CD508A}"/>
    <hyperlink ref="A8" location="Earning__Per_Share!A1" tooltip="Hi click here to view the sheet" display="Earning__Per_Share!A1" xr:uid="{079109B5-3625-4C16-8803-2D77903728B1}"/>
    <hyperlink ref="A9" location="Equity_Dividend_Per_Share!A1" tooltip="Hi click here to view the sheet" display="Equity_Dividend_Per_Share!A1" xr:uid="{712067DF-1985-474A-86D6-E81C2B1B8F08}"/>
    <hyperlink ref="A10" location="Book_Value__Per_Share!A1" tooltip="Hi click here to view the sheet" display="Book_Value__Per_Share!A1" xr:uid="{2134C81B-85D6-4DB0-BD05-6CE96463D8AE}"/>
    <hyperlink ref="A11" location="Dividend_Pay_Out_Ratio!A1" tooltip="Hi click here to view the sheet" display="Dividend_Pay_Out_Ratio!A1" xr:uid="{C5A09179-5115-4C1B-9764-501BD524DF0A}"/>
    <hyperlink ref="A12" location="Dividend_Retention_Ratio!A1" tooltip="Hi click here to view the sheet" display="Dividend_Retention_Ratio!A1" xr:uid="{AFE9A77A-E59E-4581-935C-1322201A8772}"/>
    <hyperlink ref="A13" location="Gross_Profit!A1" tooltip="Hi click here to view the sheet" display="Gross_Profit!A1" xr:uid="{10697D2A-A9EE-4F32-9CA8-AAB886EA7C92}"/>
    <hyperlink ref="A14" location="Net_Profit!A1" tooltip="Hi click here to view the sheet" display="Net_Profit!A1" xr:uid="{5EED5F1F-9BCE-44DC-97EA-88CDD78E9B85}"/>
    <hyperlink ref="A15" location="Return_On_Assets!A1" tooltip="Hi click here to view the sheet" display="Return_On_Assets!A1" xr:uid="{EF9658EE-D146-4360-8EB4-0ACD4F5B9F2A}"/>
    <hyperlink ref="A16" location="Return_On_Capital_Employeed!A1" tooltip="Hi click here to view the sheet" display="Return_On_Capital_Employeed!A1" xr:uid="{CB074130-A4A2-4608-AFFD-025099BEB88E}"/>
    <hyperlink ref="A17" location="Return_On_Equity!A1" tooltip="Hi click here to view the sheet" display="Return_On_Equity!A1" xr:uid="{10217760-46D0-4098-BFDF-7582F9AF0751}"/>
    <hyperlink ref="A18" location="Debt_Equity_Ratio!A1" tooltip="Hi click here to view the sheet" display="Debt_Equity_Ratio!A1" xr:uid="{42EA4824-35B5-4C39-B387-A90D9490E28B}"/>
    <hyperlink ref="A19" location="Current_Ratio!A1" tooltip="Hi click here to view the sheet" display="Current_Ratio!A1" xr:uid="{27DF8DBB-DB7A-43DF-8BFE-3BBFD29A6514}"/>
    <hyperlink ref="A20" location="Quick_Ratio!A1" tooltip="Hi click here to view the sheet" display="Quick_Ratio!A1" xr:uid="{6A3675A5-226D-418C-B565-1B6074A64F55}"/>
    <hyperlink ref="A21" location="Interest_Coverage_Ratio!A1" tooltip="Hi click here to view the sheet" display="Interest_Coverage_Ratio!A1" xr:uid="{5DD25D9A-08DF-4B4D-8F2B-D0CDE9BC7247}"/>
    <hyperlink ref="A22" location="Material_Consumed!A1" tooltip="Hi click here to view the sheet" display="Material_Consumed!A1" xr:uid="{B4B5F894-A1C1-481C-9FF6-D11E1AF7A734}"/>
    <hyperlink ref="A23" location="Defensive_Interval_Ratio!A1" tooltip="Hi click here to view the sheet" display="Defensive_Interval_Ratio!A1" xr:uid="{3572EDF5-F54C-46F0-82B9-A8ACC733262F}"/>
    <hyperlink ref="A24" location="Purchases_Per_Day!A1" tooltip="Hi click here to view the sheet" display="Purchases_Per_Day!A1" xr:uid="{7C7822F9-8927-4DBE-BEA5-5A02A91EBDD3}"/>
    <hyperlink ref="A25" location="Asset_TurnOver_Ratio!A1" tooltip="Hi click here to view the sheet" display="Asset_TurnOver_Ratio!A1" xr:uid="{68D95C7B-39BA-4C80-86AC-C9B535899D74}"/>
    <hyperlink ref="A26" location="Inventory_TurnOver_Ratio!A1" tooltip="Hi click here to view the sheet" display="Inventory_TurnOver_Ratio!A1" xr:uid="{D1F51B22-F1E7-4340-B240-8ABDB1DE1FCE}"/>
    <hyperlink ref="A27" location="Debtors_TurnOver_Ratio!A1" tooltip="Hi click here to view the sheet" display="Debtors_TurnOver_Ratio!A1" xr:uid="{09676F02-3987-49C8-B37B-28A98DD98FDB}"/>
    <hyperlink ref="A28" location="Fixed_Assets_TurnOver_Ratio!A1" tooltip="Hi click here to view the sheet" display="Fixed_Assets_TurnOver_Ratio!A1" xr:uid="{0CF8F077-B29F-4392-B9FF-C65396FB62D6}"/>
    <hyperlink ref="A29" location="Payable_TurnOver_Ratio!A1" tooltip="Hi click here to view the sheet" display="Payable_TurnOver_Ratio!A1" xr:uid="{69DD70A5-D4F2-4E4F-A1C9-977FA1E3B153}"/>
    <hyperlink ref="A30" location="Inventory_Days!A1" tooltip="Hi click here to view the sheet" display="Inventory_Days!A1" xr:uid="{B9783D72-AD06-4D8F-948E-393C4E1FC4A4}"/>
    <hyperlink ref="A31" location="Payable_Days!A1" tooltip="Hi click here to view the sheet" display="Payable_Days!A1" xr:uid="{93464EB4-3782-4336-B07B-29DB0C690F2E}"/>
    <hyperlink ref="A32" location="Receivable_Days!A1" tooltip="Hi click here to view the sheet" display="Receivable_Days!A1" xr:uid="{0D0B7A98-3E8C-48F5-AD29-0A95E75C6C20}"/>
    <hyperlink ref="A33" location="Operating_Cycle!A1" tooltip="Hi click here to view the sheet" display="Operating_Cycle!A1" xr:uid="{74FCDB66-8E9D-4976-9856-E8412021F9FE}"/>
    <hyperlink ref="A34" location="Cash_Conversion_Cycle_Days!A1" tooltip="Hi click here to view the sheet" display="Cash_Conversion_Cycle_Days!A1" xr:uid="{12B0809B-D641-4413-AED7-60746D97AD8B}"/>
    <hyperlink ref="A35" location="NetWorthVsTotalLiabilties!A1" tooltip="Hi click here to view the sheet" display="NetWorthVsTotalLiabilties!A1" xr:uid="{96BF2E8C-49A8-4FA4-8462-AB0D32CC0F8A}"/>
    <hyperlink ref="A36" location="PBDITvsPBIT!A1" tooltip="Hi click here to view the sheet" display="PBDITvsPBIT!A1" xr:uid="{29844F63-AC51-4B22-97C5-1E2DD042CBEC}"/>
    <hyperlink ref="A37" location="CAvsCL!A1" tooltip="Hi click here to view the sheet" display="CAvsCL!A1" xr:uid="{9E191B44-B57C-4EB5-818A-C175212435A9}"/>
    <hyperlink ref="A38" location="Long_And_Short_Term_Provisions!A1" tooltip="Hi click here to view the sheet" display="Long_And_Short_Term_Provisions!A1" xr:uid="{CFFD8EE6-2395-4F5C-A57A-C847393201D8}"/>
    <hyperlink ref="A39" location="MaterialConsumed_DirectExpenses!A1" tooltip="Hi click here to view the sheet" display="MaterialConsumed_DirectExpenses!A1" xr:uid="{2C4EE3BA-1D33-4D72-8CF1-24463196FE27}"/>
    <hyperlink ref="A40" location="Gross_Sales_In_Total_Income!A1" tooltip="Hi click here to view the sheet" display="Gross_Sales_In_Total_Income!A1" xr:uid="{CCEC783C-2BDF-4F36-927B-279A68C84112}"/>
    <hyperlink ref="A41" location="Total_Debt_In_Liabilities!A1" tooltip="Hi click here to view the sheet" display="Total_Debt_In_Liabilities!A1" xr:uid="{A5DF95E4-160F-4058-804A-A4541669536B}"/>
    <hyperlink ref="A42" location="Total_CL_In_Liabilities!A1" tooltip="Hi click here to view the sheet" display="Total_CL_In_Liabilities!A1" xr:uid="{0A92F29E-2A48-4E9D-AB59-6FCE53A54870}"/>
    <hyperlink ref="A43" location="Total_NCA_In_Assets!A1" tooltip="Hi click here to view the sheet" display="Total_NCA_In_Assets!A1" xr:uid="{EAD8E511-2467-443C-8D49-C4C7CF1C7CF2}"/>
    <hyperlink ref="A44" location="Total_CA_In_Assets!A1" tooltip="Hi click here to view the sheet" display="Total_CA_In_Assets!A1" xr:uid="{D15C8926-345B-4F88-A727-855D76D3622C}"/>
    <hyperlink ref="A45" location="TotalExpenditureVsTotalIncome!A1" tooltip="Hi click here to view the sheet" display="TotalExpenditureVsTotalIncome!A1" xr:uid="{805C5E9D-6E76-41BC-866C-7C2DF6D990F3}"/>
    <hyperlink ref="A46" location="Net_Profit_CF_To_Balance_Sheet!A1" tooltip="Hi click here to view the sheet" display="Net_Profit_CF_To_Balance_Sheet!A1" xr:uid="{B785348D-7537-4497-BF76-2059A0349A55}"/>
    <hyperlink ref="A47" location="BS_Backup!A1" tooltip="Hi click here to view the sheet" display="BS_Backup!A1" xr:uid="{0302222B-E654-4AA2-9421-C818419DF31B}"/>
    <hyperlink ref="A48" location="ISM_Backup!A1" tooltip="Hi click here to view the sheet" display="ISM_Backup!A1" xr:uid="{64873EC8-F093-4C17-A915-A7968D764DA3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67FE5-AA8C-4D27-B490-FDC668F82705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191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430731</v>
      </c>
      <c r="D6" s="13">
        <f>Income_Statement!D5</f>
        <v>625212</v>
      </c>
      <c r="E6" s="13">
        <f>Income_Statement!E5</f>
        <v>659997</v>
      </c>
      <c r="F6" s="13">
        <f>Income_Statement!F5</f>
        <v>539238</v>
      </c>
      <c r="G6" s="13">
        <f>Income_Statement!G5</f>
        <v>721634</v>
      </c>
    </row>
    <row r="7" spans="2:15" ht="18.75" x14ac:dyDescent="0.25">
      <c r="B7" s="12" t="str">
        <f>Balance_Sheet!B66</f>
        <v>Inventories</v>
      </c>
      <c r="C7" s="13">
        <f>Balance_Sheet!C66</f>
        <v>60837</v>
      </c>
      <c r="D7" s="13">
        <f>Balance_Sheet!D66</f>
        <v>67561</v>
      </c>
      <c r="E7" s="13">
        <f>Balance_Sheet!E66</f>
        <v>73903</v>
      </c>
      <c r="F7" s="13">
        <f>Balance_Sheet!F66</f>
        <v>81672</v>
      </c>
      <c r="G7" s="13">
        <f>Balance_Sheet!G66</f>
        <v>107778</v>
      </c>
    </row>
    <row r="8" spans="2:15" ht="18.75" x14ac:dyDescent="0.25">
      <c r="B8" s="14" t="s">
        <v>192</v>
      </c>
      <c r="C8" s="14">
        <f>ROUND(365/C6*C7, 2)</f>
        <v>51.55</v>
      </c>
      <c r="D8" s="14">
        <f t="shared" ref="D8:G8" si="0">ROUND(365/D6*D7, 2)</f>
        <v>39.44</v>
      </c>
      <c r="E8" s="14">
        <f t="shared" si="0"/>
        <v>40.869999999999997</v>
      </c>
      <c r="F8" s="14">
        <f t="shared" si="0"/>
        <v>55.28</v>
      </c>
      <c r="G8" s="14">
        <f t="shared" si="0"/>
        <v>54.51</v>
      </c>
    </row>
  </sheetData>
  <mergeCells count="1">
    <mergeCell ref="B5:G5"/>
  </mergeCells>
  <hyperlinks>
    <hyperlink ref="F1" location="Index_Data!A1" tooltip="Hi click here To return Index page" display="Index_Data!A1" xr:uid="{F064FCF1-81FC-44A5-B79D-D921D4273FEC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775B3-4D77-4BF7-B521-AEBDB00D6DC8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193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207448</v>
      </c>
      <c r="D6" s="13">
        <f>Income_Statement!D17</f>
        <v>275237</v>
      </c>
      <c r="E6" s="13">
        <f>Income_Statement!E17</f>
        <v>260621</v>
      </c>
      <c r="F6" s="13">
        <f>Income_Statement!F17</f>
        <v>199915</v>
      </c>
      <c r="G6" s="13">
        <f>Income_Statement!G17</f>
        <v>360784</v>
      </c>
    </row>
    <row r="7" spans="2:15" ht="18.75" x14ac:dyDescent="0.25">
      <c r="B7" s="12" t="str">
        <f>Balance_Sheet!B33</f>
        <v>Total Current Liabilities</v>
      </c>
      <c r="C7" s="13">
        <f>Balance_Sheet!C33</f>
        <v>308081</v>
      </c>
      <c r="D7" s="13">
        <f>Balance_Sheet!D33</f>
        <v>285149</v>
      </c>
      <c r="E7" s="13">
        <f>Balance_Sheet!E33</f>
        <v>359027</v>
      </c>
      <c r="F7" s="13">
        <f>Balance_Sheet!F33</f>
        <v>261015</v>
      </c>
      <c r="G7" s="13">
        <f>Balance_Sheet!G33</f>
        <v>294732</v>
      </c>
    </row>
    <row r="8" spans="2:15" ht="18.75" x14ac:dyDescent="0.25">
      <c r="B8" s="14" t="s">
        <v>194</v>
      </c>
      <c r="C8" s="14">
        <f>ROUND(365/C6*C7, 2)</f>
        <v>542.05999999999995</v>
      </c>
      <c r="D8" s="14">
        <f t="shared" ref="D8:G8" si="0">ROUND(365/D6*D7, 2)</f>
        <v>378.14</v>
      </c>
      <c r="E8" s="14">
        <f t="shared" si="0"/>
        <v>502.82</v>
      </c>
      <c r="F8" s="14">
        <f t="shared" si="0"/>
        <v>476.55</v>
      </c>
      <c r="G8" s="14">
        <f t="shared" si="0"/>
        <v>298.18</v>
      </c>
    </row>
  </sheetData>
  <mergeCells count="1">
    <mergeCell ref="B5:G5"/>
  </mergeCells>
  <hyperlinks>
    <hyperlink ref="F1" location="Index_Data!A1" tooltip="Hi click here To return Index page" display="Index_Data!A1" xr:uid="{5DCAC114-F951-470A-B740-227CA99D65DE}"/>
  </hyperlink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54E57-24BC-4BB2-8C4D-9208635AD2A3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195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430731</v>
      </c>
      <c r="D6" s="13">
        <f>Income_Statement!D5</f>
        <v>625212</v>
      </c>
      <c r="E6" s="13">
        <f>Income_Statement!E5</f>
        <v>659997</v>
      </c>
      <c r="F6" s="13">
        <f>Income_Statement!F5</f>
        <v>539238</v>
      </c>
      <c r="G6" s="13">
        <f>Income_Statement!G5</f>
        <v>721634</v>
      </c>
    </row>
    <row r="7" spans="2:15" ht="18.75" x14ac:dyDescent="0.25">
      <c r="B7" s="12" t="str">
        <f>Balance_Sheet!B68</f>
        <v>Trade Receivables</v>
      </c>
      <c r="C7" s="13">
        <f>Balance_Sheet!C68</f>
        <v>17555</v>
      </c>
      <c r="D7" s="13">
        <f>Balance_Sheet!D68</f>
        <v>30089</v>
      </c>
      <c r="E7" s="13">
        <f>Balance_Sheet!E68</f>
        <v>19656</v>
      </c>
      <c r="F7" s="13">
        <f>Balance_Sheet!F68</f>
        <v>19014</v>
      </c>
      <c r="G7" s="13">
        <f>Balance_Sheet!G68</f>
        <v>23640</v>
      </c>
    </row>
    <row r="8" spans="2:15" ht="18.75" x14ac:dyDescent="0.25">
      <c r="B8" s="14" t="s">
        <v>196</v>
      </c>
      <c r="C8" s="14">
        <f>ROUND(365/C6*C7, 2)</f>
        <v>14.88</v>
      </c>
      <c r="D8" s="14">
        <f t="shared" ref="D8:G8" si="0">ROUND(365/D6*D7, 2)</f>
        <v>17.57</v>
      </c>
      <c r="E8" s="14">
        <f t="shared" si="0"/>
        <v>10.87</v>
      </c>
      <c r="F8" s="14">
        <f t="shared" si="0"/>
        <v>12.87</v>
      </c>
      <c r="G8" s="14">
        <f t="shared" si="0"/>
        <v>11.96</v>
      </c>
    </row>
  </sheetData>
  <mergeCells count="1">
    <mergeCell ref="B5:G5"/>
  </mergeCells>
  <hyperlinks>
    <hyperlink ref="F1" location="Index_Data!A1" tooltip="Hi click here To return Index page" display="Index_Data!A1" xr:uid="{BAF12FC4-6585-4998-81DF-5A1D14A74A28}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BB1CE-AA2D-435E-A12C-3A282C7F3804}">
  <dimension ref="B1:O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197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430731</v>
      </c>
      <c r="D6" s="13">
        <f>Income_Statement!D5</f>
        <v>625212</v>
      </c>
      <c r="E6" s="13">
        <f>Income_Statement!E5</f>
        <v>659997</v>
      </c>
      <c r="F6" s="13">
        <f>Income_Statement!F5</f>
        <v>539238</v>
      </c>
      <c r="G6" s="13">
        <f>Income_Statement!G5</f>
        <v>721634</v>
      </c>
    </row>
    <row r="7" spans="2:15" ht="18.75" x14ac:dyDescent="0.25">
      <c r="B7" s="12" t="str">
        <f>Balance_Sheet!B66</f>
        <v>Inventories</v>
      </c>
      <c r="C7" s="13">
        <f>Balance_Sheet!C66</f>
        <v>60837</v>
      </c>
      <c r="D7" s="13">
        <f>Balance_Sheet!D66</f>
        <v>67561</v>
      </c>
      <c r="E7" s="13">
        <f>Balance_Sheet!E66</f>
        <v>73903</v>
      </c>
      <c r="F7" s="13">
        <f>Balance_Sheet!F66</f>
        <v>81672</v>
      </c>
      <c r="G7" s="13">
        <f>Balance_Sheet!G66</f>
        <v>107778</v>
      </c>
    </row>
    <row r="8" spans="2:15" ht="18.75" x14ac:dyDescent="0.25">
      <c r="B8" s="12" t="s">
        <v>192</v>
      </c>
      <c r="C8" s="13">
        <f>ROUND(365/C6*C7, 2)</f>
        <v>51.55</v>
      </c>
      <c r="D8" s="13">
        <f t="shared" ref="D8:G8" si="0">ROUND(365/D6*D7, 2)</f>
        <v>39.44</v>
      </c>
      <c r="E8" s="13">
        <f t="shared" si="0"/>
        <v>40.869999999999997</v>
      </c>
      <c r="F8" s="13">
        <f t="shared" si="0"/>
        <v>55.28</v>
      </c>
      <c r="G8" s="13">
        <f t="shared" si="0"/>
        <v>54.51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207448</v>
      </c>
      <c r="D9" s="13">
        <f>Income_Statement!D17</f>
        <v>275237</v>
      </c>
      <c r="E9" s="13">
        <f>Income_Statement!E17</f>
        <v>260621</v>
      </c>
      <c r="F9" s="13">
        <f>Income_Statement!F17</f>
        <v>199915</v>
      </c>
      <c r="G9" s="13">
        <f>Income_Statement!G17</f>
        <v>360784</v>
      </c>
    </row>
    <row r="10" spans="2:15" ht="18.75" x14ac:dyDescent="0.25">
      <c r="B10" s="12" t="str">
        <f>Balance_Sheet!B33</f>
        <v>Total Current Liabilities</v>
      </c>
      <c r="C10" s="13">
        <f>Balance_Sheet!C33</f>
        <v>308081</v>
      </c>
      <c r="D10" s="13">
        <f>Balance_Sheet!D33</f>
        <v>285149</v>
      </c>
      <c r="E10" s="13">
        <f>Balance_Sheet!E33</f>
        <v>359027</v>
      </c>
      <c r="F10" s="13">
        <f>Balance_Sheet!F33</f>
        <v>261015</v>
      </c>
      <c r="G10" s="13">
        <f>Balance_Sheet!G33</f>
        <v>294732</v>
      </c>
    </row>
    <row r="11" spans="2:15" ht="18.75" x14ac:dyDescent="0.25">
      <c r="B11" s="12" t="s">
        <v>194</v>
      </c>
      <c r="C11" s="13">
        <f>ROUND(365/C9*C10, 2)</f>
        <v>542.05999999999995</v>
      </c>
      <c r="D11" s="13">
        <f t="shared" ref="D11:G11" si="1">ROUND(365/D9*D10, 2)</f>
        <v>378.14</v>
      </c>
      <c r="E11" s="13">
        <f t="shared" si="1"/>
        <v>502.82</v>
      </c>
      <c r="F11" s="13">
        <f t="shared" si="1"/>
        <v>476.55</v>
      </c>
      <c r="G11" s="13">
        <f t="shared" si="1"/>
        <v>298.18</v>
      </c>
    </row>
    <row r="12" spans="2:15" ht="18.75" x14ac:dyDescent="0.25">
      <c r="B12" s="14" t="s">
        <v>198</v>
      </c>
      <c r="C12" s="16">
        <f>ROUND(C11+C8, 2)</f>
        <v>593.61</v>
      </c>
      <c r="D12" s="16">
        <f t="shared" ref="D12:G12" si="2">ROUND(D11+D8, 2)</f>
        <v>417.58</v>
      </c>
      <c r="E12" s="16">
        <f t="shared" si="2"/>
        <v>543.69000000000005</v>
      </c>
      <c r="F12" s="16">
        <f t="shared" si="2"/>
        <v>531.83000000000004</v>
      </c>
      <c r="G12" s="16">
        <f t="shared" si="2"/>
        <v>352.69</v>
      </c>
    </row>
  </sheetData>
  <mergeCells count="1">
    <mergeCell ref="B5:G5"/>
  </mergeCells>
  <hyperlinks>
    <hyperlink ref="F1" location="Index_Data!A1" tooltip="Hi click here To return Index page" display="Index_Data!A1" xr:uid="{B8B5C97C-3841-4E8E-964A-6767A060FD6C}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C2C49-A58B-4737-AFC4-478E1CDECDF5}">
  <dimension ref="B1:O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199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430731</v>
      </c>
      <c r="D6" s="13">
        <f>Income_Statement!D5</f>
        <v>625212</v>
      </c>
      <c r="E6" s="13">
        <f>Income_Statement!E5</f>
        <v>659997</v>
      </c>
      <c r="F6" s="13">
        <f>Income_Statement!F5</f>
        <v>539238</v>
      </c>
      <c r="G6" s="13">
        <f>Income_Statement!G5</f>
        <v>721634</v>
      </c>
    </row>
    <row r="7" spans="2:15" ht="18.75" x14ac:dyDescent="0.25">
      <c r="B7" s="12" t="str">
        <f>Balance_Sheet!B66</f>
        <v>Inventories</v>
      </c>
      <c r="C7" s="13">
        <f>Balance_Sheet!C66</f>
        <v>60837</v>
      </c>
      <c r="D7" s="13">
        <f>Balance_Sheet!D66</f>
        <v>67561</v>
      </c>
      <c r="E7" s="13">
        <f>Balance_Sheet!E66</f>
        <v>73903</v>
      </c>
      <c r="F7" s="13">
        <f>Balance_Sheet!F66</f>
        <v>81672</v>
      </c>
      <c r="G7" s="13">
        <f>Balance_Sheet!G66</f>
        <v>107778</v>
      </c>
    </row>
    <row r="8" spans="2:15" ht="18.75" x14ac:dyDescent="0.25">
      <c r="B8" s="12" t="s">
        <v>192</v>
      </c>
      <c r="C8" s="13">
        <f>ROUND(365/C6*C7, 2)</f>
        <v>51.55</v>
      </c>
      <c r="D8" s="13">
        <f t="shared" ref="D8:G8" si="0">ROUND(365/D6*D7, 2)</f>
        <v>39.44</v>
      </c>
      <c r="E8" s="13">
        <f t="shared" si="0"/>
        <v>40.869999999999997</v>
      </c>
      <c r="F8" s="13">
        <f t="shared" si="0"/>
        <v>55.28</v>
      </c>
      <c r="G8" s="13">
        <f t="shared" si="0"/>
        <v>54.51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207448</v>
      </c>
      <c r="D9" s="13">
        <f>Income_Statement!D17</f>
        <v>275237</v>
      </c>
      <c r="E9" s="13">
        <f>Income_Statement!E17</f>
        <v>260621</v>
      </c>
      <c r="F9" s="13">
        <f>Income_Statement!F17</f>
        <v>199915</v>
      </c>
      <c r="G9" s="13">
        <f>Income_Statement!G17</f>
        <v>360784</v>
      </c>
    </row>
    <row r="10" spans="2:15" ht="18.75" x14ac:dyDescent="0.25">
      <c r="B10" s="12" t="str">
        <f>Balance_Sheet!B33</f>
        <v>Total Current Liabilities</v>
      </c>
      <c r="C10" s="13">
        <f>Balance_Sheet!C33</f>
        <v>308081</v>
      </c>
      <c r="D10" s="13">
        <f>Balance_Sheet!D33</f>
        <v>285149</v>
      </c>
      <c r="E10" s="13">
        <f>Balance_Sheet!E33</f>
        <v>359027</v>
      </c>
      <c r="F10" s="13">
        <f>Balance_Sheet!F33</f>
        <v>261015</v>
      </c>
      <c r="G10" s="13">
        <f>Balance_Sheet!G33</f>
        <v>294732</v>
      </c>
    </row>
    <row r="11" spans="2:15" ht="18.75" x14ac:dyDescent="0.25">
      <c r="B11" s="12" t="s">
        <v>194</v>
      </c>
      <c r="C11" s="13">
        <f>ROUND(365/C9*C10, 2)</f>
        <v>542.05999999999995</v>
      </c>
      <c r="D11" s="13">
        <f t="shared" ref="D11:G11" si="1">ROUND(365/D9*D10, 2)</f>
        <v>378.14</v>
      </c>
      <c r="E11" s="13">
        <f t="shared" si="1"/>
        <v>502.82</v>
      </c>
      <c r="F11" s="13">
        <f t="shared" si="1"/>
        <v>476.55</v>
      </c>
      <c r="G11" s="13">
        <f t="shared" si="1"/>
        <v>298.18</v>
      </c>
    </row>
    <row r="12" spans="2:15" ht="18.75" x14ac:dyDescent="0.25">
      <c r="B12" s="12" t="s">
        <v>200</v>
      </c>
      <c r="C12" s="13">
        <f>ROUND(C11+C8, 2)</f>
        <v>593.61</v>
      </c>
      <c r="D12" s="13">
        <f t="shared" ref="D12:G12" si="2">ROUND(D11+D8, 2)</f>
        <v>417.58</v>
      </c>
      <c r="E12" s="13">
        <f t="shared" si="2"/>
        <v>543.69000000000005</v>
      </c>
      <c r="F12" s="13">
        <f t="shared" si="2"/>
        <v>531.83000000000004</v>
      </c>
      <c r="G12" s="13">
        <f t="shared" si="2"/>
        <v>352.69</v>
      </c>
    </row>
    <row r="13" spans="2:15" ht="18.75" x14ac:dyDescent="0.25">
      <c r="B13" s="12" t="str">
        <f>Income_Statement!B17</f>
        <v>Cost Of Materials Consumed</v>
      </c>
      <c r="C13" s="13">
        <f>Income_Statement!C17</f>
        <v>207448</v>
      </c>
      <c r="D13" s="13">
        <f>Income_Statement!D17</f>
        <v>275237</v>
      </c>
      <c r="E13" s="13">
        <f>Income_Statement!E17</f>
        <v>260621</v>
      </c>
      <c r="F13" s="13">
        <f>Income_Statement!F17</f>
        <v>199915</v>
      </c>
      <c r="G13" s="13">
        <f>Income_Statement!G17</f>
        <v>360784</v>
      </c>
    </row>
    <row r="14" spans="2:15" ht="18.75" x14ac:dyDescent="0.25">
      <c r="B14" s="12" t="str">
        <f>Balance_Sheet!B33</f>
        <v>Total Current Liabilities</v>
      </c>
      <c r="C14" s="13">
        <f>Balance_Sheet!C33</f>
        <v>308081</v>
      </c>
      <c r="D14" s="13">
        <f>Balance_Sheet!D33</f>
        <v>285149</v>
      </c>
      <c r="E14" s="13">
        <f>Balance_Sheet!E33</f>
        <v>359027</v>
      </c>
      <c r="F14" s="13">
        <f>Balance_Sheet!F33</f>
        <v>261015</v>
      </c>
      <c r="G14" s="13">
        <f>Balance_Sheet!G33</f>
        <v>294732</v>
      </c>
    </row>
    <row r="15" spans="2:15" ht="18.75" x14ac:dyDescent="0.25">
      <c r="B15" s="12" t="s">
        <v>194</v>
      </c>
      <c r="C15" s="13">
        <f>ROUND(365/C13*C14, 2)</f>
        <v>542.05999999999995</v>
      </c>
      <c r="D15" s="13">
        <f t="shared" ref="D15:G15" si="3">ROUND(365/D13*D14, 2)</f>
        <v>378.14</v>
      </c>
      <c r="E15" s="13">
        <f t="shared" si="3"/>
        <v>502.82</v>
      </c>
      <c r="F15" s="13">
        <f t="shared" si="3"/>
        <v>476.55</v>
      </c>
      <c r="G15" s="13">
        <f t="shared" si="3"/>
        <v>298.18</v>
      </c>
    </row>
    <row r="16" spans="2:15" ht="18.75" x14ac:dyDescent="0.25">
      <c r="B16" s="14" t="s">
        <v>201</v>
      </c>
      <c r="C16" s="16">
        <f>ROUND(C15-C12, 2)</f>
        <v>-51.55</v>
      </c>
      <c r="D16" s="16">
        <f t="shared" ref="D16:G16" si="4">ROUND(D15-D12, 2)</f>
        <v>-39.44</v>
      </c>
      <c r="E16" s="16">
        <f t="shared" si="4"/>
        <v>-40.869999999999997</v>
      </c>
      <c r="F16" s="16">
        <f t="shared" si="4"/>
        <v>-55.28</v>
      </c>
      <c r="G16" s="16">
        <f t="shared" si="4"/>
        <v>-54.51</v>
      </c>
    </row>
  </sheetData>
  <mergeCells count="1">
    <mergeCell ref="B5:G5"/>
  </mergeCells>
  <hyperlinks>
    <hyperlink ref="F1" location="Index_Data!A1" tooltip="Hi click here To return Index page" display="Index_Data!A1" xr:uid="{4C50EFDB-8D31-4E22-9D7B-F2B47FCB94F3}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9B8C4-AEED-4698-92C2-A47BB9975E04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3" width="14.85546875" bestFit="1" customWidth="1"/>
    <col min="4" max="7" width="16.425781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Balance_Sheet!B13</f>
        <v>Net Worth</v>
      </c>
      <c r="C5" s="13">
        <f>Balance_Sheet!C13</f>
        <v>293491</v>
      </c>
      <c r="D5" s="13">
        <f>Balance_Sheet!D13</f>
        <v>448197.92383863393</v>
      </c>
      <c r="E5" s="13">
        <f>Balance_Sheet!E13</f>
        <v>626016.84914435504</v>
      </c>
      <c r="F5" s="13">
        <f>Balance_Sheet!F13</f>
        <v>767222.74531821522</v>
      </c>
      <c r="G5" s="13">
        <f>Balance_Sheet!G13</f>
        <v>949236.76603093103</v>
      </c>
    </row>
    <row r="6" spans="2:15" ht="18.75" x14ac:dyDescent="0.25">
      <c r="B6" s="12" t="str">
        <f>Balance_Sheet!B37</f>
        <v>Total Liabilities</v>
      </c>
      <c r="C6" s="13">
        <f>Balance_Sheet!C37</f>
        <v>816333</v>
      </c>
      <c r="D6" s="13">
        <f>Balance_Sheet!D37</f>
        <v>1063491.923838634</v>
      </c>
      <c r="E6" s="13">
        <f>Balance_Sheet!E37</f>
        <v>1342764.8491443549</v>
      </c>
      <c r="F6" s="13">
        <f>Balance_Sheet!F37</f>
        <v>1388262.7453182153</v>
      </c>
      <c r="G6" s="13">
        <f>Balance_Sheet!G37</f>
        <v>1669416.7660309309</v>
      </c>
    </row>
  </sheetData>
  <hyperlinks>
    <hyperlink ref="F1" location="Index_Data!A1" tooltip="Hi click here To return Index page" display="Index_Data!A1" xr:uid="{70417A5F-396A-4012-BD68-CE21E66930EC}"/>
  </hyperlink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DBD0F-57E1-48E7-B64E-05823A99A3F5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Income_Statement!B29</f>
        <v>PBDIT</v>
      </c>
      <c r="C5" s="13">
        <f>Income_Statement!C29</f>
        <v>134143.93242882448</v>
      </c>
      <c r="D5" s="13">
        <f>Income_Statement!D29</f>
        <v>211803.92383863393</v>
      </c>
      <c r="E5" s="13">
        <f>Income_Statement!E29</f>
        <v>244389.92530572112</v>
      </c>
      <c r="F5" s="13">
        <f>Income_Statement!F29</f>
        <v>188861.89617386018</v>
      </c>
      <c r="G5" s="13">
        <f>Income_Statement!G29</f>
        <v>239536.02071271581</v>
      </c>
    </row>
    <row r="6" spans="2:15" ht="18.75" x14ac:dyDescent="0.25">
      <c r="B6" s="12" t="str">
        <f>Income_Statement!B33</f>
        <v>PBIT</v>
      </c>
      <c r="C6" s="13">
        <f>Income_Statement!C33</f>
        <v>117437.93242882448</v>
      </c>
      <c r="D6" s="13">
        <f>Income_Statement!D33</f>
        <v>190869.92383863393</v>
      </c>
      <c r="E6" s="13">
        <f>Income_Statement!E33</f>
        <v>222186.92530572112</v>
      </c>
      <c r="F6" s="13">
        <f>Income_Statement!F33</f>
        <v>162289.89617386018</v>
      </c>
      <c r="G6" s="13">
        <f>Income_Statement!G33</f>
        <v>209739.02071271581</v>
      </c>
    </row>
  </sheetData>
  <hyperlinks>
    <hyperlink ref="F1" location="Index_Data!A1" tooltip="Hi click here To return Index page" display="Index_Data!A1" xr:uid="{B655D74D-F523-4565-A68B-9DB3A1F7B685}"/>
  </hyperlink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340DB-299C-469F-BC10-E44BA1EB3B40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Balance_Sheet!B72</f>
        <v>Total Current Assets</v>
      </c>
      <c r="C5" s="13">
        <f>Balance_Sheet!C72</f>
        <v>142579</v>
      </c>
      <c r="D5" s="13">
        <f>Balance_Sheet!D72</f>
        <v>312235.92383863393</v>
      </c>
      <c r="E5" s="13">
        <f>Balance_Sheet!E72</f>
        <v>527639.84914435504</v>
      </c>
      <c r="F5" s="13">
        <f>Balance_Sheet!F72</f>
        <v>490926.74531821522</v>
      </c>
      <c r="G5" s="13">
        <f>Balance_Sheet!G72</f>
        <v>587363.76603093103</v>
      </c>
    </row>
    <row r="6" spans="2:15" ht="18.75" x14ac:dyDescent="0.25">
      <c r="B6" s="12" t="str">
        <f>Balance_Sheet!B33</f>
        <v>Total Current Liabilities</v>
      </c>
      <c r="C6" s="13">
        <f>Balance_Sheet!C33</f>
        <v>308081</v>
      </c>
      <c r="D6" s="13">
        <f>Balance_Sheet!D33</f>
        <v>285149</v>
      </c>
      <c r="E6" s="13">
        <f>Balance_Sheet!E33</f>
        <v>359027</v>
      </c>
      <c r="F6" s="13">
        <f>Balance_Sheet!F33</f>
        <v>261015</v>
      </c>
      <c r="G6" s="13">
        <f>Balance_Sheet!G33</f>
        <v>294732</v>
      </c>
    </row>
  </sheetData>
  <hyperlinks>
    <hyperlink ref="F1" location="Index_Data!A1" tooltip="Hi click here To return Index page" display="Index_Data!A1" xr:uid="{CC5B47AA-4A48-49F9-A54F-318D13C3A6F3}"/>
  </hyperlink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2C8D5-3B4A-49AE-801D-BA8562D7A374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1.57031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Balance_Sheet!B23</f>
        <v>Long Term Provisions</v>
      </c>
      <c r="C5" s="13">
        <f>Balance_Sheet!C23</f>
        <v>2906</v>
      </c>
      <c r="D5" s="13">
        <f>Balance_Sheet!D23</f>
        <v>2856</v>
      </c>
      <c r="E5" s="13">
        <f>Balance_Sheet!E23</f>
        <v>1790</v>
      </c>
      <c r="F5" s="13">
        <f>Balance_Sheet!F23</f>
        <v>2625</v>
      </c>
      <c r="G5" s="13">
        <f>Balance_Sheet!G23</f>
        <v>1853</v>
      </c>
    </row>
    <row r="6" spans="2:15" ht="18.75" x14ac:dyDescent="0.25">
      <c r="B6" s="12" t="str">
        <f>Balance_Sheet!B25</f>
        <v>Short Term Provisions</v>
      </c>
      <c r="C6" s="13">
        <f>Balance_Sheet!C25</f>
        <v>1232</v>
      </c>
      <c r="D6" s="13">
        <f>Balance_Sheet!D25</f>
        <v>1326</v>
      </c>
      <c r="E6" s="13">
        <f>Balance_Sheet!E25</f>
        <v>1890</v>
      </c>
      <c r="F6" s="13">
        <f>Balance_Sheet!F25</f>
        <v>2504</v>
      </c>
      <c r="G6" s="13">
        <f>Balance_Sheet!G25</f>
        <v>1936</v>
      </c>
    </row>
  </sheetData>
  <hyperlinks>
    <hyperlink ref="F1" location="Index_Data!A1" tooltip="Hi click here To return Index page" display="Index_Data!A1" xr:uid="{1BBBA506-2FA5-4F68-AA16-74904C1A7800}"/>
  </hyperlink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1D5CB-3F1A-4393-B1BF-AFAB7586A5F9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Income_Statement!B17</f>
        <v>Cost Of Materials Consumed</v>
      </c>
      <c r="C5" s="13">
        <f>Income_Statement!C17</f>
        <v>207448</v>
      </c>
      <c r="D5" s="13">
        <f>Income_Statement!D17</f>
        <v>275237</v>
      </c>
      <c r="E5" s="13">
        <f>Income_Statement!E17</f>
        <v>260621</v>
      </c>
      <c r="F5" s="13">
        <f>Income_Statement!F17</f>
        <v>199915</v>
      </c>
      <c r="G5" s="13">
        <f>Income_Statement!G17</f>
        <v>360784</v>
      </c>
    </row>
    <row r="6" spans="2:15" ht="18.75" x14ac:dyDescent="0.25">
      <c r="B6" s="12" t="str">
        <f>Income_Statement!B19</f>
        <v>Operating And Direct Expenses</v>
      </c>
      <c r="C6" s="13">
        <f>Income_Statement!C19</f>
        <v>0</v>
      </c>
      <c r="D6" s="13">
        <f>Income_Statement!D19</f>
        <v>28360</v>
      </c>
      <c r="E6" s="13">
        <f>Income_Statement!E19</f>
        <v>24155</v>
      </c>
      <c r="F6" s="13">
        <f>Income_Statement!F19</f>
        <v>19978</v>
      </c>
      <c r="G6" s="13">
        <f>Income_Statement!G19</f>
        <v>0</v>
      </c>
    </row>
  </sheetData>
  <hyperlinks>
    <hyperlink ref="F1" location="Index_Data!A1" tooltip="Hi click here To return Index page" display="Index_Data!A1" xr:uid="{156910DA-DC32-41C4-A16E-6375649FC546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6C8C5-1D96-45BA-9E98-0EECBA35ADAE}">
  <dimension ref="B1:O65"/>
  <sheetViews>
    <sheetView showGridLines="0" topLeftCell="A49" workbookViewId="0">
      <selection activeCell="H61" sqref="H61:L61"/>
    </sheetView>
  </sheetViews>
  <sheetFormatPr defaultRowHeight="15" x14ac:dyDescent="0.25"/>
  <cols>
    <col min="2" max="2" width="61.85546875" bestFit="1" customWidth="1"/>
    <col min="3" max="7" width="18.85546875" bestFit="1" customWidth="1"/>
    <col min="8" max="8" width="17.140625" bestFit="1" customWidth="1"/>
    <col min="9" max="11" width="18.85546875" bestFit="1" customWidth="1"/>
    <col min="12" max="12" width="17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120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97</v>
      </c>
      <c r="C5" s="5">
        <v>430731</v>
      </c>
      <c r="D5" s="5">
        <v>625212</v>
      </c>
      <c r="E5" s="5">
        <v>659997</v>
      </c>
      <c r="F5" s="5">
        <v>539238</v>
      </c>
      <c r="G5" s="5">
        <v>721634</v>
      </c>
      <c r="H5" s="24">
        <f>GROWTH(C5:G5,C4:G4,H4)</f>
        <v>764129.63693932665</v>
      </c>
      <c r="I5" s="24">
        <f t="shared" ref="I5:L5" si="0">GROWTH(D5:H5,D4:H4,I4)</f>
        <v>761523.14696725365</v>
      </c>
      <c r="J5" s="24">
        <f t="shared" si="0"/>
        <v>827177.23354667902</v>
      </c>
      <c r="K5" s="24">
        <f t="shared" si="0"/>
        <v>939744.79067105066</v>
      </c>
      <c r="L5" s="24">
        <f t="shared" si="0"/>
        <v>959180.52083206119</v>
      </c>
    </row>
    <row r="6" spans="2:15" x14ac:dyDescent="0.25">
      <c r="B6" s="17" t="s">
        <v>238</v>
      </c>
      <c r="C6" s="18">
        <f>C5/Income_Statement!C5</f>
        <v>1</v>
      </c>
      <c r="D6" s="18">
        <f>D5/Income_Statement!D5</f>
        <v>1</v>
      </c>
      <c r="E6" s="18">
        <f>E5/Income_Statement!E5</f>
        <v>1</v>
      </c>
      <c r="F6" s="18">
        <f>F5/Income_Statement!F5</f>
        <v>1</v>
      </c>
      <c r="G6" s="18">
        <f>G5/Income_Statement!G5</f>
        <v>1</v>
      </c>
      <c r="H6" s="25">
        <f>H5/Income_Statement!H5</f>
        <v>1</v>
      </c>
      <c r="I6" s="25">
        <f>I5/Income_Statement!I5</f>
        <v>1</v>
      </c>
      <c r="J6" s="25">
        <f>J5/Income_Statement!J5</f>
        <v>1</v>
      </c>
      <c r="K6" s="25">
        <f>K5/Income_Statement!K5</f>
        <v>1</v>
      </c>
      <c r="L6" s="25">
        <f>L5/Income_Statement!L5</f>
        <v>1</v>
      </c>
    </row>
    <row r="7" spans="2:15" ht="18.75" x14ac:dyDescent="0.25">
      <c r="B7" s="8" t="s">
        <v>98</v>
      </c>
      <c r="C7" s="4">
        <v>39054</v>
      </c>
      <c r="D7" s="5">
        <v>56003</v>
      </c>
      <c r="E7" s="5">
        <v>62462</v>
      </c>
      <c r="F7" s="5">
        <v>72314</v>
      </c>
      <c r="G7" s="5">
        <v>0</v>
      </c>
      <c r="H7" s="24">
        <f>H5*H8</f>
        <v>0</v>
      </c>
      <c r="I7" s="24">
        <f t="shared" ref="I7:L7" si="1">I5*I8</f>
        <v>0</v>
      </c>
      <c r="J7" s="24">
        <f t="shared" si="1"/>
        <v>0</v>
      </c>
      <c r="K7" s="24">
        <f t="shared" si="1"/>
        <v>0</v>
      </c>
      <c r="L7" s="24">
        <f t="shared" si="1"/>
        <v>0</v>
      </c>
    </row>
    <row r="8" spans="2:15" x14ac:dyDescent="0.25">
      <c r="B8" s="17" t="s">
        <v>239</v>
      </c>
      <c r="C8" s="18">
        <f>C7/Income_Statement!C5</f>
        <v>9.0669118312821692E-2</v>
      </c>
      <c r="D8" s="18">
        <f>D7/Income_Statement!D5</f>
        <v>8.9574416357971379E-2</v>
      </c>
      <c r="E8" s="18">
        <f>E7/Income_Statement!E5</f>
        <v>9.4639824120412663E-2</v>
      </c>
      <c r="F8" s="18">
        <f>F7/Income_Statement!F5</f>
        <v>0.13410405053056351</v>
      </c>
      <c r="G8" s="18">
        <f>G7/Income_Statement!G5</f>
        <v>0</v>
      </c>
      <c r="H8" s="25">
        <f>G8</f>
        <v>0</v>
      </c>
      <c r="I8" s="25">
        <f t="shared" ref="I8:L8" si="2">H8</f>
        <v>0</v>
      </c>
      <c r="J8" s="25">
        <f t="shared" si="2"/>
        <v>0</v>
      </c>
      <c r="K8" s="25">
        <f t="shared" si="2"/>
        <v>0</v>
      </c>
      <c r="L8" s="25">
        <f t="shared" si="2"/>
        <v>0</v>
      </c>
    </row>
    <row r="9" spans="2:15" ht="18.75" x14ac:dyDescent="0.25">
      <c r="B9" s="9" t="s">
        <v>105</v>
      </c>
      <c r="C9" s="7">
        <f>C5 - C7</f>
        <v>391677</v>
      </c>
      <c r="D9" s="7">
        <f t="shared" ref="D9:L9" si="3">D5 - D7</f>
        <v>569209</v>
      </c>
      <c r="E9" s="7">
        <f t="shared" si="3"/>
        <v>597535</v>
      </c>
      <c r="F9" s="7">
        <f t="shared" si="3"/>
        <v>466924</v>
      </c>
      <c r="G9" s="7">
        <f t="shared" si="3"/>
        <v>721634</v>
      </c>
      <c r="H9" s="27">
        <f t="shared" si="3"/>
        <v>764129.63693932665</v>
      </c>
      <c r="I9" s="27">
        <f t="shared" si="3"/>
        <v>761523.14696725365</v>
      </c>
      <c r="J9" s="27">
        <f t="shared" si="3"/>
        <v>827177.23354667902</v>
      </c>
      <c r="K9" s="27">
        <f t="shared" si="3"/>
        <v>939744.79067105066</v>
      </c>
      <c r="L9" s="27">
        <f t="shared" si="3"/>
        <v>959180.52083206119</v>
      </c>
    </row>
    <row r="10" spans="2:15" x14ac:dyDescent="0.25">
      <c r="B10" s="19" t="s">
        <v>240</v>
      </c>
      <c r="C10" s="21">
        <f>C9/Income_Statement!C5</f>
        <v>0.90933088168717835</v>
      </c>
      <c r="D10" s="21">
        <f>D9/Income_Statement!D5</f>
        <v>0.91042558364202864</v>
      </c>
      <c r="E10" s="21">
        <f>E9/Income_Statement!E5</f>
        <v>0.90536017587958728</v>
      </c>
      <c r="F10" s="21">
        <f>F9/Income_Statement!F5</f>
        <v>0.86589594946943649</v>
      </c>
      <c r="G10" s="21">
        <f>G9/Income_Statement!G5</f>
        <v>1</v>
      </c>
      <c r="H10" s="29">
        <f>H9/Income_Statement!H5</f>
        <v>1</v>
      </c>
      <c r="I10" s="29">
        <f>I9/Income_Statement!I5</f>
        <v>1</v>
      </c>
      <c r="J10" s="29">
        <f>J9/Income_Statement!J5</f>
        <v>1</v>
      </c>
      <c r="K10" s="29">
        <f>K9/Income_Statement!K5</f>
        <v>1</v>
      </c>
      <c r="L10" s="29">
        <f>L9/Income_Statement!L5</f>
        <v>1</v>
      </c>
    </row>
    <row r="11" spans="2:15" ht="18.75" x14ac:dyDescent="0.25">
      <c r="B11" s="8" t="s">
        <v>59</v>
      </c>
      <c r="C11" s="5">
        <v>9949</v>
      </c>
      <c r="D11" s="5">
        <v>8386</v>
      </c>
      <c r="E11" s="5">
        <v>13164</v>
      </c>
      <c r="F11" s="5">
        <v>16327</v>
      </c>
      <c r="G11" s="5">
        <v>14947</v>
      </c>
      <c r="H11" s="24">
        <f>H5*H12</f>
        <v>15827.200053395647</v>
      </c>
      <c r="I11" s="24">
        <f t="shared" ref="I11:L11" si="4">I5*I12</f>
        <v>15773.212567201019</v>
      </c>
      <c r="J11" s="24">
        <f t="shared" si="4"/>
        <v>17133.087007849146</v>
      </c>
      <c r="K11" s="24">
        <f t="shared" si="4"/>
        <v>19464.666834101765</v>
      </c>
      <c r="L11" s="24">
        <f t="shared" si="4"/>
        <v>19867.233590541491</v>
      </c>
    </row>
    <row r="12" spans="2:15" x14ac:dyDescent="0.25">
      <c r="B12" s="17" t="s">
        <v>241</v>
      </c>
      <c r="C12" s="18">
        <f>C11/Income_Statement!C5</f>
        <v>2.3097942799566319E-2</v>
      </c>
      <c r="D12" s="18">
        <f>D11/Income_Statement!D5</f>
        <v>1.3413050293340499E-2</v>
      </c>
      <c r="E12" s="18">
        <f>E11/Income_Statement!E5</f>
        <v>1.9945545207023668E-2</v>
      </c>
      <c r="F12" s="18">
        <f>F11/Income_Statement!F5</f>
        <v>3.0277910681368893E-2</v>
      </c>
      <c r="G12" s="18">
        <f>G11/Income_Statement!G5</f>
        <v>2.0712715864274686E-2</v>
      </c>
      <c r="H12" s="25">
        <f>MEDIAN(C12:G12)</f>
        <v>2.0712715864274686E-2</v>
      </c>
      <c r="I12" s="25">
        <f t="shared" ref="I12:L12" si="5">H12</f>
        <v>2.0712715864274686E-2</v>
      </c>
      <c r="J12" s="25">
        <f t="shared" si="5"/>
        <v>2.0712715864274686E-2</v>
      </c>
      <c r="K12" s="25">
        <f t="shared" si="5"/>
        <v>2.0712715864274686E-2</v>
      </c>
      <c r="L12" s="25">
        <f t="shared" si="5"/>
        <v>2.0712715864274686E-2</v>
      </c>
    </row>
    <row r="13" spans="2:15" ht="18.75" x14ac:dyDescent="0.25">
      <c r="B13" s="8" t="s">
        <v>106</v>
      </c>
      <c r="C13" s="4"/>
      <c r="D13" s="4"/>
      <c r="E13" s="4"/>
      <c r="F13" s="4"/>
      <c r="G13" s="4"/>
      <c r="H13" s="26">
        <f>H5*H14</f>
        <v>0</v>
      </c>
      <c r="I13" s="26">
        <f t="shared" ref="I13:L13" si="6">I5*I14</f>
        <v>0</v>
      </c>
      <c r="J13" s="26">
        <f t="shared" si="6"/>
        <v>0</v>
      </c>
      <c r="K13" s="26">
        <f t="shared" si="6"/>
        <v>0</v>
      </c>
      <c r="L13" s="26">
        <f t="shared" si="6"/>
        <v>0</v>
      </c>
    </row>
    <row r="14" spans="2:15" x14ac:dyDescent="0.25">
      <c r="B14" s="17" t="s">
        <v>242</v>
      </c>
      <c r="C14" s="18">
        <f>C13/Income_Statement!C5</f>
        <v>0</v>
      </c>
      <c r="D14" s="18">
        <f>D13/Income_Statement!D5</f>
        <v>0</v>
      </c>
      <c r="E14" s="18">
        <f>E13/Income_Statement!E5</f>
        <v>0</v>
      </c>
      <c r="F14" s="18">
        <f>F13/Income_Statement!F5</f>
        <v>0</v>
      </c>
      <c r="G14" s="18">
        <f>G13/Income_Statement!G5</f>
        <v>0</v>
      </c>
      <c r="H14" s="25">
        <f>MEDIAN(C14:G14)</f>
        <v>0</v>
      </c>
      <c r="I14" s="25">
        <f t="shared" ref="I14:L14" si="7">H14</f>
        <v>0</v>
      </c>
      <c r="J14" s="25">
        <f t="shared" si="7"/>
        <v>0</v>
      </c>
      <c r="K14" s="25">
        <f t="shared" si="7"/>
        <v>0</v>
      </c>
      <c r="L14" s="25">
        <f t="shared" si="7"/>
        <v>0</v>
      </c>
    </row>
    <row r="15" spans="2:15" ht="18.75" x14ac:dyDescent="0.25">
      <c r="B15" s="9" t="s">
        <v>107</v>
      </c>
      <c r="C15" s="7">
        <f>SUM(C9:C13)</f>
        <v>401626.93242882448</v>
      </c>
      <c r="D15" s="7">
        <f t="shared" ref="D15:L15" si="8">SUM(D9:D13)</f>
        <v>577595.92383863393</v>
      </c>
      <c r="E15" s="7">
        <f t="shared" si="8"/>
        <v>610699.92530572112</v>
      </c>
      <c r="F15" s="7">
        <f t="shared" si="8"/>
        <v>483251.89617386018</v>
      </c>
      <c r="G15" s="7">
        <f t="shared" si="8"/>
        <v>736582.02071271581</v>
      </c>
      <c r="H15" s="27">
        <f t="shared" si="8"/>
        <v>779957.85770543816</v>
      </c>
      <c r="I15" s="27">
        <f t="shared" si="8"/>
        <v>777297.38024717045</v>
      </c>
      <c r="J15" s="27">
        <f t="shared" si="8"/>
        <v>844311.34126724396</v>
      </c>
      <c r="K15" s="27">
        <f t="shared" si="8"/>
        <v>959210.47821786825</v>
      </c>
      <c r="L15" s="27">
        <f t="shared" si="8"/>
        <v>979048.77513531852</v>
      </c>
    </row>
    <row r="16" spans="2:15" x14ac:dyDescent="0.25">
      <c r="B16" s="19" t="s">
        <v>243</v>
      </c>
      <c r="C16" s="21">
        <f>C15/Income_Statement!C5</f>
        <v>0.93243098924578094</v>
      </c>
      <c r="D16" s="21">
        <f>D15/Income_Statement!D5</f>
        <v>0.92384011157596768</v>
      </c>
      <c r="E16" s="21">
        <f>E15/Income_Statement!E5</f>
        <v>0.92530712307134899</v>
      </c>
      <c r="F16" s="21">
        <f>F15/Income_Statement!F5</f>
        <v>0.89617552207719076</v>
      </c>
      <c r="G16" s="21">
        <f>G15/Income_Statement!G5</f>
        <v>1.0207141303108165</v>
      </c>
      <c r="H16" s="29">
        <f>H15/Income_Statement!H5</f>
        <v>1.0207140516490245</v>
      </c>
      <c r="I16" s="29">
        <f>I15/Income_Statement!I5</f>
        <v>1.0207140562210582</v>
      </c>
      <c r="J16" s="29">
        <f>J15/Income_Statement!J5</f>
        <v>1.020713949835272</v>
      </c>
      <c r="K16" s="29">
        <f>K15/Income_Statement!K5</f>
        <v>1.0207138020237576</v>
      </c>
      <c r="L16" s="29">
        <f>L15/Income_Statement!L5</f>
        <v>1.0207137800150718</v>
      </c>
    </row>
    <row r="17" spans="2:12" ht="18.75" x14ac:dyDescent="0.25">
      <c r="B17" s="8" t="s">
        <v>62</v>
      </c>
      <c r="C17" s="5">
        <v>207448</v>
      </c>
      <c r="D17" s="5">
        <v>275237</v>
      </c>
      <c r="E17" s="5">
        <v>260621</v>
      </c>
      <c r="F17" s="5">
        <v>199915</v>
      </c>
      <c r="G17" s="5">
        <v>360784</v>
      </c>
      <c r="H17" s="24">
        <f>H5*H18</f>
        <v>382029.8751631963</v>
      </c>
      <c r="I17" s="24">
        <f t="shared" ref="I17:L17" si="9">I5*I18</f>
        <v>380726.74937078025</v>
      </c>
      <c r="J17" s="24">
        <f t="shared" si="9"/>
        <v>413550.79032848374</v>
      </c>
      <c r="K17" s="24">
        <f t="shared" si="9"/>
        <v>469829.42122663889</v>
      </c>
      <c r="L17" s="24">
        <f t="shared" si="9"/>
        <v>479546.39751989837</v>
      </c>
    </row>
    <row r="18" spans="2:12" x14ac:dyDescent="0.25">
      <c r="B18" s="17" t="s">
        <v>244</v>
      </c>
      <c r="C18" s="18">
        <f>C17/Income_Statement!C5</f>
        <v>0.48161845792385505</v>
      </c>
      <c r="D18" s="18">
        <f>D17/Income_Statement!D5</f>
        <v>0.44022987402673014</v>
      </c>
      <c r="E18" s="18">
        <f>E17/Income_Statement!E5</f>
        <v>0.39488209794893009</v>
      </c>
      <c r="F18" s="18">
        <f>F17/Income_Statement!F5</f>
        <v>0.37073611281104074</v>
      </c>
      <c r="G18" s="18">
        <f>G17/Income_Statement!G5</f>
        <v>0.49995427044734586</v>
      </c>
      <c r="H18" s="25">
        <f>G18</f>
        <v>0.49995427044734586</v>
      </c>
      <c r="I18" s="25">
        <f t="shared" ref="I18:L18" si="10">H18</f>
        <v>0.49995427044734586</v>
      </c>
      <c r="J18" s="25">
        <f t="shared" si="10"/>
        <v>0.49995427044734586</v>
      </c>
      <c r="K18" s="25">
        <f t="shared" si="10"/>
        <v>0.49995427044734586</v>
      </c>
      <c r="L18" s="25">
        <f t="shared" si="10"/>
        <v>0.49995427044734586</v>
      </c>
    </row>
    <row r="19" spans="2:12" ht="18.75" x14ac:dyDescent="0.25">
      <c r="B19" s="8" t="s">
        <v>64</v>
      </c>
      <c r="C19" s="4">
        <v>0</v>
      </c>
      <c r="D19" s="5">
        <v>28360</v>
      </c>
      <c r="E19" s="5">
        <v>24155</v>
      </c>
      <c r="F19" s="5">
        <v>19978</v>
      </c>
      <c r="G19" s="4">
        <v>0</v>
      </c>
      <c r="H19" s="26">
        <f>H5*H20</f>
        <v>0</v>
      </c>
      <c r="I19" s="26">
        <f t="shared" ref="I19:L19" si="11">I5*I20</f>
        <v>0</v>
      </c>
      <c r="J19" s="26">
        <f t="shared" si="11"/>
        <v>0</v>
      </c>
      <c r="K19" s="26">
        <f t="shared" si="11"/>
        <v>0</v>
      </c>
      <c r="L19" s="26">
        <f t="shared" si="11"/>
        <v>0</v>
      </c>
    </row>
    <row r="20" spans="2:12" x14ac:dyDescent="0.25">
      <c r="B20" s="17" t="s">
        <v>245</v>
      </c>
      <c r="C20" s="18">
        <f>C19/Income_Statement!C5</f>
        <v>0</v>
      </c>
      <c r="D20" s="18">
        <f>D19/Income_Statement!D5</f>
        <v>4.5360613679839797E-2</v>
      </c>
      <c r="E20" s="18">
        <f>E19/Income_Statement!E5</f>
        <v>3.6598651205990332E-2</v>
      </c>
      <c r="F20" s="18">
        <f>F19/Income_Statement!F5</f>
        <v>3.7048575953475091E-2</v>
      </c>
      <c r="G20" s="18">
        <f>G19/Income_Statement!G5</f>
        <v>0</v>
      </c>
      <c r="H20" s="25">
        <f>G20</f>
        <v>0</v>
      </c>
      <c r="I20" s="25">
        <f t="shared" ref="I20:L20" si="12">H20</f>
        <v>0</v>
      </c>
      <c r="J20" s="25">
        <f t="shared" si="12"/>
        <v>0</v>
      </c>
      <c r="K20" s="25">
        <f t="shared" si="12"/>
        <v>0</v>
      </c>
      <c r="L20" s="25">
        <f t="shared" si="12"/>
        <v>0</v>
      </c>
    </row>
    <row r="21" spans="2:12" ht="18.75" x14ac:dyDescent="0.25">
      <c r="B21" s="8" t="s">
        <v>66</v>
      </c>
      <c r="C21" s="5">
        <v>9523</v>
      </c>
      <c r="D21" s="5">
        <v>12488</v>
      </c>
      <c r="E21" s="5">
        <v>14075</v>
      </c>
      <c r="F21" s="5">
        <v>14817</v>
      </c>
      <c r="G21" s="5">
        <v>18775</v>
      </c>
      <c r="H21" s="24">
        <f>H5*H22</f>
        <v>19880.623603566157</v>
      </c>
      <c r="I21" s="24">
        <f t="shared" ref="I21:L21" si="13">I5*I22</f>
        <v>19812.809657402766</v>
      </c>
      <c r="J21" s="24">
        <f t="shared" si="13"/>
        <v>21520.954611117129</v>
      </c>
      <c r="K21" s="24">
        <f t="shared" si="13"/>
        <v>24449.663464926787</v>
      </c>
      <c r="L21" s="24">
        <f t="shared" si="13"/>
        <v>24955.32954187573</v>
      </c>
    </row>
    <row r="22" spans="2:12" x14ac:dyDescent="0.25">
      <c r="B22" s="17" t="s">
        <v>246</v>
      </c>
      <c r="C22" s="18">
        <f>C21/Income_Statement!C5</f>
        <v>2.2108926452936984E-2</v>
      </c>
      <c r="D22" s="18">
        <f>D21/Income_Statement!D5</f>
        <v>1.9974024810784183E-2</v>
      </c>
      <c r="E22" s="18">
        <f>E21/Income_Statement!E5</f>
        <v>2.13258545114599E-2</v>
      </c>
      <c r="F22" s="18">
        <f>F21/Income_Statement!F5</f>
        <v>2.7477662924348802E-2</v>
      </c>
      <c r="G22" s="18">
        <f>G21/Income_Statement!G5</f>
        <v>2.601734397215209E-2</v>
      </c>
      <c r="H22" s="25">
        <f>G22</f>
        <v>2.601734397215209E-2</v>
      </c>
      <c r="I22" s="25">
        <f t="shared" ref="I22:L22" si="14">H22</f>
        <v>2.601734397215209E-2</v>
      </c>
      <c r="J22" s="25">
        <f t="shared" si="14"/>
        <v>2.601734397215209E-2</v>
      </c>
      <c r="K22" s="25">
        <f t="shared" si="14"/>
        <v>2.601734397215209E-2</v>
      </c>
      <c r="L22" s="25">
        <f t="shared" si="14"/>
        <v>2.601734397215209E-2</v>
      </c>
    </row>
    <row r="23" spans="2:12" ht="18.75" x14ac:dyDescent="0.25">
      <c r="B23" s="8" t="s">
        <v>69</v>
      </c>
      <c r="C23" s="5">
        <v>50512</v>
      </c>
      <c r="D23" s="5">
        <v>49707</v>
      </c>
      <c r="E23" s="5">
        <v>67459</v>
      </c>
      <c r="F23" s="5">
        <v>59680</v>
      </c>
      <c r="G23" s="5">
        <v>117487</v>
      </c>
      <c r="H23" s="24">
        <f>H5*H24</f>
        <v>87487.847707942419</v>
      </c>
      <c r="I23" s="24">
        <f t="shared" ref="I23:L23" si="15">I5*I24</f>
        <v>87189.421646832707</v>
      </c>
      <c r="J23" s="24">
        <f t="shared" si="15"/>
        <v>94706.385327330427</v>
      </c>
      <c r="K23" s="24">
        <f t="shared" si="15"/>
        <v>107594.63467465172</v>
      </c>
      <c r="L23" s="24">
        <f t="shared" si="15"/>
        <v>109819.89871130126</v>
      </c>
    </row>
    <row r="24" spans="2:12" x14ac:dyDescent="0.25">
      <c r="B24" s="17" t="s">
        <v>247</v>
      </c>
      <c r="C24" s="18">
        <f>C23/Income_Statement!C5</f>
        <v>0.1172704077486877</v>
      </c>
      <c r="D24" s="18">
        <f>D23/Income_Statement!D5</f>
        <v>7.9504232164449823E-2</v>
      </c>
      <c r="E24" s="18">
        <f>E23/Income_Statement!E5</f>
        <v>0.10221107065638177</v>
      </c>
      <c r="F24" s="18">
        <f>F23/Income_Statement!F5</f>
        <v>0.11067469280725765</v>
      </c>
      <c r="G24" s="18">
        <f>G23/Income_Statement!G5</f>
        <v>0.16280690765679001</v>
      </c>
      <c r="H24" s="25">
        <f>AVERAGE(C24:G24)</f>
        <v>0.11449346220671339</v>
      </c>
      <c r="I24" s="25">
        <f t="shared" ref="I24:L24" si="16">H24</f>
        <v>0.11449346220671339</v>
      </c>
      <c r="J24" s="25">
        <f t="shared" si="16"/>
        <v>0.11449346220671339</v>
      </c>
      <c r="K24" s="25">
        <f t="shared" si="16"/>
        <v>0.11449346220671339</v>
      </c>
      <c r="L24" s="25">
        <f t="shared" si="16"/>
        <v>0.11449346220671339</v>
      </c>
    </row>
    <row r="25" spans="2:12" ht="18.75" x14ac:dyDescent="0.25">
      <c r="B25" s="9" t="s">
        <v>108</v>
      </c>
      <c r="C25" s="7">
        <f>C17+C19+C21+C23</f>
        <v>267483</v>
      </c>
      <c r="D25" s="7">
        <f t="shared" ref="D25:L25" si="17">D17+D19+D21+D23</f>
        <v>365792</v>
      </c>
      <c r="E25" s="7">
        <f t="shared" si="17"/>
        <v>366310</v>
      </c>
      <c r="F25" s="7">
        <f t="shared" si="17"/>
        <v>294390</v>
      </c>
      <c r="G25" s="7">
        <f t="shared" si="17"/>
        <v>497046</v>
      </c>
      <c r="H25" s="27">
        <f t="shared" si="17"/>
        <v>489398.34647470486</v>
      </c>
      <c r="I25" s="27">
        <f t="shared" si="17"/>
        <v>487728.98067501571</v>
      </c>
      <c r="J25" s="27">
        <f t="shared" si="17"/>
        <v>529778.13026693126</v>
      </c>
      <c r="K25" s="27">
        <f t="shared" si="17"/>
        <v>601873.71936621738</v>
      </c>
      <c r="L25" s="27">
        <f t="shared" si="17"/>
        <v>614321.62577307539</v>
      </c>
    </row>
    <row r="26" spans="2:12" x14ac:dyDescent="0.25">
      <c r="B26" s="19" t="s">
        <v>248</v>
      </c>
      <c r="C26" s="21">
        <f>C25/Income_Statement!C5</f>
        <v>0.62099779212547968</v>
      </c>
      <c r="D26" s="21">
        <f>D25/Income_Statement!D5</f>
        <v>0.58506874468180392</v>
      </c>
      <c r="E26" s="21">
        <f>E25/Income_Statement!E5</f>
        <v>0.55501767432276206</v>
      </c>
      <c r="F26" s="21">
        <f>F25/Income_Statement!F5</f>
        <v>0.54593704449612235</v>
      </c>
      <c r="G26" s="21">
        <f>G25/Income_Statement!G5</f>
        <v>0.68877852207628798</v>
      </c>
      <c r="H26" s="29">
        <f>H25/Income_Statement!H5</f>
        <v>0.64046507662621133</v>
      </c>
      <c r="I26" s="29">
        <f>I25/Income_Statement!I5</f>
        <v>0.64046507662621133</v>
      </c>
      <c r="J26" s="29">
        <f>J25/Income_Statement!J5</f>
        <v>0.64046507662621133</v>
      </c>
      <c r="K26" s="29">
        <f>K25/Income_Statement!K5</f>
        <v>0.64046507662621133</v>
      </c>
      <c r="L26" s="29">
        <f>L25/Income_Statement!L5</f>
        <v>0.64046507662621133</v>
      </c>
    </row>
    <row r="27" spans="2:12" ht="18.75" x14ac:dyDescent="0.25">
      <c r="B27" s="9" t="s">
        <v>109</v>
      </c>
      <c r="C27" s="7">
        <f xml:space="preserve"> C15-C25-C11</f>
        <v>124194.93242882448</v>
      </c>
      <c r="D27" s="7">
        <f t="shared" ref="D27:L27" si="18" xml:space="preserve"> D15-D25-D11</f>
        <v>203417.92383863393</v>
      </c>
      <c r="E27" s="7">
        <f t="shared" si="18"/>
        <v>231225.92530572112</v>
      </c>
      <c r="F27" s="7">
        <f t="shared" si="18"/>
        <v>172534.89617386018</v>
      </c>
      <c r="G27" s="7">
        <f t="shared" si="18"/>
        <v>224589.02071271581</v>
      </c>
      <c r="H27" s="27">
        <f t="shared" si="18"/>
        <v>274732.31117733766</v>
      </c>
      <c r="I27" s="27">
        <f t="shared" si="18"/>
        <v>273795.18700495374</v>
      </c>
      <c r="J27" s="27">
        <f t="shared" si="18"/>
        <v>297400.12399246357</v>
      </c>
      <c r="K27" s="27">
        <f t="shared" si="18"/>
        <v>337872.09201754909</v>
      </c>
      <c r="L27" s="27">
        <f t="shared" si="18"/>
        <v>344859.91577170166</v>
      </c>
    </row>
    <row r="28" spans="2:12" x14ac:dyDescent="0.25">
      <c r="B28" s="19" t="s">
        <v>249</v>
      </c>
      <c r="C28" s="21">
        <f>C27/Income_Statement!C5</f>
        <v>0.28833525432073492</v>
      </c>
      <c r="D28" s="21">
        <f>D27/Income_Statement!D5</f>
        <v>0.32535831660082326</v>
      </c>
      <c r="E28" s="21">
        <f>E27/Income_Statement!E5</f>
        <v>0.35034390354156325</v>
      </c>
      <c r="F28" s="21">
        <f>F27/Income_Statement!F5</f>
        <v>0.31996056689969954</v>
      </c>
      <c r="G28" s="21">
        <f>G27/Income_Statement!G5</f>
        <v>0.31122289237025391</v>
      </c>
      <c r="H28" s="29">
        <f>H27/Income_Statement!H5</f>
        <v>0.35953625915853848</v>
      </c>
      <c r="I28" s="29">
        <f>I27/Income_Statement!I5</f>
        <v>0.35953626373057213</v>
      </c>
      <c r="J28" s="29">
        <f>J27/Income_Statement!J5</f>
        <v>0.359536157344786</v>
      </c>
      <c r="K28" s="29">
        <f>K27/Income_Statement!K5</f>
        <v>0.35953600953327147</v>
      </c>
      <c r="L28" s="29">
        <f>L27/Income_Statement!L5</f>
        <v>0.35953598752458582</v>
      </c>
    </row>
    <row r="29" spans="2:12" ht="18.75" x14ac:dyDescent="0.25">
      <c r="B29" s="9" t="s">
        <v>110</v>
      </c>
      <c r="C29" s="7">
        <f xml:space="preserve"> C27+C11</f>
        <v>134143.93242882448</v>
      </c>
      <c r="D29" s="7">
        <f t="shared" ref="D29:L29" si="19" xml:space="preserve"> D27+D11</f>
        <v>211803.92383863393</v>
      </c>
      <c r="E29" s="7">
        <f t="shared" si="19"/>
        <v>244389.92530572112</v>
      </c>
      <c r="F29" s="7">
        <f t="shared" si="19"/>
        <v>188861.89617386018</v>
      </c>
      <c r="G29" s="7">
        <f t="shared" si="19"/>
        <v>239536.02071271581</v>
      </c>
      <c r="H29" s="27">
        <f t="shared" si="19"/>
        <v>290559.5112307333</v>
      </c>
      <c r="I29" s="27">
        <f t="shared" si="19"/>
        <v>289568.39957215474</v>
      </c>
      <c r="J29" s="27">
        <f t="shared" si="19"/>
        <v>314533.2110003127</v>
      </c>
      <c r="K29" s="27">
        <f t="shared" si="19"/>
        <v>357336.75885165087</v>
      </c>
      <c r="L29" s="27">
        <f t="shared" si="19"/>
        <v>364727.14936224313</v>
      </c>
    </row>
    <row r="30" spans="2:12" x14ac:dyDescent="0.25">
      <c r="B30" s="19" t="s">
        <v>250</v>
      </c>
      <c r="C30" s="21">
        <f>C29/Income_Statement!C5</f>
        <v>0.31143319712030126</v>
      </c>
      <c r="D30" s="21">
        <f>D29/Income_Statement!D5</f>
        <v>0.33877136689416376</v>
      </c>
      <c r="E30" s="21">
        <f>E29/Income_Statement!E5</f>
        <v>0.37028944874858694</v>
      </c>
      <c r="F30" s="21">
        <f>F29/Income_Statement!F5</f>
        <v>0.35023847758106841</v>
      </c>
      <c r="G30" s="21">
        <f>G29/Income_Statement!G5</f>
        <v>0.33193560823452861</v>
      </c>
      <c r="H30" s="29">
        <f>H29/Income_Statement!H5</f>
        <v>0.38024897502281313</v>
      </c>
      <c r="I30" s="29">
        <f>I29/Income_Statement!I5</f>
        <v>0.38024897959484677</v>
      </c>
      <c r="J30" s="29">
        <f>J29/Income_Statement!J5</f>
        <v>0.38024887320906064</v>
      </c>
      <c r="K30" s="29">
        <f>K29/Income_Statement!K5</f>
        <v>0.38024872539754617</v>
      </c>
      <c r="L30" s="29">
        <f>L29/Income_Statement!L5</f>
        <v>0.38024870338886047</v>
      </c>
    </row>
    <row r="31" spans="2:12" ht="18.75" x14ac:dyDescent="0.25">
      <c r="B31" s="8" t="s">
        <v>68</v>
      </c>
      <c r="C31" s="5">
        <v>16706</v>
      </c>
      <c r="D31" s="5">
        <v>20934</v>
      </c>
      <c r="E31" s="5">
        <v>22203</v>
      </c>
      <c r="F31" s="5">
        <v>26572</v>
      </c>
      <c r="G31" s="5">
        <v>29797</v>
      </c>
      <c r="H31" s="24">
        <f>Balance_Sheet!H40*H62</f>
        <v>50603.761240194792</v>
      </c>
      <c r="I31" s="24">
        <f>Balance_Sheet!I40*I62</f>
        <v>57407.995767883527</v>
      </c>
      <c r="J31" s="24">
        <f>Balance_Sheet!J40*J62</f>
        <v>65966.046031560196</v>
      </c>
      <c r="K31" s="24">
        <f>Balance_Sheet!K40*K62</f>
        <v>79099.951054991441</v>
      </c>
      <c r="L31" s="24">
        <f>Balance_Sheet!L40*L62</f>
        <v>91593.632358281306</v>
      </c>
    </row>
    <row r="32" spans="2:12" x14ac:dyDescent="0.25">
      <c r="B32" s="17" t="s">
        <v>251</v>
      </c>
      <c r="C32" s="18">
        <f>C31/Income_Statement!C5</f>
        <v>3.878522790326213E-2</v>
      </c>
      <c r="D32" s="18">
        <f>D31/Income_Statement!D5</f>
        <v>3.3483042551966373E-2</v>
      </c>
      <c r="E32" s="18">
        <f>E31/Income_Statement!E5</f>
        <v>3.3641062004827298E-2</v>
      </c>
      <c r="F32" s="18">
        <f>F31/Income_Statement!F5</f>
        <v>4.9276942648700577E-2</v>
      </c>
      <c r="G32" s="18">
        <f>G31/Income_Statement!G5</f>
        <v>4.1291014558626674E-2</v>
      </c>
      <c r="H32" s="25">
        <f>H31/Income_Statement!H5</f>
        <v>6.6224052561140001E-2</v>
      </c>
      <c r="I32" s="25">
        <f>I31/Income_Statement!I5</f>
        <v>7.5385752877649745E-2</v>
      </c>
      <c r="J32" s="25">
        <f>J31/Income_Statement!J5</f>
        <v>7.9748382035030485E-2</v>
      </c>
      <c r="K32" s="25">
        <f>K31/Income_Statement!K5</f>
        <v>8.4171736667471117E-2</v>
      </c>
      <c r="L32" s="25">
        <f>L31/Income_Statement!L5</f>
        <v>9.5491547596094309E-2</v>
      </c>
    </row>
    <row r="33" spans="2:12" ht="18.75" x14ac:dyDescent="0.25">
      <c r="B33" s="9" t="s">
        <v>111</v>
      </c>
      <c r="C33" s="7">
        <f xml:space="preserve"> C29-C31</f>
        <v>117437.93242882448</v>
      </c>
      <c r="D33" s="7">
        <f t="shared" ref="D33:L33" si="20" xml:space="preserve"> D29-D31</f>
        <v>190869.92383863393</v>
      </c>
      <c r="E33" s="7">
        <f t="shared" si="20"/>
        <v>222186.92530572112</v>
      </c>
      <c r="F33" s="7">
        <f t="shared" si="20"/>
        <v>162289.89617386018</v>
      </c>
      <c r="G33" s="7">
        <f t="shared" si="20"/>
        <v>209739.02071271581</v>
      </c>
      <c r="H33" s="27">
        <f t="shared" si="20"/>
        <v>239955.74999053852</v>
      </c>
      <c r="I33" s="27">
        <f t="shared" si="20"/>
        <v>232160.40380427122</v>
      </c>
      <c r="J33" s="27">
        <f t="shared" si="20"/>
        <v>248567.16496875251</v>
      </c>
      <c r="K33" s="27">
        <f t="shared" si="20"/>
        <v>278236.80779665941</v>
      </c>
      <c r="L33" s="27">
        <f t="shared" si="20"/>
        <v>273133.51700396184</v>
      </c>
    </row>
    <row r="34" spans="2:12" x14ac:dyDescent="0.25">
      <c r="B34" s="19" t="s">
        <v>252</v>
      </c>
      <c r="C34" s="21">
        <f>C33/Income_Statement!C5</f>
        <v>0.27264796921703915</v>
      </c>
      <c r="D34" s="21">
        <f>D33/Income_Statement!D5</f>
        <v>0.30528832434219744</v>
      </c>
      <c r="E34" s="21">
        <f>E33/Income_Statement!E5</f>
        <v>0.33664838674375963</v>
      </c>
      <c r="F34" s="21">
        <f>F33/Income_Statement!F5</f>
        <v>0.30096153493236788</v>
      </c>
      <c r="G34" s="21">
        <f>G33/Income_Statement!G5</f>
        <v>0.2906445936759019</v>
      </c>
      <c r="H34" s="29">
        <f>H33/Income_Statement!H5</f>
        <v>0.31402492246167318</v>
      </c>
      <c r="I34" s="29">
        <f>I33/Income_Statement!I5</f>
        <v>0.30486322671719707</v>
      </c>
      <c r="J34" s="29">
        <f>J33/Income_Statement!J5</f>
        <v>0.30050049117403016</v>
      </c>
      <c r="K34" s="29">
        <f>K33/Income_Statement!K5</f>
        <v>0.29607698873007504</v>
      </c>
      <c r="L34" s="29">
        <f>L33/Income_Statement!L5</f>
        <v>0.28475715579276617</v>
      </c>
    </row>
    <row r="35" spans="2:12" ht="18.75" x14ac:dyDescent="0.25">
      <c r="B35" s="8" t="s">
        <v>67</v>
      </c>
      <c r="C35" s="5">
        <v>8052</v>
      </c>
      <c r="D35" s="5">
        <v>16495</v>
      </c>
      <c r="E35" s="5">
        <v>22027</v>
      </c>
      <c r="F35" s="5">
        <v>21189</v>
      </c>
      <c r="G35" s="5">
        <v>14584</v>
      </c>
      <c r="H35" s="24">
        <f>Balance_Sheet!H21*H63</f>
        <v>17732.875818059245</v>
      </c>
      <c r="I35" s="24">
        <f>Balance_Sheet!I21*I63</f>
        <v>20117.256813473061</v>
      </c>
      <c r="J35" s="24">
        <f>Balance_Sheet!J21*J63</f>
        <v>23116.220453807418</v>
      </c>
      <c r="K35" s="24">
        <f>Balance_Sheet!K21*K63</f>
        <v>27718.682313411344</v>
      </c>
      <c r="L35" s="24">
        <f>Balance_Sheet!L21*L63</f>
        <v>32096.793583521394</v>
      </c>
    </row>
    <row r="36" spans="2:12" x14ac:dyDescent="0.25">
      <c r="B36" s="17" t="s">
        <v>253</v>
      </c>
      <c r="C36" s="18">
        <f>C35/Income_Statement!C5</f>
        <v>1.8693801932064328E-2</v>
      </c>
      <c r="D36" s="18">
        <f>D35/Income_Statement!D5</f>
        <v>2.6383050869145185E-2</v>
      </c>
      <c r="E36" s="18">
        <f>E35/Income_Statement!E5</f>
        <v>3.3374394126033907E-2</v>
      </c>
      <c r="F36" s="18">
        <f>F35/Income_Statement!F5</f>
        <v>3.9294337565230937E-2</v>
      </c>
      <c r="G36" s="18">
        <f>G35/Income_Statement!G5</f>
        <v>2.0209690785079417E-2</v>
      </c>
      <c r="H36" s="25">
        <f>H35/Income_Statement!H5</f>
        <v>2.3206632697937442E-2</v>
      </c>
      <c r="I36" s="25">
        <f>I35/Income_Statement!I5</f>
        <v>2.6417131105718215E-2</v>
      </c>
      <c r="J36" s="25">
        <f>J35/Income_Statement!J5</f>
        <v>2.7945909916659874E-2</v>
      </c>
      <c r="K36" s="25">
        <f>K35/Income_Statement!K5</f>
        <v>2.9495968042151162E-2</v>
      </c>
      <c r="L36" s="25">
        <f>L35/Income_Statement!L5</f>
        <v>3.3462724572094482E-2</v>
      </c>
    </row>
    <row r="37" spans="2:12" ht="18.75" x14ac:dyDescent="0.25">
      <c r="B37" s="9" t="s">
        <v>112</v>
      </c>
      <c r="C37" s="7">
        <f xml:space="preserve"> C33-C35</f>
        <v>109385.93242882448</v>
      </c>
      <c r="D37" s="7">
        <f t="shared" ref="D37:L37" si="21" xml:space="preserve"> D33-D35</f>
        <v>174374.92383863393</v>
      </c>
      <c r="E37" s="7">
        <f t="shared" si="21"/>
        <v>200159.92530572112</v>
      </c>
      <c r="F37" s="7">
        <f t="shared" si="21"/>
        <v>141100.89617386018</v>
      </c>
      <c r="G37" s="7">
        <f t="shared" si="21"/>
        <v>195155.02071271581</v>
      </c>
      <c r="H37" s="27">
        <f t="shared" si="21"/>
        <v>222222.87417247926</v>
      </c>
      <c r="I37" s="27">
        <f t="shared" si="21"/>
        <v>212043.14699079815</v>
      </c>
      <c r="J37" s="27">
        <f t="shared" si="21"/>
        <v>225450.94451494509</v>
      </c>
      <c r="K37" s="27">
        <f t="shared" si="21"/>
        <v>250518.12548324806</v>
      </c>
      <c r="L37" s="27">
        <f t="shared" si="21"/>
        <v>241036.72342044045</v>
      </c>
    </row>
    <row r="38" spans="2:12" x14ac:dyDescent="0.25">
      <c r="B38" s="19" t="s">
        <v>254</v>
      </c>
      <c r="C38" s="21">
        <f>C37/Income_Statement!C5</f>
        <v>0.25395416728497483</v>
      </c>
      <c r="D38" s="21">
        <f>D37/Income_Statement!D5</f>
        <v>0.27890527347305222</v>
      </c>
      <c r="E38" s="21">
        <f>E37/Income_Statement!E5</f>
        <v>0.3032739926177257</v>
      </c>
      <c r="F38" s="21">
        <f>F37/Income_Statement!F5</f>
        <v>0.26166719736713689</v>
      </c>
      <c r="G38" s="21">
        <f>G37/Income_Statement!G5</f>
        <v>0.2704349028908225</v>
      </c>
      <c r="H38" s="29">
        <f>H37/Income_Statement!H5</f>
        <v>0.29081828976373569</v>
      </c>
      <c r="I38" s="29">
        <f>I37/Income_Statement!I5</f>
        <v>0.27844609561147882</v>
      </c>
      <c r="J38" s="29">
        <f>J37/Income_Statement!J5</f>
        <v>0.27255458125737031</v>
      </c>
      <c r="K38" s="29">
        <f>K37/Income_Statement!K5</f>
        <v>0.26658102068792389</v>
      </c>
      <c r="L38" s="29">
        <f>L37/Income_Statement!L5</f>
        <v>0.25129443122067169</v>
      </c>
    </row>
    <row r="39" spans="2:12" ht="18.75" x14ac:dyDescent="0.25">
      <c r="B39" s="8" t="s">
        <v>113</v>
      </c>
      <c r="C39" s="4"/>
      <c r="D39" s="4"/>
      <c r="E39" s="4"/>
      <c r="F39" s="4"/>
      <c r="G39" s="4"/>
      <c r="H39" s="26">
        <f>H5*H40</f>
        <v>0</v>
      </c>
      <c r="I39" s="26">
        <f t="shared" ref="I39:L39" si="22">I5*I40</f>
        <v>0</v>
      </c>
      <c r="J39" s="26">
        <f t="shared" si="22"/>
        <v>0</v>
      </c>
      <c r="K39" s="26">
        <f t="shared" si="22"/>
        <v>0</v>
      </c>
      <c r="L39" s="26">
        <f t="shared" si="22"/>
        <v>0</v>
      </c>
    </row>
    <row r="40" spans="2:12" x14ac:dyDescent="0.25">
      <c r="B40" s="17" t="s">
        <v>255</v>
      </c>
      <c r="C40" s="18">
        <f>C39/Income_Statement!C5</f>
        <v>0</v>
      </c>
      <c r="D40" s="18">
        <f>D39/Income_Statement!D5</f>
        <v>0</v>
      </c>
      <c r="E40" s="18">
        <f>E39/Income_Statement!E5</f>
        <v>0</v>
      </c>
      <c r="F40" s="18">
        <f>F39/Income_Statement!F5</f>
        <v>0</v>
      </c>
      <c r="G40" s="18">
        <f>G39/Income_Statement!G5</f>
        <v>0</v>
      </c>
      <c r="H40" s="25">
        <f>G40</f>
        <v>0</v>
      </c>
      <c r="I40" s="25">
        <f t="shared" ref="I40:L40" si="23">H40</f>
        <v>0</v>
      </c>
      <c r="J40" s="25">
        <f t="shared" si="23"/>
        <v>0</v>
      </c>
      <c r="K40" s="25">
        <f t="shared" si="23"/>
        <v>0</v>
      </c>
      <c r="L40" s="25">
        <f t="shared" si="23"/>
        <v>0</v>
      </c>
    </row>
    <row r="41" spans="2:12" ht="18.75" x14ac:dyDescent="0.25">
      <c r="B41" s="9" t="s">
        <v>114</v>
      </c>
      <c r="C41" s="7">
        <f xml:space="preserve"> C37+C39</f>
        <v>109385.93242882448</v>
      </c>
      <c r="D41" s="7">
        <f t="shared" ref="D41:L41" si="24" xml:space="preserve"> D37+D39</f>
        <v>174374.92383863393</v>
      </c>
      <c r="E41" s="7">
        <f t="shared" si="24"/>
        <v>200159.92530572112</v>
      </c>
      <c r="F41" s="7">
        <f t="shared" si="24"/>
        <v>141100.89617386018</v>
      </c>
      <c r="G41" s="7">
        <f t="shared" si="24"/>
        <v>195155.02071271581</v>
      </c>
      <c r="H41" s="27">
        <f t="shared" si="24"/>
        <v>222222.87417247926</v>
      </c>
      <c r="I41" s="27">
        <f t="shared" si="24"/>
        <v>212043.14699079815</v>
      </c>
      <c r="J41" s="27">
        <f t="shared" si="24"/>
        <v>225450.94451494509</v>
      </c>
      <c r="K41" s="27">
        <f t="shared" si="24"/>
        <v>250518.12548324806</v>
      </c>
      <c r="L41" s="27">
        <f t="shared" si="24"/>
        <v>241036.72342044045</v>
      </c>
    </row>
    <row r="42" spans="2:12" x14ac:dyDescent="0.25">
      <c r="B42" s="19" t="s">
        <v>256</v>
      </c>
      <c r="C42" s="21">
        <f>C41/Income_Statement!C5</f>
        <v>0.25395416728497483</v>
      </c>
      <c r="D42" s="21">
        <f>D41/Income_Statement!D5</f>
        <v>0.27890527347305222</v>
      </c>
      <c r="E42" s="21">
        <f>E41/Income_Statement!E5</f>
        <v>0.3032739926177257</v>
      </c>
      <c r="F42" s="21">
        <f>F41/Income_Statement!F5</f>
        <v>0.26166719736713689</v>
      </c>
      <c r="G42" s="21">
        <f>G41/Income_Statement!G5</f>
        <v>0.2704349028908225</v>
      </c>
      <c r="H42" s="29">
        <f>H41/Income_Statement!H5</f>
        <v>0.29081828976373569</v>
      </c>
      <c r="I42" s="29">
        <f>I41/Income_Statement!I5</f>
        <v>0.27844609561147882</v>
      </c>
      <c r="J42" s="29">
        <f>J41/Income_Statement!J5</f>
        <v>0.27255458125737031</v>
      </c>
      <c r="K42" s="29">
        <f>K41/Income_Statement!K5</f>
        <v>0.26658102068792389</v>
      </c>
      <c r="L42" s="29">
        <f>L41/Income_Statement!L5</f>
        <v>0.25129443122067169</v>
      </c>
    </row>
    <row r="43" spans="2:12" ht="18.75" x14ac:dyDescent="0.25">
      <c r="B43" s="8" t="s">
        <v>72</v>
      </c>
      <c r="C43" s="5">
        <v>0</v>
      </c>
      <c r="D43" s="5">
        <v>0</v>
      </c>
      <c r="E43" s="5">
        <v>-4444</v>
      </c>
      <c r="F43" s="4">
        <v>5642</v>
      </c>
      <c r="G43" s="4">
        <v>2836</v>
      </c>
      <c r="H43" s="26">
        <f>H5*H44</f>
        <v>3003.0065800113775</v>
      </c>
      <c r="I43" s="26">
        <f t="shared" ref="I43:L43" si="25">I5*I44</f>
        <v>2992.7631525110119</v>
      </c>
      <c r="J43" s="26">
        <f t="shared" si="25"/>
        <v>3250.7817457857886</v>
      </c>
      <c r="K43" s="26">
        <f t="shared" si="25"/>
        <v>3693.1688727846799</v>
      </c>
      <c r="L43" s="26">
        <f t="shared" si="25"/>
        <v>3769.5507100271407</v>
      </c>
    </row>
    <row r="44" spans="2:12" x14ac:dyDescent="0.25">
      <c r="B44" s="17" t="s">
        <v>257</v>
      </c>
      <c r="C44" s="18">
        <f>C43/Income_Statement!C5</f>
        <v>0</v>
      </c>
      <c r="D44" s="18">
        <f>D43/Income_Statement!D5</f>
        <v>0</v>
      </c>
      <c r="E44" s="18">
        <f>E43/Income_Statement!E5</f>
        <v>-6.7333639395330581E-3</v>
      </c>
      <c r="F44" s="18">
        <f>F43/Income_Statement!F5</f>
        <v>1.0462912480203547E-2</v>
      </c>
      <c r="G44" s="18">
        <f>G43/Income_Statement!G5</f>
        <v>3.9299700402142916E-3</v>
      </c>
      <c r="H44" s="25">
        <f>G44</f>
        <v>3.9299700402142916E-3</v>
      </c>
      <c r="I44" s="25">
        <f t="shared" ref="I44:L44" si="26">H44</f>
        <v>3.9299700402142916E-3</v>
      </c>
      <c r="J44" s="25">
        <f t="shared" si="26"/>
        <v>3.9299700402142916E-3</v>
      </c>
      <c r="K44" s="25">
        <f t="shared" si="26"/>
        <v>3.9299700402142916E-3</v>
      </c>
      <c r="L44" s="25">
        <f t="shared" si="26"/>
        <v>3.9299700402142916E-3</v>
      </c>
    </row>
    <row r="45" spans="2:12" ht="18.75" x14ac:dyDescent="0.25">
      <c r="B45" s="9" t="s">
        <v>115</v>
      </c>
      <c r="C45" s="7">
        <f xml:space="preserve"> C41+C43</f>
        <v>109385.93242882448</v>
      </c>
      <c r="D45" s="7">
        <f t="shared" ref="D45:L45" si="27" xml:space="preserve"> D41+D43</f>
        <v>174374.92383863393</v>
      </c>
      <c r="E45" s="7">
        <f t="shared" si="27"/>
        <v>195715.92530572112</v>
      </c>
      <c r="F45" s="7">
        <f t="shared" si="27"/>
        <v>146742.89617386018</v>
      </c>
      <c r="G45" s="7">
        <f t="shared" si="27"/>
        <v>197991.02071271581</v>
      </c>
      <c r="H45" s="27">
        <f t="shared" si="27"/>
        <v>225225.88075249063</v>
      </c>
      <c r="I45" s="27">
        <f t="shared" si="27"/>
        <v>215035.91014330916</v>
      </c>
      <c r="J45" s="27">
        <f t="shared" si="27"/>
        <v>228701.72626073088</v>
      </c>
      <c r="K45" s="27">
        <f t="shared" si="27"/>
        <v>254211.29435603274</v>
      </c>
      <c r="L45" s="27">
        <f t="shared" si="27"/>
        <v>244806.27413046759</v>
      </c>
    </row>
    <row r="46" spans="2:12" x14ac:dyDescent="0.25">
      <c r="B46" s="19" t="s">
        <v>258</v>
      </c>
      <c r="C46" s="21">
        <f>C45/Income_Statement!C5</f>
        <v>0.25395416728497483</v>
      </c>
      <c r="D46" s="21">
        <f>D45/Income_Statement!D5</f>
        <v>0.27890527347305222</v>
      </c>
      <c r="E46" s="21">
        <f>E45/Income_Statement!E5</f>
        <v>0.29654062867819264</v>
      </c>
      <c r="F46" s="21">
        <f>F45/Income_Statement!F5</f>
        <v>0.27213010984734048</v>
      </c>
      <c r="G46" s="21">
        <f>G45/Income_Statement!G5</f>
        <v>0.27436487293103679</v>
      </c>
      <c r="H46" s="29">
        <f>H45/Income_Statement!H5</f>
        <v>0.29474825980394997</v>
      </c>
      <c r="I46" s="29">
        <f>I45/Income_Statement!I5</f>
        <v>0.2823760656516931</v>
      </c>
      <c r="J46" s="29">
        <f>J45/Income_Statement!J5</f>
        <v>0.27648455129758459</v>
      </c>
      <c r="K46" s="29">
        <f>K45/Income_Statement!K5</f>
        <v>0.27051099072813817</v>
      </c>
      <c r="L46" s="29">
        <f>L45/Income_Statement!L5</f>
        <v>0.25522440126088597</v>
      </c>
    </row>
    <row r="47" spans="2:12" ht="18.75" x14ac:dyDescent="0.25">
      <c r="B47" s="8" t="s">
        <v>79</v>
      </c>
      <c r="C47" s="5">
        <v>13346</v>
      </c>
      <c r="D47" s="5">
        <v>15390</v>
      </c>
      <c r="E47" s="5">
        <v>13726</v>
      </c>
      <c r="F47" s="5">
        <v>1722</v>
      </c>
      <c r="G47" s="5">
        <v>16297</v>
      </c>
      <c r="H47" s="24">
        <f>H45*H64</f>
        <v>18538.750724201931</v>
      </c>
      <c r="I47" s="24">
        <f t="shared" ref="I47:L47" si="28">I45*I64</f>
        <v>17699.995762385799</v>
      </c>
      <c r="J47" s="24">
        <f t="shared" si="28"/>
        <v>18824.85387192995</v>
      </c>
      <c r="K47" s="24">
        <f t="shared" si="28"/>
        <v>20924.592687117714</v>
      </c>
      <c r="L47" s="24">
        <f t="shared" si="28"/>
        <v>20150.448414997241</v>
      </c>
    </row>
    <row r="48" spans="2:12" x14ac:dyDescent="0.25">
      <c r="B48" s="17" t="s">
        <v>259</v>
      </c>
      <c r="C48" s="18">
        <f>C47/Income_Statement!C5</f>
        <v>3.098453559181949E-2</v>
      </c>
      <c r="D48" s="18">
        <f>D47/Income_Statement!D5</f>
        <v>2.4615650371394023E-2</v>
      </c>
      <c r="E48" s="18">
        <f>E47/Income_Statement!E5</f>
        <v>2.0797064229079829E-2</v>
      </c>
      <c r="F48" s="18">
        <f>F47/Income_Statement!F5</f>
        <v>3.193395124230859E-3</v>
      </c>
      <c r="G48" s="18">
        <f>G47/Income_Statement!G5</f>
        <v>2.2583470291033959E-2</v>
      </c>
      <c r="H48" s="25">
        <f>H47/Income_Statement!H5</f>
        <v>2.4261263832741436E-2</v>
      </c>
      <c r="I48" s="25">
        <f>I47/Income_Statement!I5</f>
        <v>2.3242886093319128E-2</v>
      </c>
      <c r="J48" s="25">
        <f>J47/Income_Statement!J5</f>
        <v>2.2757944861725492E-2</v>
      </c>
      <c r="K48" s="25">
        <f>K47/Income_Statement!K5</f>
        <v>2.2266250257344796E-2</v>
      </c>
      <c r="L48" s="25">
        <f>L47/Income_Statement!L5</f>
        <v>2.1007983353870982E-2</v>
      </c>
    </row>
    <row r="49" spans="2:12" ht="18.75" x14ac:dyDescent="0.25">
      <c r="B49" s="9" t="s">
        <v>116</v>
      </c>
      <c r="C49" s="7">
        <f xml:space="preserve"> C45-C47</f>
        <v>96039.932428824482</v>
      </c>
      <c r="D49" s="7">
        <f t="shared" ref="D49:L49" si="29" xml:space="preserve"> D45-D47</f>
        <v>158984.92383863393</v>
      </c>
      <c r="E49" s="7">
        <f t="shared" si="29"/>
        <v>181989.92530572112</v>
      </c>
      <c r="F49" s="7">
        <f t="shared" si="29"/>
        <v>145020.89617386018</v>
      </c>
      <c r="G49" s="7">
        <f t="shared" si="29"/>
        <v>181694.02071271581</v>
      </c>
      <c r="H49" s="27">
        <f t="shared" si="29"/>
        <v>206687.1300282887</v>
      </c>
      <c r="I49" s="27">
        <f t="shared" si="29"/>
        <v>197335.91438092335</v>
      </c>
      <c r="J49" s="27">
        <f t="shared" si="29"/>
        <v>209876.87238880093</v>
      </c>
      <c r="K49" s="27">
        <f t="shared" si="29"/>
        <v>233286.70166891502</v>
      </c>
      <c r="L49" s="27">
        <f t="shared" si="29"/>
        <v>224655.82571547036</v>
      </c>
    </row>
    <row r="50" spans="2:12" x14ac:dyDescent="0.25">
      <c r="B50" s="19" t="s">
        <v>260</v>
      </c>
      <c r="C50" s="21">
        <f>C49/Income_Statement!C5</f>
        <v>0.22296963169315531</v>
      </c>
      <c r="D50" s="21">
        <f>D49/Income_Statement!D5</f>
        <v>0.2542896231016582</v>
      </c>
      <c r="E50" s="21">
        <f>E49/Income_Statement!E5</f>
        <v>0.2757435644491128</v>
      </c>
      <c r="F50" s="21">
        <f>F49/Income_Statement!F5</f>
        <v>0.26893671472310959</v>
      </c>
      <c r="G50" s="21">
        <f>G49/Income_Statement!G5</f>
        <v>0.25178140264000282</v>
      </c>
      <c r="H50" s="29">
        <f>H49/Income_Statement!H5</f>
        <v>0.27048699597120857</v>
      </c>
      <c r="I50" s="29">
        <f>I49/Income_Statement!I5</f>
        <v>0.25913317955837395</v>
      </c>
      <c r="J50" s="29">
        <f>J49/Income_Statement!J5</f>
        <v>0.25372660643585909</v>
      </c>
      <c r="K50" s="29">
        <f>K49/Income_Statement!K5</f>
        <v>0.24824474047079337</v>
      </c>
      <c r="L50" s="29">
        <f>L49/Income_Statement!L5</f>
        <v>0.234216417907015</v>
      </c>
    </row>
    <row r="51" spans="2:12" ht="18.75" x14ac:dyDescent="0.25">
      <c r="B51" s="8" t="s">
        <v>88</v>
      </c>
      <c r="C51" s="4">
        <v>3255</v>
      </c>
      <c r="D51" s="5">
        <v>3554</v>
      </c>
      <c r="E51" s="5">
        <v>3852</v>
      </c>
      <c r="F51" s="5">
        <v>3921</v>
      </c>
      <c r="G51" s="5">
        <v>0</v>
      </c>
      <c r="H51" s="24">
        <f>H5*H52</f>
        <v>0</v>
      </c>
      <c r="I51" s="24">
        <f t="shared" ref="I51:L51" si="30">I5*I52</f>
        <v>0</v>
      </c>
      <c r="J51" s="24">
        <f t="shared" si="30"/>
        <v>0</v>
      </c>
      <c r="K51" s="24">
        <f t="shared" si="30"/>
        <v>0</v>
      </c>
      <c r="L51" s="24">
        <f t="shared" si="30"/>
        <v>0</v>
      </c>
    </row>
    <row r="52" spans="2:12" x14ac:dyDescent="0.25">
      <c r="B52" s="17" t="s">
        <v>261</v>
      </c>
      <c r="C52" s="18">
        <f>C51/Income_Statement!C5</f>
        <v>7.5569206767100577E-3</v>
      </c>
      <c r="D52" s="18">
        <f>D51/Income_Statement!D5</f>
        <v>5.6844718271562289E-3</v>
      </c>
      <c r="E52" s="18">
        <f>E51/Income_Statement!E5</f>
        <v>5.8363901654098424E-3</v>
      </c>
      <c r="F52" s="18">
        <f>F51/Income_Statement!F5</f>
        <v>7.2713718246859458E-3</v>
      </c>
      <c r="G52" s="18">
        <f>G51/Income_Statement!G5</f>
        <v>0</v>
      </c>
      <c r="H52" s="25">
        <f>G52</f>
        <v>0</v>
      </c>
      <c r="I52" s="25">
        <f t="shared" ref="I52:L52" si="31">H52</f>
        <v>0</v>
      </c>
      <c r="J52" s="25">
        <f t="shared" si="31"/>
        <v>0</v>
      </c>
      <c r="K52" s="25">
        <f t="shared" si="31"/>
        <v>0</v>
      </c>
      <c r="L52" s="25">
        <f t="shared" si="31"/>
        <v>0</v>
      </c>
    </row>
    <row r="53" spans="2:12" ht="18.75" x14ac:dyDescent="0.25">
      <c r="B53" s="8" t="s">
        <v>89</v>
      </c>
      <c r="C53" s="4">
        <v>661</v>
      </c>
      <c r="D53" s="4">
        <v>728</v>
      </c>
      <c r="E53" s="4">
        <v>732</v>
      </c>
      <c r="F53" s="4">
        <v>0</v>
      </c>
      <c r="G53" s="4">
        <v>0</v>
      </c>
      <c r="H53" s="26">
        <f>H5*H54</f>
        <v>0</v>
      </c>
      <c r="I53" s="26">
        <f t="shared" ref="I53:L53" si="32">I5*I54</f>
        <v>0</v>
      </c>
      <c r="J53" s="26">
        <f t="shared" si="32"/>
        <v>0</v>
      </c>
      <c r="K53" s="26">
        <f t="shared" si="32"/>
        <v>0</v>
      </c>
      <c r="L53" s="26">
        <f t="shared" si="32"/>
        <v>0</v>
      </c>
    </row>
    <row r="54" spans="2:12" x14ac:dyDescent="0.25">
      <c r="B54" s="17" t="s">
        <v>262</v>
      </c>
      <c r="C54" s="18">
        <f>C53/Income_Statement!C5</f>
        <v>1.5346004815070195E-3</v>
      </c>
      <c r="D54" s="18">
        <f>D53/Income_Statement!D5</f>
        <v>1.1644050338125308E-3</v>
      </c>
      <c r="E54" s="18">
        <f>E53/Income_Statement!E5</f>
        <v>1.1090959504361383E-3</v>
      </c>
      <c r="F54" s="18">
        <f>F53/Income_Statement!F5</f>
        <v>0</v>
      </c>
      <c r="G54" s="18">
        <f>G53/Income_Statement!G5</f>
        <v>0</v>
      </c>
      <c r="H54" s="25">
        <f>G54</f>
        <v>0</v>
      </c>
      <c r="I54" s="25">
        <f t="shared" ref="I54:L54" si="33">H54</f>
        <v>0</v>
      </c>
      <c r="J54" s="25">
        <f t="shared" si="33"/>
        <v>0</v>
      </c>
      <c r="K54" s="25">
        <f t="shared" si="33"/>
        <v>0</v>
      </c>
      <c r="L54" s="25">
        <f t="shared" si="33"/>
        <v>0</v>
      </c>
    </row>
    <row r="55" spans="2:12" ht="18.75" x14ac:dyDescent="0.25">
      <c r="B55" s="9" t="s">
        <v>117</v>
      </c>
      <c r="C55" s="7">
        <f xml:space="preserve"> C49-C51-C53</f>
        <v>92123.932428824482</v>
      </c>
      <c r="D55" s="7">
        <f t="shared" ref="D55:L55" si="34" xml:space="preserve"> D49-D51-D53</f>
        <v>154702.92383863393</v>
      </c>
      <c r="E55" s="7">
        <f t="shared" si="34"/>
        <v>177405.92530572112</v>
      </c>
      <c r="F55" s="7">
        <f t="shared" si="34"/>
        <v>141099.89617386018</v>
      </c>
      <c r="G55" s="7">
        <f t="shared" si="34"/>
        <v>181694.02071271581</v>
      </c>
      <c r="H55" s="27">
        <f t="shared" si="34"/>
        <v>206687.1300282887</v>
      </c>
      <c r="I55" s="27">
        <f t="shared" si="34"/>
        <v>197335.91438092335</v>
      </c>
      <c r="J55" s="27">
        <f t="shared" si="34"/>
        <v>209876.87238880093</v>
      </c>
      <c r="K55" s="27">
        <f t="shared" si="34"/>
        <v>233286.70166891502</v>
      </c>
      <c r="L55" s="27">
        <f t="shared" si="34"/>
        <v>224655.82571547036</v>
      </c>
    </row>
    <row r="56" spans="2:12" x14ac:dyDescent="0.25">
      <c r="B56" s="19" t="s">
        <v>263</v>
      </c>
      <c r="C56" s="21">
        <f>C55/Income_Statement!C5</f>
        <v>0.21387811053493824</v>
      </c>
      <c r="D56" s="21">
        <f>D55/Income_Statement!D5</f>
        <v>0.24744074624068943</v>
      </c>
      <c r="E56" s="21">
        <f>E55/Income_Statement!E5</f>
        <v>0.26879807833326685</v>
      </c>
      <c r="F56" s="21">
        <f>F55/Income_Statement!F5</f>
        <v>0.26166534289842364</v>
      </c>
      <c r="G56" s="21">
        <f>G55/Income_Statement!G5</f>
        <v>0.25178140264000282</v>
      </c>
      <c r="H56" s="29">
        <f>H55/Income_Statement!H5</f>
        <v>0.27048699597120857</v>
      </c>
      <c r="I56" s="29">
        <f>I55/Income_Statement!I5</f>
        <v>0.25913317955837395</v>
      </c>
      <c r="J56" s="29">
        <f>J55/Income_Statement!J5</f>
        <v>0.25372660643585909</v>
      </c>
      <c r="K56" s="29">
        <f>K55/Income_Statement!K5</f>
        <v>0.24824474047079337</v>
      </c>
      <c r="L56" s="29">
        <f>L55/Income_Statement!L5</f>
        <v>0.234216417907015</v>
      </c>
    </row>
    <row r="57" spans="2:12" ht="18.75" x14ac:dyDescent="0.25">
      <c r="B57" s="8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2:12" ht="18.75" x14ac:dyDescent="0.25">
      <c r="B58" s="8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2:12" ht="18.75" x14ac:dyDescent="0.25">
      <c r="B59" s="8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2:12" ht="18.75" x14ac:dyDescent="0.25">
      <c r="B60" s="8" t="s">
        <v>85</v>
      </c>
      <c r="C60" s="4">
        <v>61</v>
      </c>
      <c r="D60" s="4">
        <v>67</v>
      </c>
      <c r="E60" s="4">
        <v>63</v>
      </c>
      <c r="F60" s="4">
        <v>76</v>
      </c>
      <c r="G60" s="4">
        <v>92</v>
      </c>
      <c r="H60" s="4"/>
      <c r="I60" s="4"/>
      <c r="J60" s="4"/>
      <c r="K60" s="4"/>
      <c r="L60" s="4"/>
    </row>
    <row r="61" spans="2:12" ht="18.75" x14ac:dyDescent="0.25">
      <c r="B61" s="8" t="s">
        <v>118</v>
      </c>
      <c r="C61" s="4">
        <f>C49/C60</f>
        <v>1574.4251217840078</v>
      </c>
      <c r="D61" s="4">
        <f t="shared" ref="D61:G61" si="35">D49/D60</f>
        <v>2372.9093110243871</v>
      </c>
      <c r="E61" s="4">
        <f t="shared" si="35"/>
        <v>2888.7289731066844</v>
      </c>
      <c r="F61" s="4">
        <f t="shared" si="35"/>
        <v>1908.1696864981602</v>
      </c>
      <c r="G61" s="4">
        <f t="shared" si="35"/>
        <v>1974.935007746911</v>
      </c>
      <c r="H61" s="4"/>
      <c r="I61" s="4"/>
      <c r="J61" s="4"/>
      <c r="K61" s="4"/>
      <c r="L61" s="4"/>
    </row>
    <row r="62" spans="2:12" x14ac:dyDescent="0.25">
      <c r="B62" t="s">
        <v>266</v>
      </c>
      <c r="C62" s="23">
        <f>C31/Balance_Sheet!C40</f>
        <v>5.2861902788017633E-2</v>
      </c>
      <c r="D62" s="23">
        <f>D31/Balance_Sheet!D40</f>
        <v>6.9291494960528277E-2</v>
      </c>
      <c r="E62" s="23">
        <f>E31/Balance_Sheet!E40</f>
        <v>5.0933657551844376E-2</v>
      </c>
      <c r="F62" s="23">
        <f>F31/Balance_Sheet!F40</f>
        <v>5.890933920978305E-2</v>
      </c>
      <c r="G62" s="23">
        <f>G31/Balance_Sheet!G40</f>
        <v>3.7847312633764979E-2</v>
      </c>
      <c r="H62" s="23">
        <f>MEDIAN(C62:G62)</f>
        <v>5.2861902788017633E-2</v>
      </c>
      <c r="I62" s="23">
        <f t="shared" ref="I62:L62" si="36">H62</f>
        <v>5.2861902788017633E-2</v>
      </c>
      <c r="J62" s="23">
        <f t="shared" si="36"/>
        <v>5.2861902788017633E-2</v>
      </c>
      <c r="K62" s="23">
        <f t="shared" si="36"/>
        <v>5.2861902788017633E-2</v>
      </c>
      <c r="L62" s="23">
        <f t="shared" si="36"/>
        <v>5.2861902788017633E-2</v>
      </c>
    </row>
    <row r="63" spans="2:12" x14ac:dyDescent="0.25">
      <c r="B63" t="s">
        <v>267</v>
      </c>
      <c r="C63" s="23">
        <f>C35/Balance_Sheet!C21</f>
        <v>3.8121029059472969E-2</v>
      </c>
      <c r="D63" s="23">
        <f>D35/Balance_Sheet!D21</f>
        <v>5.1248194118652231E-2</v>
      </c>
      <c r="E63" s="23">
        <f>E35/Balance_Sheet!E21</f>
        <v>6.374659952538056E-2</v>
      </c>
      <c r="F63" s="23">
        <f>F35/Balance_Sheet!F21</f>
        <v>8.1257070542442425E-2</v>
      </c>
      <c r="G63" s="23">
        <f>G35/Balance_Sheet!G21</f>
        <v>4.6159348502448183E-2</v>
      </c>
      <c r="H63" s="23">
        <f>G63</f>
        <v>4.6159348502448183E-2</v>
      </c>
      <c r="I63" s="23">
        <f t="shared" ref="I63:L63" si="37">H63</f>
        <v>4.6159348502448183E-2</v>
      </c>
      <c r="J63" s="23">
        <f t="shared" si="37"/>
        <v>4.6159348502448183E-2</v>
      </c>
      <c r="K63" s="23">
        <f t="shared" si="37"/>
        <v>4.6159348502448183E-2</v>
      </c>
      <c r="L63" s="23">
        <f t="shared" si="37"/>
        <v>4.6159348502448183E-2</v>
      </c>
    </row>
    <row r="64" spans="2:12" x14ac:dyDescent="0.25">
      <c r="B64" t="s">
        <v>268</v>
      </c>
      <c r="C64" s="23">
        <f>C47/Income_Statement!C45</f>
        <v>0.12200837624786907</v>
      </c>
      <c r="D64" s="23">
        <f>D47/Income_Statement!D45</f>
        <v>8.8258103064416893E-2</v>
      </c>
      <c r="E64" s="23">
        <f>E47/Income_Statement!E45</f>
        <v>7.0132259184116405E-2</v>
      </c>
      <c r="F64" s="23">
        <f>F47/Income_Statement!F45</f>
        <v>1.1734809962860375E-2</v>
      </c>
      <c r="G64" s="23">
        <f>G47/Income_Statement!G45</f>
        <v>8.2311813643543369E-2</v>
      </c>
      <c r="H64" s="23">
        <f>G64</f>
        <v>8.2311813643543369E-2</v>
      </c>
      <c r="I64" s="23">
        <f t="shared" ref="I64:L64" si="38">H64</f>
        <v>8.2311813643543369E-2</v>
      </c>
      <c r="J64" s="23">
        <f t="shared" si="38"/>
        <v>8.2311813643543369E-2</v>
      </c>
      <c r="K64" s="23">
        <f t="shared" si="38"/>
        <v>8.2311813643543369E-2</v>
      </c>
      <c r="L64" s="23">
        <f t="shared" si="38"/>
        <v>8.2311813643543369E-2</v>
      </c>
    </row>
    <row r="65" spans="2:12" x14ac:dyDescent="0.25">
      <c r="B65" t="s">
        <v>269</v>
      </c>
      <c r="C65" s="23">
        <f>C53/Income_Statement!C51</f>
        <v>0.20307219662058371</v>
      </c>
      <c r="D65" s="23">
        <f>D53/Income_Statement!D51</f>
        <v>0.20483961733258302</v>
      </c>
      <c r="E65" s="23">
        <f>E53/Income_Statement!E51</f>
        <v>0.19003115264797507</v>
      </c>
      <c r="F65" s="23">
        <f>F53/Income_Statement!F51</f>
        <v>0</v>
      </c>
      <c r="G65" s="23" t="e">
        <f>G53/Income_Statement!G51</f>
        <v>#DIV/0!</v>
      </c>
      <c r="H65" s="23" t="e">
        <f>G65</f>
        <v>#DIV/0!</v>
      </c>
      <c r="I65" s="23" t="e">
        <f t="shared" ref="I65:L65" si="39">H65</f>
        <v>#DIV/0!</v>
      </c>
      <c r="J65" s="23" t="e">
        <f t="shared" si="39"/>
        <v>#DIV/0!</v>
      </c>
      <c r="K65" s="23" t="e">
        <f t="shared" si="39"/>
        <v>#DIV/0!</v>
      </c>
      <c r="L65" s="23" t="e">
        <f t="shared" si="39"/>
        <v>#DIV/0!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D4C4F6D1-3FA9-45CB-AA3D-0ECC9F094103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011BA-B7C4-406F-935D-430A8A647DEF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</f>
        <v>Gross Sales</v>
      </c>
      <c r="C5" s="13">
        <f>Income_Statement!C5</f>
        <v>430731</v>
      </c>
      <c r="D5" s="13">
        <f>Income_Statement!D5</f>
        <v>625212</v>
      </c>
      <c r="E5" s="13">
        <f>Income_Statement!E5</f>
        <v>659997</v>
      </c>
      <c r="F5" s="13">
        <f>Income_Statement!F5</f>
        <v>539238</v>
      </c>
      <c r="G5" s="13">
        <f>Income_Statement!G5</f>
        <v>721634</v>
      </c>
    </row>
    <row r="6" spans="2:15" ht="18.75" x14ac:dyDescent="0.25">
      <c r="B6" s="12" t="str">
        <f>Income_Statement!B15</f>
        <v>Total Income</v>
      </c>
      <c r="C6" s="13">
        <f>Income_Statement!C15</f>
        <v>401626.93242882448</v>
      </c>
      <c r="D6" s="13">
        <f>Income_Statement!D15</f>
        <v>577595.92383863393</v>
      </c>
      <c r="E6" s="13">
        <f>Income_Statement!E15</f>
        <v>610699.92530572112</v>
      </c>
      <c r="F6" s="13">
        <f>Income_Statement!F15</f>
        <v>483251.89617386018</v>
      </c>
      <c r="G6" s="13">
        <f>Income_Statement!G15</f>
        <v>736582.02071271581</v>
      </c>
    </row>
  </sheetData>
  <hyperlinks>
    <hyperlink ref="F1" location="Index_Data!A1" tooltip="Hi click here To return Index page" display="Index_Data!A1" xr:uid="{D6709CC3-68EE-4D48-A1B1-31CE249F1297}"/>
  </hyperlink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86D72-907A-4E74-B51D-222527413CB8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3" width="14.85546875" bestFit="1" customWidth="1"/>
    <col min="4" max="7" width="16.425781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816333</v>
      </c>
      <c r="D5" s="13">
        <f>Balance_Sheet!D37</f>
        <v>1063491.923838634</v>
      </c>
      <c r="E5" s="13">
        <f>Balance_Sheet!E37</f>
        <v>1342764.8491443549</v>
      </c>
      <c r="F5" s="13">
        <f>Balance_Sheet!F37</f>
        <v>1388262.7453182153</v>
      </c>
      <c r="G5" s="13">
        <f>Balance_Sheet!G37</f>
        <v>1669416.7660309309</v>
      </c>
    </row>
    <row r="6" spans="2:15" ht="18.75" x14ac:dyDescent="0.25">
      <c r="B6" s="12" t="str">
        <f>Balance_Sheet!B21</f>
        <v>Total Debt</v>
      </c>
      <c r="C6" s="13">
        <f>Balance_Sheet!C21</f>
        <v>211222</v>
      </c>
      <c r="D6" s="13">
        <f>Balance_Sheet!D21</f>
        <v>321865</v>
      </c>
      <c r="E6" s="13">
        <f>Balance_Sheet!E21</f>
        <v>345540</v>
      </c>
      <c r="F6" s="13">
        <f>Balance_Sheet!F21</f>
        <v>260765</v>
      </c>
      <c r="G6" s="13">
        <f>Balance_Sheet!G21</f>
        <v>315949</v>
      </c>
    </row>
  </sheetData>
  <hyperlinks>
    <hyperlink ref="F1" location="Index_Data!A1" tooltip="Hi click here To return Index page" display="Index_Data!A1" xr:uid="{69252A22-CB61-48D3-A47A-DAFA3DC2B733}"/>
  </hyperlink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99F30-66B3-4E8F-8E8D-F9753F65517E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3" width="14.85546875" bestFit="1" customWidth="1"/>
    <col min="4" max="7" width="16.425781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816333</v>
      </c>
      <c r="D5" s="13">
        <f>Balance_Sheet!D37</f>
        <v>1063491.923838634</v>
      </c>
      <c r="E5" s="13">
        <f>Balance_Sheet!E37</f>
        <v>1342764.8491443549</v>
      </c>
      <c r="F5" s="13">
        <f>Balance_Sheet!F37</f>
        <v>1388262.7453182153</v>
      </c>
      <c r="G5" s="13">
        <f>Balance_Sheet!G37</f>
        <v>1669416.7660309309</v>
      </c>
    </row>
    <row r="6" spans="2:15" ht="18.75" x14ac:dyDescent="0.25">
      <c r="B6" s="12" t="str">
        <f>Balance_Sheet!B33</f>
        <v>Total Current Liabilities</v>
      </c>
      <c r="C6" s="13">
        <f>Balance_Sheet!C33</f>
        <v>308081</v>
      </c>
      <c r="D6" s="13">
        <f>Balance_Sheet!D33</f>
        <v>285149</v>
      </c>
      <c r="E6" s="13">
        <f>Balance_Sheet!E33</f>
        <v>359027</v>
      </c>
      <c r="F6" s="13">
        <f>Balance_Sheet!F33</f>
        <v>261015</v>
      </c>
      <c r="G6" s="13">
        <f>Balance_Sheet!G33</f>
        <v>294732</v>
      </c>
    </row>
  </sheetData>
  <hyperlinks>
    <hyperlink ref="F1" location="Index_Data!A1" tooltip="Hi click here To return Index page" display="Index_Data!A1" xr:uid="{9BD0AB6F-C42A-4005-A75A-8F4F13654332}"/>
  </hyperlink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6C264-A395-42AD-A905-B0E653FEB1AC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3" width="14.85546875" bestFit="1" customWidth="1"/>
    <col min="4" max="7" width="16.425781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816333</v>
      </c>
      <c r="D5" s="13">
        <f>Balance_Sheet!D74</f>
        <v>1063491.923838634</v>
      </c>
      <c r="E5" s="13">
        <f>Balance_Sheet!E74</f>
        <v>1342764.8491443549</v>
      </c>
      <c r="F5" s="13">
        <f>Balance_Sheet!F74</f>
        <v>1388262.7453182153</v>
      </c>
      <c r="G5" s="13">
        <f>Balance_Sheet!G74</f>
        <v>1669416.7660309309</v>
      </c>
    </row>
    <row r="6" spans="2:15" ht="18.75" x14ac:dyDescent="0.25">
      <c r="B6" s="12" t="str">
        <f>Balance_Sheet!B54</f>
        <v>Total Non Current Assets</v>
      </c>
      <c r="C6" s="13">
        <f>Balance_Sheet!C54</f>
        <v>673754</v>
      </c>
      <c r="D6" s="13">
        <f>Balance_Sheet!D54</f>
        <v>751256</v>
      </c>
      <c r="E6" s="13">
        <f>Balance_Sheet!E54</f>
        <v>815125</v>
      </c>
      <c r="F6" s="13">
        <f>Balance_Sheet!F54</f>
        <v>897336</v>
      </c>
      <c r="G6" s="13">
        <f>Balance_Sheet!G54</f>
        <v>1082053</v>
      </c>
    </row>
  </sheetData>
  <hyperlinks>
    <hyperlink ref="F1" location="Index_Data!A1" tooltip="Hi click here To return Index page" display="Index_Data!A1" xr:uid="{00A0632A-338D-48E7-B3B9-0CB95DE5C39A}"/>
  </hyperlink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0155A-1C0E-4F55-B96D-697F90687949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3" width="14.85546875" bestFit="1" customWidth="1"/>
    <col min="4" max="7" width="16.425781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816333</v>
      </c>
      <c r="D5" s="13">
        <f>Balance_Sheet!D74</f>
        <v>1063491.923838634</v>
      </c>
      <c r="E5" s="13">
        <f>Balance_Sheet!E74</f>
        <v>1342764.8491443549</v>
      </c>
      <c r="F5" s="13">
        <f>Balance_Sheet!F74</f>
        <v>1388262.7453182153</v>
      </c>
      <c r="G5" s="13">
        <f>Balance_Sheet!G74</f>
        <v>1669416.7660309309</v>
      </c>
    </row>
    <row r="6" spans="2:15" ht="18.75" x14ac:dyDescent="0.25">
      <c r="B6" s="12" t="str">
        <f>Balance_Sheet!B72</f>
        <v>Total Current Assets</v>
      </c>
      <c r="C6" s="13">
        <f>Balance_Sheet!C72</f>
        <v>142579</v>
      </c>
      <c r="D6" s="13">
        <f>Balance_Sheet!D72</f>
        <v>312235.92383863393</v>
      </c>
      <c r="E6" s="13">
        <f>Balance_Sheet!E72</f>
        <v>527639.84914435504</v>
      </c>
      <c r="F6" s="13">
        <f>Balance_Sheet!F72</f>
        <v>490926.74531821522</v>
      </c>
      <c r="G6" s="13">
        <f>Balance_Sheet!G72</f>
        <v>587363.76603093103</v>
      </c>
    </row>
  </sheetData>
  <hyperlinks>
    <hyperlink ref="F1" location="Index_Data!A1" tooltip="Hi click here To return Index page" display="Index_Data!A1" xr:uid="{C566793B-F59F-4643-A990-1C819F8A36E3}"/>
  </hyperlink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65826-614D-4021-ADF3-B02C9C824EB5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Income_Statement!B25</f>
        <v>Total Expenditure</v>
      </c>
      <c r="C5" s="13">
        <f>Income_Statement!C25</f>
        <v>267483</v>
      </c>
      <c r="D5" s="13">
        <f>Income_Statement!D25</f>
        <v>365792</v>
      </c>
      <c r="E5" s="13">
        <f>Income_Statement!E25</f>
        <v>366310</v>
      </c>
      <c r="F5" s="13">
        <f>Income_Statement!F25</f>
        <v>294390</v>
      </c>
      <c r="G5" s="13">
        <f>Income_Statement!G25</f>
        <v>497046</v>
      </c>
    </row>
    <row r="6" spans="2:15" ht="18.75" x14ac:dyDescent="0.25">
      <c r="B6" s="12" t="str">
        <f>Income_Statement!B15</f>
        <v>Total Income</v>
      </c>
      <c r="C6" s="13">
        <f>Income_Statement!C15</f>
        <v>401626.93242882448</v>
      </c>
      <c r="D6" s="13">
        <f>Income_Statement!D15</f>
        <v>577595.92383863393</v>
      </c>
      <c r="E6" s="13">
        <f>Income_Statement!E15</f>
        <v>610699.92530572112</v>
      </c>
      <c r="F6" s="13">
        <f>Income_Statement!F15</f>
        <v>483251.89617386018</v>
      </c>
      <c r="G6" s="13">
        <f>Income_Statement!G15</f>
        <v>736582.02071271581</v>
      </c>
    </row>
  </sheetData>
  <hyperlinks>
    <hyperlink ref="F1" location="Index_Data!A1" tooltip="Hi click here To return Index page" display="Index_Data!A1" xr:uid="{78C7714F-86EA-4FCA-BA93-5B3F727C481E}"/>
  </hyperlink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73047-F00B-409D-909E-1CE4F530E2E4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2.5703125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Income_Statement!B55</f>
        <v>Amount C\F to Balance Sheet</v>
      </c>
      <c r="C5" s="13">
        <f>Income_Statement!C55</f>
        <v>92123.932428824482</v>
      </c>
      <c r="D5" s="13">
        <f>Income_Statement!D55</f>
        <v>154702.92383863393</v>
      </c>
      <c r="E5" s="13">
        <f>Income_Statement!E55</f>
        <v>177405.92530572112</v>
      </c>
      <c r="F5" s="13">
        <f>Income_Statement!F55</f>
        <v>141099.89617386018</v>
      </c>
      <c r="G5" s="13">
        <f>Income_Statement!G55</f>
        <v>181694.02071271581</v>
      </c>
    </row>
    <row r="6" spans="2:15" ht="18.75" x14ac:dyDescent="0.25">
      <c r="B6" s="12" t="str">
        <f>Income_Statement!B49</f>
        <v>Reported Net Profit(PAT)</v>
      </c>
      <c r="C6" s="13">
        <f>Income_Statement!C49</f>
        <v>96039.932428824482</v>
      </c>
      <c r="D6" s="13">
        <f>Income_Statement!D49</f>
        <v>158984.92383863393</v>
      </c>
      <c r="E6" s="13">
        <f>Income_Statement!E49</f>
        <v>181989.92530572112</v>
      </c>
      <c r="F6" s="13">
        <f>Income_Statement!F49</f>
        <v>145020.89617386018</v>
      </c>
      <c r="G6" s="13">
        <f>Income_Statement!G49</f>
        <v>181694.02071271581</v>
      </c>
    </row>
  </sheetData>
  <hyperlinks>
    <hyperlink ref="F1" location="Index_Data!A1" tooltip="Hi click here To return Index page" display="Index_Data!A1" xr:uid="{7853A0DF-A7C0-4EE8-9487-1B2E17846D2C}"/>
  </hyperlinks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D72FE-DC81-44B5-A5EF-5139B42822F9}">
  <dimension ref="B1:O40"/>
  <sheetViews>
    <sheetView showGridLines="0" workbookViewId="0"/>
  </sheetViews>
  <sheetFormatPr defaultRowHeight="15" x14ac:dyDescent="0.25"/>
  <cols>
    <col min="2" max="2" width="46" bestFit="1" customWidth="1"/>
    <col min="3" max="3" width="17.140625" bestFit="1" customWidth="1"/>
    <col min="4" max="7" width="20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128</v>
      </c>
      <c r="C3" s="31"/>
      <c r="D3" s="31"/>
      <c r="E3" s="31"/>
      <c r="F3" s="31"/>
      <c r="G3" s="31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5</v>
      </c>
      <c r="C5" s="5">
        <v>5922</v>
      </c>
      <c r="D5" s="5">
        <v>5926</v>
      </c>
      <c r="E5" s="5">
        <v>6339</v>
      </c>
      <c r="F5" s="5">
        <v>6445</v>
      </c>
      <c r="G5" s="5">
        <v>6765</v>
      </c>
    </row>
    <row r="6" spans="2:15" ht="18.75" x14ac:dyDescent="0.25">
      <c r="B6" s="8" t="s">
        <v>121</v>
      </c>
      <c r="C6" s="4"/>
      <c r="D6" s="4"/>
      <c r="E6" s="4"/>
      <c r="F6" s="4"/>
      <c r="G6" s="4"/>
    </row>
    <row r="7" spans="2:15" ht="18.75" x14ac:dyDescent="0.25">
      <c r="B7" s="9" t="s">
        <v>6</v>
      </c>
      <c r="C7" s="7">
        <f>C5+C6</f>
        <v>5922</v>
      </c>
      <c r="D7" s="7">
        <f t="shared" ref="D7:G7" si="0">D5+D6</f>
        <v>5926</v>
      </c>
      <c r="E7" s="7">
        <f t="shared" si="0"/>
        <v>6339</v>
      </c>
      <c r="F7" s="7">
        <f t="shared" si="0"/>
        <v>6445</v>
      </c>
      <c r="G7" s="7">
        <f t="shared" si="0"/>
        <v>6765</v>
      </c>
    </row>
    <row r="8" spans="2:15" ht="18.75" x14ac:dyDescent="0.25">
      <c r="B8" s="8" t="s">
        <v>7</v>
      </c>
      <c r="C8" s="5">
        <v>287569</v>
      </c>
      <c r="D8" s="5">
        <f>Income_Statement!D55+C8</f>
        <v>442271.92383863393</v>
      </c>
      <c r="E8" s="5">
        <f>Income_Statement!E55+D8</f>
        <v>619677.84914435504</v>
      </c>
      <c r="F8" s="5">
        <f>Income_Statement!F55+E8</f>
        <v>760777.74531821522</v>
      </c>
      <c r="G8" s="5">
        <f>Income_Statement!G55+F8</f>
        <v>942471.76603093103</v>
      </c>
    </row>
    <row r="9" spans="2:15" ht="18.75" x14ac:dyDescent="0.25">
      <c r="B9" s="9" t="s">
        <v>122</v>
      </c>
      <c r="C9" s="7">
        <f>C7+C8</f>
        <v>293491</v>
      </c>
      <c r="D9" s="7">
        <f t="shared" ref="D9:G9" si="1">D7+D8</f>
        <v>448197.92383863393</v>
      </c>
      <c r="E9" s="7">
        <f t="shared" si="1"/>
        <v>626016.84914435504</v>
      </c>
      <c r="F9" s="7">
        <f t="shared" si="1"/>
        <v>767222.74531821522</v>
      </c>
      <c r="G9" s="7">
        <f t="shared" si="1"/>
        <v>949236.76603093103</v>
      </c>
    </row>
    <row r="10" spans="2:15" ht="18.75" x14ac:dyDescent="0.25">
      <c r="B10" s="8" t="s">
        <v>12</v>
      </c>
      <c r="C10" s="5">
        <v>144175</v>
      </c>
      <c r="D10" s="5">
        <v>207506</v>
      </c>
      <c r="E10" s="5">
        <v>197631</v>
      </c>
      <c r="F10" s="5">
        <v>163683</v>
      </c>
      <c r="G10" s="5">
        <v>187699</v>
      </c>
    </row>
    <row r="11" spans="2:15" ht="18.75" x14ac:dyDescent="0.25">
      <c r="B11" s="8" t="s">
        <v>13</v>
      </c>
      <c r="C11" s="5">
        <v>29618</v>
      </c>
      <c r="D11" s="5">
        <v>49923</v>
      </c>
      <c r="E11" s="5">
        <v>54123</v>
      </c>
      <c r="F11" s="5">
        <v>37001</v>
      </c>
      <c r="G11" s="5">
        <v>49644</v>
      </c>
    </row>
    <row r="12" spans="2:15" ht="18.75" x14ac:dyDescent="0.25">
      <c r="B12" s="8" t="s">
        <v>18</v>
      </c>
      <c r="C12" s="5">
        <v>37429</v>
      </c>
      <c r="D12" s="5">
        <v>64436</v>
      </c>
      <c r="E12" s="5">
        <v>93786</v>
      </c>
      <c r="F12" s="5">
        <v>60081</v>
      </c>
      <c r="G12" s="5">
        <v>78606</v>
      </c>
    </row>
    <row r="13" spans="2:15" ht="18.75" x14ac:dyDescent="0.25">
      <c r="B13" s="9" t="s">
        <v>123</v>
      </c>
      <c r="C13" s="7">
        <f>C10+C11+C12</f>
        <v>211222</v>
      </c>
      <c r="D13" s="7">
        <f t="shared" ref="D13:G13" si="2">D10+D11+D12</f>
        <v>321865</v>
      </c>
      <c r="E13" s="7">
        <f t="shared" si="2"/>
        <v>345540</v>
      </c>
      <c r="F13" s="7">
        <f t="shared" si="2"/>
        <v>260765</v>
      </c>
      <c r="G13" s="7">
        <f t="shared" si="2"/>
        <v>315949</v>
      </c>
    </row>
    <row r="14" spans="2:15" ht="18.75" x14ac:dyDescent="0.25">
      <c r="B14" s="8" t="s">
        <v>15</v>
      </c>
      <c r="C14" s="5">
        <v>2906</v>
      </c>
      <c r="D14" s="5">
        <v>2856</v>
      </c>
      <c r="E14" s="5">
        <v>1790</v>
      </c>
      <c r="F14" s="5">
        <v>2625</v>
      </c>
      <c r="G14" s="5">
        <v>1853</v>
      </c>
    </row>
    <row r="15" spans="2:15" ht="18.75" x14ac:dyDescent="0.25">
      <c r="B15" s="8" t="s">
        <v>21</v>
      </c>
      <c r="C15" s="5">
        <v>1232</v>
      </c>
      <c r="D15" s="5">
        <v>1326</v>
      </c>
      <c r="E15" s="5">
        <v>1890</v>
      </c>
      <c r="F15" s="5">
        <v>2504</v>
      </c>
      <c r="G15" s="5">
        <v>1936</v>
      </c>
    </row>
    <row r="16" spans="2:15" ht="18.75" x14ac:dyDescent="0.25">
      <c r="B16" s="8" t="s">
        <v>14</v>
      </c>
      <c r="C16" s="5">
        <v>28752</v>
      </c>
      <c r="D16" s="5">
        <v>29407</v>
      </c>
      <c r="E16" s="5">
        <v>38108</v>
      </c>
      <c r="F16" s="5">
        <v>40903</v>
      </c>
      <c r="G16" s="5">
        <v>62823</v>
      </c>
    </row>
    <row r="17" spans="2:7" ht="18.75" x14ac:dyDescent="0.25">
      <c r="B17" s="8" t="s">
        <v>19</v>
      </c>
      <c r="C17" s="5">
        <v>106861</v>
      </c>
      <c r="D17" s="5">
        <v>108309</v>
      </c>
      <c r="E17" s="5">
        <v>96799</v>
      </c>
      <c r="F17" s="5">
        <v>108897</v>
      </c>
      <c r="G17" s="5">
        <v>159330</v>
      </c>
    </row>
    <row r="18" spans="2:7" ht="18.75" x14ac:dyDescent="0.25">
      <c r="B18" s="8" t="s">
        <v>20</v>
      </c>
      <c r="C18" s="5">
        <v>168330</v>
      </c>
      <c r="D18" s="5">
        <v>143251</v>
      </c>
      <c r="E18" s="5">
        <v>220440</v>
      </c>
      <c r="F18" s="5">
        <v>106086</v>
      </c>
      <c r="G18" s="5">
        <v>68790</v>
      </c>
    </row>
    <row r="19" spans="2:7" ht="18.75" x14ac:dyDescent="0.25">
      <c r="B19" s="9" t="s">
        <v>22</v>
      </c>
      <c r="C19" s="7">
        <f>C14+C15+C16+C17+C18</f>
        <v>308081</v>
      </c>
      <c r="D19" s="7">
        <f t="shared" ref="D19:G19" si="3">D14+D15+D16+D17+D18</f>
        <v>285149</v>
      </c>
      <c r="E19" s="7">
        <f t="shared" si="3"/>
        <v>359027</v>
      </c>
      <c r="F19" s="7">
        <f t="shared" si="3"/>
        <v>261015</v>
      </c>
      <c r="G19" s="7">
        <f t="shared" si="3"/>
        <v>294732</v>
      </c>
    </row>
    <row r="20" spans="2:7" ht="18.75" x14ac:dyDescent="0.25">
      <c r="B20" s="8" t="s">
        <v>10</v>
      </c>
      <c r="C20" s="5">
        <v>3539</v>
      </c>
      <c r="D20" s="5">
        <v>8280</v>
      </c>
      <c r="E20" s="5">
        <v>12181</v>
      </c>
      <c r="F20" s="5">
        <v>99260</v>
      </c>
      <c r="G20" s="5">
        <v>109499</v>
      </c>
    </row>
    <row r="21" spans="2:7" ht="18.75" x14ac:dyDescent="0.25">
      <c r="B21" s="9" t="s">
        <v>124</v>
      </c>
      <c r="C21" s="7">
        <f>C9+C13+C19+C20</f>
        <v>816333</v>
      </c>
      <c r="D21" s="7">
        <f t="shared" ref="D21:G21" si="4">D9+D13+D19+D20</f>
        <v>1063491.923838634</v>
      </c>
      <c r="E21" s="7">
        <f t="shared" si="4"/>
        <v>1342764.8491443549</v>
      </c>
      <c r="F21" s="7">
        <f t="shared" si="4"/>
        <v>1388262.7453182153</v>
      </c>
      <c r="G21" s="7">
        <f t="shared" si="4"/>
        <v>1669416.7660309309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316031</v>
      </c>
      <c r="D23" s="5">
        <v>302115</v>
      </c>
      <c r="E23" s="5">
        <v>435920</v>
      </c>
      <c r="F23" s="5">
        <v>451066</v>
      </c>
      <c r="G23" s="5">
        <v>787295</v>
      </c>
    </row>
    <row r="24" spans="2:7" ht="18.75" x14ac:dyDescent="0.25">
      <c r="B24" s="8" t="s">
        <v>27</v>
      </c>
      <c r="C24" s="4">
        <v>82041</v>
      </c>
      <c r="D24" s="5">
        <v>84262</v>
      </c>
      <c r="E24" s="5">
        <v>86479</v>
      </c>
      <c r="F24" s="5">
        <v>79980</v>
      </c>
      <c r="G24" s="5">
        <v>0</v>
      </c>
    </row>
    <row r="25" spans="2:7" ht="18.75" x14ac:dyDescent="0.25">
      <c r="B25" s="8" t="s">
        <v>125</v>
      </c>
      <c r="C25" s="4"/>
      <c r="D25" s="5">
        <f>Income_Statement!D31</f>
        <v>20934</v>
      </c>
      <c r="E25" s="5">
        <f>Income_Statement!E31+D25</f>
        <v>43137</v>
      </c>
      <c r="F25" s="5">
        <f>Income_Statement!F31+E25</f>
        <v>69709</v>
      </c>
      <c r="G25" s="5">
        <f>Income_Statement!G31+F25</f>
        <v>99506</v>
      </c>
    </row>
    <row r="26" spans="2:7" ht="18.75" x14ac:dyDescent="0.25">
      <c r="B26" s="9" t="s">
        <v>126</v>
      </c>
      <c r="C26" s="7">
        <f>C23+C24-C25</f>
        <v>398072</v>
      </c>
      <c r="D26" s="7">
        <f t="shared" ref="D26:G26" si="5">D23+D24-D25</f>
        <v>365443</v>
      </c>
      <c r="E26" s="7">
        <f t="shared" si="5"/>
        <v>479262</v>
      </c>
      <c r="F26" s="7">
        <f t="shared" si="5"/>
        <v>461337</v>
      </c>
      <c r="G26" s="7">
        <f t="shared" si="5"/>
        <v>687789</v>
      </c>
    </row>
    <row r="27" spans="2:7" ht="18.75" x14ac:dyDescent="0.25">
      <c r="B27" s="8" t="s">
        <v>30</v>
      </c>
      <c r="C27" s="5">
        <v>25259</v>
      </c>
      <c r="D27" s="5">
        <v>164612</v>
      </c>
      <c r="E27" s="5">
        <v>203852</v>
      </c>
      <c r="F27" s="5">
        <v>212382</v>
      </c>
      <c r="G27" s="5">
        <v>286146</v>
      </c>
    </row>
    <row r="28" spans="2:7" ht="18.75" x14ac:dyDescent="0.25">
      <c r="B28" s="8" t="s">
        <v>36</v>
      </c>
      <c r="C28" s="5">
        <v>57603</v>
      </c>
      <c r="D28" s="5">
        <v>71023</v>
      </c>
      <c r="E28" s="5">
        <v>72915</v>
      </c>
      <c r="F28" s="5">
        <v>152446</v>
      </c>
      <c r="G28" s="5">
        <v>108118</v>
      </c>
    </row>
    <row r="29" spans="2:7" ht="18.75" x14ac:dyDescent="0.25">
      <c r="B29" s="8" t="s">
        <v>28</v>
      </c>
      <c r="C29" s="4">
        <v>192820</v>
      </c>
      <c r="D29" s="5">
        <v>150178</v>
      </c>
      <c r="E29" s="5">
        <v>59096</v>
      </c>
      <c r="F29" s="5">
        <v>71171</v>
      </c>
      <c r="G29" s="5">
        <v>0</v>
      </c>
    </row>
    <row r="30" spans="2:7" ht="18.75" x14ac:dyDescent="0.25">
      <c r="B30" s="9" t="s">
        <v>127</v>
      </c>
      <c r="C30" s="7">
        <f>C26+C27+C28+C29</f>
        <v>673754</v>
      </c>
      <c r="D30" s="7">
        <f t="shared" ref="D30:G30" si="6">D26+D27+D28+D29</f>
        <v>751256</v>
      </c>
      <c r="E30" s="7">
        <f t="shared" si="6"/>
        <v>815125</v>
      </c>
      <c r="F30" s="7">
        <f t="shared" si="6"/>
        <v>897336</v>
      </c>
      <c r="G30" s="7">
        <f t="shared" si="6"/>
        <v>1082053</v>
      </c>
    </row>
    <row r="31" spans="2:7" ht="18.75" x14ac:dyDescent="0.25">
      <c r="B31" s="8" t="s">
        <v>31</v>
      </c>
      <c r="C31" s="5">
        <v>5075</v>
      </c>
      <c r="D31" s="5">
        <v>4776</v>
      </c>
      <c r="E31" s="5">
        <v>2900</v>
      </c>
      <c r="F31" s="5">
        <v>1147</v>
      </c>
      <c r="G31" s="5">
        <v>1043</v>
      </c>
    </row>
    <row r="32" spans="2:7" ht="18.75" x14ac:dyDescent="0.25">
      <c r="B32" s="8" t="s">
        <v>32</v>
      </c>
      <c r="C32" s="5">
        <v>2668</v>
      </c>
      <c r="D32" s="5">
        <v>5452</v>
      </c>
      <c r="E32" s="5">
        <v>21732</v>
      </c>
      <c r="F32" s="5">
        <v>2484</v>
      </c>
      <c r="G32" s="5">
        <v>1588</v>
      </c>
    </row>
    <row r="33" spans="2:7" ht="18.75" x14ac:dyDescent="0.25">
      <c r="B33" s="8" t="s">
        <v>33</v>
      </c>
      <c r="C33" s="5">
        <v>8653</v>
      </c>
      <c r="D33" s="5">
        <v>17676</v>
      </c>
      <c r="E33" s="5">
        <v>37407</v>
      </c>
      <c r="F33" s="5">
        <v>64977</v>
      </c>
      <c r="G33" s="5">
        <v>63565</v>
      </c>
    </row>
    <row r="34" spans="2:7" ht="18.75" x14ac:dyDescent="0.25">
      <c r="B34" s="8" t="s">
        <v>40</v>
      </c>
      <c r="C34" s="4">
        <v>2327</v>
      </c>
      <c r="D34" s="4">
        <v>545</v>
      </c>
      <c r="E34" s="4">
        <v>669</v>
      </c>
      <c r="F34" s="4">
        <v>65</v>
      </c>
      <c r="G34" s="5">
        <v>130</v>
      </c>
    </row>
    <row r="35" spans="2:7" ht="18.75" x14ac:dyDescent="0.25">
      <c r="B35" s="8" t="s">
        <v>41</v>
      </c>
      <c r="C35" s="5">
        <v>41209</v>
      </c>
      <c r="D35" s="5">
        <v>51754</v>
      </c>
      <c r="E35" s="5">
        <v>60197</v>
      </c>
      <c r="F35" s="5">
        <v>102417</v>
      </c>
      <c r="G35" s="5">
        <v>71175</v>
      </c>
    </row>
    <row r="36" spans="2:7" ht="18.75" x14ac:dyDescent="0.25">
      <c r="B36" s="8" t="s">
        <v>37</v>
      </c>
      <c r="C36" s="5">
        <v>60837</v>
      </c>
      <c r="D36" s="5">
        <v>67561</v>
      </c>
      <c r="E36" s="5">
        <v>73903</v>
      </c>
      <c r="F36" s="5">
        <v>81672</v>
      </c>
      <c r="G36" s="5">
        <v>107778</v>
      </c>
    </row>
    <row r="37" spans="2:7" ht="18.75" x14ac:dyDescent="0.25">
      <c r="B37" s="8" t="s">
        <v>38</v>
      </c>
      <c r="C37" s="5">
        <v>17555</v>
      </c>
      <c r="D37" s="5">
        <v>30089</v>
      </c>
      <c r="E37" s="5">
        <v>19656</v>
      </c>
      <c r="F37" s="5">
        <v>19014</v>
      </c>
      <c r="G37" s="5">
        <v>23640</v>
      </c>
    </row>
    <row r="38" spans="2:7" ht="18.75" x14ac:dyDescent="0.25">
      <c r="B38" s="8" t="s">
        <v>39</v>
      </c>
      <c r="C38" s="5">
        <v>4255</v>
      </c>
      <c r="D38" s="5">
        <f>CashFlow_Statement!D48+C38</f>
        <v>134382.92383863393</v>
      </c>
      <c r="E38" s="5">
        <f>CashFlow_Statement!E48+D38</f>
        <v>311175.84914435504</v>
      </c>
      <c r="F38" s="5">
        <f>CashFlow_Statement!F48+E38</f>
        <v>219150.74531821522</v>
      </c>
      <c r="G38" s="5">
        <f>CashFlow_Statement!G48+F38</f>
        <v>318444.76603093103</v>
      </c>
    </row>
    <row r="39" spans="2:7" ht="18.75" x14ac:dyDescent="0.25">
      <c r="B39" s="9" t="s">
        <v>42</v>
      </c>
      <c r="C39" s="7">
        <f>C31+C32+C33+C34+C35+C36+C37+C38</f>
        <v>142579</v>
      </c>
      <c r="D39" s="7">
        <f t="shared" ref="D39:G39" si="7">D31+D32+D33+D34+D35+D36+D37+D38</f>
        <v>312235.92383863393</v>
      </c>
      <c r="E39" s="7">
        <f t="shared" si="7"/>
        <v>527639.84914435504</v>
      </c>
      <c r="F39" s="7">
        <f t="shared" si="7"/>
        <v>490926.74531821522</v>
      </c>
      <c r="G39" s="7">
        <f t="shared" si="7"/>
        <v>587363.76603093103</v>
      </c>
    </row>
    <row r="40" spans="2:7" ht="18.75" x14ac:dyDescent="0.25">
      <c r="B40" s="9" t="s">
        <v>43</v>
      </c>
      <c r="C40" s="7">
        <f>C30+C39</f>
        <v>816333</v>
      </c>
      <c r="D40" s="7">
        <f t="shared" ref="D40:G40" si="8">D30+D39</f>
        <v>1063491.923838634</v>
      </c>
      <c r="E40" s="7">
        <f t="shared" si="8"/>
        <v>1342764.8491443549</v>
      </c>
      <c r="F40" s="7">
        <f t="shared" si="8"/>
        <v>1388262.7453182153</v>
      </c>
      <c r="G40" s="7">
        <f t="shared" si="8"/>
        <v>1669416.7660309309</v>
      </c>
    </row>
  </sheetData>
  <mergeCells count="1">
    <mergeCell ref="B3:G3"/>
  </mergeCells>
  <hyperlinks>
    <hyperlink ref="F1" location="Index_Data!A1" tooltip="Hi click here To return Index page" display="Index_Data!A1" xr:uid="{8C35B423-46E0-4622-A1F7-4FCB994161A0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F949A-FD7E-40AA-8FCD-55D3584291BB}">
  <dimension ref="B1:O35"/>
  <sheetViews>
    <sheetView showGridLines="0" workbookViewId="0"/>
  </sheetViews>
  <sheetFormatPr defaultRowHeight="15" x14ac:dyDescent="0.25"/>
  <cols>
    <col min="2" max="2" width="57.140625" bestFit="1" customWidth="1"/>
    <col min="3" max="7" width="18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120</v>
      </c>
      <c r="C3" s="31"/>
      <c r="D3" s="31"/>
      <c r="E3" s="31"/>
      <c r="F3" s="31"/>
      <c r="G3" s="31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97</v>
      </c>
      <c r="C5" s="5">
        <v>430731</v>
      </c>
      <c r="D5" s="5">
        <v>625212</v>
      </c>
      <c r="E5" s="5">
        <v>659997</v>
      </c>
      <c r="F5" s="5">
        <v>539238</v>
      </c>
      <c r="G5" s="5">
        <v>721634</v>
      </c>
    </row>
    <row r="6" spans="2:15" ht="18.75" x14ac:dyDescent="0.25">
      <c r="B6" s="8" t="s">
        <v>98</v>
      </c>
      <c r="C6" s="4">
        <v>39054</v>
      </c>
      <c r="D6" s="5">
        <v>56003</v>
      </c>
      <c r="E6" s="5">
        <v>62462</v>
      </c>
      <c r="F6" s="5">
        <v>72314</v>
      </c>
      <c r="G6" s="5">
        <v>0</v>
      </c>
    </row>
    <row r="7" spans="2:15" ht="18.75" x14ac:dyDescent="0.25">
      <c r="B7" s="9" t="s">
        <v>105</v>
      </c>
      <c r="C7" s="7">
        <f>C5 - C6</f>
        <v>391677</v>
      </c>
      <c r="D7" s="7">
        <f t="shared" ref="D7:G7" si="0">D5 - D6</f>
        <v>569209</v>
      </c>
      <c r="E7" s="7">
        <f t="shared" si="0"/>
        <v>597535</v>
      </c>
      <c r="F7" s="7">
        <f t="shared" si="0"/>
        <v>466924</v>
      </c>
      <c r="G7" s="7">
        <f t="shared" si="0"/>
        <v>721634</v>
      </c>
    </row>
    <row r="8" spans="2:15" ht="18.75" x14ac:dyDescent="0.25">
      <c r="B8" s="8" t="s">
        <v>59</v>
      </c>
      <c r="C8" s="5">
        <v>9949</v>
      </c>
      <c r="D8" s="5">
        <v>8386</v>
      </c>
      <c r="E8" s="5">
        <v>13164</v>
      </c>
      <c r="F8" s="5">
        <v>16327</v>
      </c>
      <c r="G8" s="5">
        <v>14947</v>
      </c>
    </row>
    <row r="9" spans="2:15" ht="18.75" x14ac:dyDescent="0.25">
      <c r="B9" s="8" t="s">
        <v>106</v>
      </c>
      <c r="C9" s="4"/>
      <c r="D9" s="4"/>
      <c r="E9" s="4"/>
      <c r="F9" s="4"/>
      <c r="G9" s="4"/>
    </row>
    <row r="10" spans="2:15" ht="18.75" x14ac:dyDescent="0.25">
      <c r="B10" s="9" t="s">
        <v>107</v>
      </c>
      <c r="C10" s="7">
        <f>SUM(C7:C9)</f>
        <v>401626</v>
      </c>
      <c r="D10" s="7">
        <f t="shared" ref="D10:G10" si="1">SUM(D7:D9)</f>
        <v>577595</v>
      </c>
      <c r="E10" s="7">
        <f t="shared" si="1"/>
        <v>610699</v>
      </c>
      <c r="F10" s="7">
        <f t="shared" si="1"/>
        <v>483251</v>
      </c>
      <c r="G10" s="7">
        <f t="shared" si="1"/>
        <v>736581</v>
      </c>
    </row>
    <row r="11" spans="2:15" ht="18.75" x14ac:dyDescent="0.25">
      <c r="B11" s="8" t="s">
        <v>62</v>
      </c>
      <c r="C11" s="5">
        <v>207448</v>
      </c>
      <c r="D11" s="5">
        <v>275237</v>
      </c>
      <c r="E11" s="5">
        <v>260621</v>
      </c>
      <c r="F11" s="5">
        <v>199915</v>
      </c>
      <c r="G11" s="5">
        <v>360784</v>
      </c>
    </row>
    <row r="12" spans="2:15" ht="18.75" x14ac:dyDescent="0.25">
      <c r="B12" s="8" t="s">
        <v>64</v>
      </c>
      <c r="C12" s="4">
        <v>0</v>
      </c>
      <c r="D12" s="5">
        <v>28360</v>
      </c>
      <c r="E12" s="5">
        <v>24155</v>
      </c>
      <c r="F12" s="5">
        <v>19978</v>
      </c>
      <c r="G12" s="4">
        <v>0</v>
      </c>
    </row>
    <row r="13" spans="2:15" ht="18.75" x14ac:dyDescent="0.25">
      <c r="B13" s="8" t="s">
        <v>66</v>
      </c>
      <c r="C13" s="5">
        <v>9523</v>
      </c>
      <c r="D13" s="5">
        <v>12488</v>
      </c>
      <c r="E13" s="5">
        <v>14075</v>
      </c>
      <c r="F13" s="5">
        <v>14817</v>
      </c>
      <c r="G13" s="5">
        <v>18775</v>
      </c>
    </row>
    <row r="14" spans="2:15" ht="18.75" x14ac:dyDescent="0.25">
      <c r="B14" s="8" t="s">
        <v>69</v>
      </c>
      <c r="C14" s="5">
        <v>50512</v>
      </c>
      <c r="D14" s="5">
        <v>49707</v>
      </c>
      <c r="E14" s="5">
        <v>67459</v>
      </c>
      <c r="F14" s="5">
        <v>59680</v>
      </c>
      <c r="G14" s="5">
        <v>117487</v>
      </c>
    </row>
    <row r="15" spans="2:15" ht="18.75" x14ac:dyDescent="0.25">
      <c r="B15" s="9" t="s">
        <v>108</v>
      </c>
      <c r="C15" s="7">
        <f>C11+C12+C13+C14</f>
        <v>267483</v>
      </c>
      <c r="D15" s="7">
        <f t="shared" ref="D15:G15" si="2">D11+D12+D13+D14</f>
        <v>365792</v>
      </c>
      <c r="E15" s="7">
        <f t="shared" si="2"/>
        <v>366310</v>
      </c>
      <c r="F15" s="7">
        <f t="shared" si="2"/>
        <v>294390</v>
      </c>
      <c r="G15" s="7">
        <f t="shared" si="2"/>
        <v>497046</v>
      </c>
    </row>
    <row r="16" spans="2:15" ht="18.75" x14ac:dyDescent="0.25">
      <c r="B16" s="9" t="s">
        <v>109</v>
      </c>
      <c r="C16" s="7">
        <f xml:space="preserve"> C10-C15-C8</f>
        <v>124194</v>
      </c>
      <c r="D16" s="7">
        <f t="shared" ref="D16:G16" si="3" xml:space="preserve"> D10-D15-D8</f>
        <v>203417</v>
      </c>
      <c r="E16" s="7">
        <f t="shared" si="3"/>
        <v>231225</v>
      </c>
      <c r="F16" s="7">
        <f t="shared" si="3"/>
        <v>172534</v>
      </c>
      <c r="G16" s="7">
        <f t="shared" si="3"/>
        <v>224588</v>
      </c>
    </row>
    <row r="17" spans="2:7" ht="18.75" x14ac:dyDescent="0.25">
      <c r="B17" s="9" t="s">
        <v>110</v>
      </c>
      <c r="C17" s="7">
        <f xml:space="preserve"> C16+C8</f>
        <v>134143</v>
      </c>
      <c r="D17" s="7">
        <f t="shared" ref="D17:G17" si="4" xml:space="preserve"> D16+D8</f>
        <v>211803</v>
      </c>
      <c r="E17" s="7">
        <f t="shared" si="4"/>
        <v>244389</v>
      </c>
      <c r="F17" s="7">
        <f t="shared" si="4"/>
        <v>188861</v>
      </c>
      <c r="G17" s="7">
        <f t="shared" si="4"/>
        <v>239535</v>
      </c>
    </row>
    <row r="18" spans="2:7" ht="18.75" x14ac:dyDescent="0.25">
      <c r="B18" s="8" t="s">
        <v>68</v>
      </c>
      <c r="C18" s="5">
        <v>16706</v>
      </c>
      <c r="D18" s="5">
        <v>20934</v>
      </c>
      <c r="E18" s="5">
        <v>22203</v>
      </c>
      <c r="F18" s="5">
        <v>26572</v>
      </c>
      <c r="G18" s="5">
        <v>29797</v>
      </c>
    </row>
    <row r="19" spans="2:7" ht="18.75" x14ac:dyDescent="0.25">
      <c r="B19" s="9" t="s">
        <v>111</v>
      </c>
      <c r="C19" s="7">
        <f xml:space="preserve"> C17-C18</f>
        <v>117437</v>
      </c>
      <c r="D19" s="7">
        <f t="shared" ref="D19:G19" si="5" xml:space="preserve"> D17-D18</f>
        <v>190869</v>
      </c>
      <c r="E19" s="7">
        <f t="shared" si="5"/>
        <v>222186</v>
      </c>
      <c r="F19" s="7">
        <f t="shared" si="5"/>
        <v>162289</v>
      </c>
      <c r="G19" s="7">
        <f t="shared" si="5"/>
        <v>209738</v>
      </c>
    </row>
    <row r="20" spans="2:7" ht="18.75" x14ac:dyDescent="0.25">
      <c r="B20" s="8" t="s">
        <v>67</v>
      </c>
      <c r="C20" s="5">
        <v>8052</v>
      </c>
      <c r="D20" s="5">
        <v>16495</v>
      </c>
      <c r="E20" s="5">
        <v>22027</v>
      </c>
      <c r="F20" s="5">
        <v>21189</v>
      </c>
      <c r="G20" s="5">
        <v>14584</v>
      </c>
    </row>
    <row r="21" spans="2:7" ht="18.75" x14ac:dyDescent="0.25">
      <c r="B21" s="9" t="s">
        <v>112</v>
      </c>
      <c r="C21" s="7">
        <f xml:space="preserve"> C19-C20</f>
        <v>109385</v>
      </c>
      <c r="D21" s="7">
        <f t="shared" ref="D21:G21" si="6" xml:space="preserve"> D19-D20</f>
        <v>174374</v>
      </c>
      <c r="E21" s="7">
        <f t="shared" si="6"/>
        <v>200159</v>
      </c>
      <c r="F21" s="7">
        <f t="shared" si="6"/>
        <v>141100</v>
      </c>
      <c r="G21" s="7">
        <f t="shared" si="6"/>
        <v>195154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109385</v>
      </c>
      <c r="D23" s="7">
        <f t="shared" ref="D23:G23" si="7" xml:space="preserve"> D21+D22</f>
        <v>174374</v>
      </c>
      <c r="E23" s="7">
        <f t="shared" si="7"/>
        <v>200159</v>
      </c>
      <c r="F23" s="7">
        <f t="shared" si="7"/>
        <v>141100</v>
      </c>
      <c r="G23" s="7">
        <f t="shared" si="7"/>
        <v>195154</v>
      </c>
    </row>
    <row r="24" spans="2:7" ht="18.75" x14ac:dyDescent="0.25">
      <c r="B24" s="8" t="s">
        <v>72</v>
      </c>
      <c r="C24" s="5">
        <v>0</v>
      </c>
      <c r="D24" s="5">
        <v>0</v>
      </c>
      <c r="E24" s="5">
        <v>-4444</v>
      </c>
      <c r="F24" s="4">
        <v>5642</v>
      </c>
      <c r="G24" s="4">
        <v>2836</v>
      </c>
    </row>
    <row r="25" spans="2:7" ht="18.75" x14ac:dyDescent="0.25">
      <c r="B25" s="9" t="s">
        <v>115</v>
      </c>
      <c r="C25" s="7">
        <f xml:space="preserve"> C23+C24</f>
        <v>109385</v>
      </c>
      <c r="D25" s="7">
        <f t="shared" ref="D25:G25" si="8" xml:space="preserve"> D23+D24</f>
        <v>174374</v>
      </c>
      <c r="E25" s="7">
        <f t="shared" si="8"/>
        <v>195715</v>
      </c>
      <c r="F25" s="7">
        <f t="shared" si="8"/>
        <v>146742</v>
      </c>
      <c r="G25" s="7">
        <f t="shared" si="8"/>
        <v>197990</v>
      </c>
    </row>
    <row r="26" spans="2:7" ht="18.75" x14ac:dyDescent="0.25">
      <c r="B26" s="8" t="s">
        <v>79</v>
      </c>
      <c r="C26" s="5">
        <v>13346</v>
      </c>
      <c r="D26" s="5">
        <v>15390</v>
      </c>
      <c r="E26" s="5">
        <v>13726</v>
      </c>
      <c r="F26" s="5">
        <v>1722</v>
      </c>
      <c r="G26" s="5">
        <v>16297</v>
      </c>
    </row>
    <row r="27" spans="2:7" ht="18.75" x14ac:dyDescent="0.25">
      <c r="B27" s="9" t="s">
        <v>116</v>
      </c>
      <c r="C27" s="7">
        <f xml:space="preserve"> C25-C26</f>
        <v>96039</v>
      </c>
      <c r="D27" s="7">
        <f t="shared" ref="D27:G27" si="9" xml:space="preserve"> D25-D26</f>
        <v>158984</v>
      </c>
      <c r="E27" s="7">
        <f t="shared" si="9"/>
        <v>181989</v>
      </c>
      <c r="F27" s="7">
        <f t="shared" si="9"/>
        <v>145020</v>
      </c>
      <c r="G27" s="7">
        <f t="shared" si="9"/>
        <v>181693</v>
      </c>
    </row>
    <row r="28" spans="2:7" ht="18.75" x14ac:dyDescent="0.25">
      <c r="B28" s="8" t="s">
        <v>88</v>
      </c>
      <c r="C28" s="4">
        <v>3255</v>
      </c>
      <c r="D28" s="5">
        <v>3554</v>
      </c>
      <c r="E28" s="5">
        <v>3852</v>
      </c>
      <c r="F28" s="5">
        <v>3921</v>
      </c>
      <c r="G28" s="5">
        <v>0</v>
      </c>
    </row>
    <row r="29" spans="2:7" ht="18.75" x14ac:dyDescent="0.25">
      <c r="B29" s="8" t="s">
        <v>89</v>
      </c>
      <c r="C29" s="4">
        <v>661</v>
      </c>
      <c r="D29" s="4">
        <v>728</v>
      </c>
      <c r="E29" s="4">
        <v>732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92123</v>
      </c>
      <c r="D30" s="7">
        <f t="shared" ref="D30:G30" si="10" xml:space="preserve"> D27-D28-D29</f>
        <v>154702</v>
      </c>
      <c r="E30" s="7">
        <f t="shared" si="10"/>
        <v>177405</v>
      </c>
      <c r="F30" s="7">
        <f t="shared" si="10"/>
        <v>141099</v>
      </c>
      <c r="G30" s="7">
        <f t="shared" si="10"/>
        <v>181693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61</v>
      </c>
      <c r="D34" s="4">
        <v>67</v>
      </c>
      <c r="E34" s="4">
        <v>63</v>
      </c>
      <c r="F34" s="4">
        <v>76</v>
      </c>
      <c r="G34" s="4">
        <v>92</v>
      </c>
    </row>
    <row r="35" spans="2:7" ht="18.75" x14ac:dyDescent="0.25">
      <c r="B35" s="8" t="s">
        <v>118</v>
      </c>
      <c r="C35" s="4">
        <f>C27/C34</f>
        <v>1574.4098360655737</v>
      </c>
      <c r="D35" s="4">
        <f t="shared" ref="D35:G35" si="11">D27/D34</f>
        <v>2372.8955223880598</v>
      </c>
      <c r="E35" s="4">
        <f t="shared" si="11"/>
        <v>2888.7142857142858</v>
      </c>
      <c r="F35" s="4">
        <f t="shared" si="11"/>
        <v>1908.1578947368421</v>
      </c>
      <c r="G35" s="4">
        <f t="shared" si="11"/>
        <v>1974.9239130434783</v>
      </c>
    </row>
  </sheetData>
  <mergeCells count="1">
    <mergeCell ref="B3:G3"/>
  </mergeCells>
  <hyperlinks>
    <hyperlink ref="F1" location="Index_Data!A1" tooltip="Hi click here To return Index page" display="Index_Data!A1" xr:uid="{0E3948B7-B22F-42BB-958F-821B4DE35342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70950-8FE6-4A34-B22D-A478B8968033}">
  <dimension ref="B1:O80"/>
  <sheetViews>
    <sheetView showGridLines="0" topLeftCell="A57" workbookViewId="0">
      <selection activeCell="H75" sqref="H75:L75"/>
    </sheetView>
  </sheetViews>
  <sheetFormatPr defaultRowHeight="15" x14ac:dyDescent="0.25"/>
  <cols>
    <col min="2" max="2" width="47.42578125" bestFit="1" customWidth="1"/>
    <col min="3" max="3" width="17.140625" bestFit="1" customWidth="1"/>
    <col min="4" max="12" width="20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128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5</v>
      </c>
      <c r="C5" s="5">
        <v>5922</v>
      </c>
      <c r="D5" s="5">
        <v>5926</v>
      </c>
      <c r="E5" s="5">
        <v>6339</v>
      </c>
      <c r="F5" s="5">
        <v>6445</v>
      </c>
      <c r="G5" s="5">
        <v>6765</v>
      </c>
      <c r="H5" s="24">
        <f>G5</f>
        <v>6765</v>
      </c>
      <c r="I5" s="24">
        <f t="shared" ref="I5:L5" si="0">H5</f>
        <v>6765</v>
      </c>
      <c r="J5" s="24">
        <f t="shared" si="0"/>
        <v>6765</v>
      </c>
      <c r="K5" s="24">
        <f t="shared" si="0"/>
        <v>6765</v>
      </c>
      <c r="L5" s="24">
        <f t="shared" si="0"/>
        <v>6765</v>
      </c>
    </row>
    <row r="6" spans="2:15" x14ac:dyDescent="0.25">
      <c r="B6" s="17" t="s">
        <v>203</v>
      </c>
      <c r="C6" s="18">
        <f>C5/Balance_Sheet!C74</f>
        <v>7.2543925089393665E-3</v>
      </c>
      <c r="D6" s="18">
        <f>D5/Balance_Sheet!D74</f>
        <v>5.5722096869436737E-3</v>
      </c>
      <c r="E6" s="18">
        <f>E5/Balance_Sheet!E74</f>
        <v>4.7208563763337843E-3</v>
      </c>
      <c r="F6" s="18">
        <f>F5/Balance_Sheet!F74</f>
        <v>4.642492944318467E-3</v>
      </c>
      <c r="G6" s="18">
        <f>G5/Balance_Sheet!G74</f>
        <v>4.052313441228886E-3</v>
      </c>
      <c r="H6" s="25">
        <f>G6</f>
        <v>4.052313441228886E-3</v>
      </c>
      <c r="I6" s="25">
        <f t="shared" ref="I6:L6" si="1">H6</f>
        <v>4.052313441228886E-3</v>
      </c>
      <c r="J6" s="25">
        <f t="shared" si="1"/>
        <v>4.052313441228886E-3</v>
      </c>
      <c r="K6" s="25">
        <f t="shared" si="1"/>
        <v>4.052313441228886E-3</v>
      </c>
      <c r="L6" s="25">
        <f t="shared" si="1"/>
        <v>4.052313441228886E-3</v>
      </c>
    </row>
    <row r="7" spans="2:15" ht="18.75" x14ac:dyDescent="0.25">
      <c r="B7" s="8" t="s">
        <v>121</v>
      </c>
      <c r="C7" s="4"/>
      <c r="D7" s="4"/>
      <c r="E7" s="4"/>
      <c r="F7" s="4"/>
      <c r="G7" s="4"/>
      <c r="H7" s="26">
        <f>G7</f>
        <v>0</v>
      </c>
      <c r="I7" s="26">
        <f t="shared" ref="I7:L7" si="2">H7</f>
        <v>0</v>
      </c>
      <c r="J7" s="26">
        <f t="shared" si="2"/>
        <v>0</v>
      </c>
      <c r="K7" s="26">
        <f t="shared" si="2"/>
        <v>0</v>
      </c>
      <c r="L7" s="26">
        <f t="shared" si="2"/>
        <v>0</v>
      </c>
    </row>
    <row r="8" spans="2:15" x14ac:dyDescent="0.25">
      <c r="B8" s="17" t="s">
        <v>204</v>
      </c>
      <c r="C8" s="18">
        <f>C7/Balance_Sheet!C74</f>
        <v>0</v>
      </c>
      <c r="D8" s="18">
        <f>D7/Balance_Sheet!D74</f>
        <v>0</v>
      </c>
      <c r="E8" s="18">
        <f>E7/Balance_Sheet!E74</f>
        <v>0</v>
      </c>
      <c r="F8" s="18">
        <f>F7/Balance_Sheet!F74</f>
        <v>0</v>
      </c>
      <c r="G8" s="18">
        <f>G7/Balance_Sheet!G74</f>
        <v>0</v>
      </c>
      <c r="H8" s="25">
        <f>G8</f>
        <v>0</v>
      </c>
      <c r="I8" s="25">
        <f t="shared" ref="I8:L8" si="3">H8</f>
        <v>0</v>
      </c>
      <c r="J8" s="25">
        <f t="shared" si="3"/>
        <v>0</v>
      </c>
      <c r="K8" s="25">
        <f t="shared" si="3"/>
        <v>0</v>
      </c>
      <c r="L8" s="25">
        <f t="shared" si="3"/>
        <v>0</v>
      </c>
    </row>
    <row r="9" spans="2:15" ht="18.75" x14ac:dyDescent="0.25">
      <c r="B9" s="9" t="s">
        <v>6</v>
      </c>
      <c r="C9" s="7">
        <f>C5+C7</f>
        <v>5922</v>
      </c>
      <c r="D9" s="7">
        <f t="shared" ref="D9:L9" si="4">D5+D7</f>
        <v>5926</v>
      </c>
      <c r="E9" s="7">
        <f t="shared" si="4"/>
        <v>6339</v>
      </c>
      <c r="F9" s="7">
        <f t="shared" si="4"/>
        <v>6445</v>
      </c>
      <c r="G9" s="7">
        <f t="shared" si="4"/>
        <v>6765</v>
      </c>
      <c r="H9" s="27">
        <f t="shared" si="4"/>
        <v>6765</v>
      </c>
      <c r="I9" s="27">
        <f t="shared" si="4"/>
        <v>6765</v>
      </c>
      <c r="J9" s="27">
        <f t="shared" si="4"/>
        <v>6765</v>
      </c>
      <c r="K9" s="27">
        <f t="shared" si="4"/>
        <v>6765</v>
      </c>
      <c r="L9" s="27">
        <f t="shared" si="4"/>
        <v>6765</v>
      </c>
    </row>
    <row r="10" spans="2:15" x14ac:dyDescent="0.25">
      <c r="B10" s="19" t="s">
        <v>205</v>
      </c>
      <c r="C10" s="20">
        <f>C9/Balance_Sheet!C74</f>
        <v>7.2543925089393665E-3</v>
      </c>
      <c r="D10" s="20">
        <f>D9/Balance_Sheet!D74</f>
        <v>5.5722096869436737E-3</v>
      </c>
      <c r="E10" s="20">
        <f>E9/Balance_Sheet!E74</f>
        <v>4.7208563763337843E-3</v>
      </c>
      <c r="F10" s="20">
        <f>F9/Balance_Sheet!F74</f>
        <v>4.642492944318467E-3</v>
      </c>
      <c r="G10" s="20">
        <f>G9/Balance_Sheet!G74</f>
        <v>4.052313441228886E-3</v>
      </c>
      <c r="H10" s="28">
        <f>H9/Balance_Sheet!H74</f>
        <v>3.3327329685853336E-3</v>
      </c>
      <c r="I10" s="28">
        <f>I9/Balance_Sheet!I74</f>
        <v>2.9377235850573092E-3</v>
      </c>
      <c r="J10" s="28">
        <f>J9/Balance_Sheet!J74</f>
        <v>2.5566004486777343E-3</v>
      </c>
      <c r="K10" s="28">
        <f>K9/Balance_Sheet!K74</f>
        <v>2.1320976991592872E-3</v>
      </c>
      <c r="L10" s="28">
        <f>L9/Balance_Sheet!L74</f>
        <v>1.8412723596371184E-3</v>
      </c>
    </row>
    <row r="11" spans="2:15" ht="18.75" x14ac:dyDescent="0.25">
      <c r="B11" s="8" t="s">
        <v>7</v>
      </c>
      <c r="C11" s="5">
        <v>287569</v>
      </c>
      <c r="D11" s="5">
        <f>Income_Statement!D55+C11</f>
        <v>442271.92383863393</v>
      </c>
      <c r="E11" s="5">
        <f>Income_Statement!E55+D11</f>
        <v>619677.84914435504</v>
      </c>
      <c r="F11" s="5">
        <f>Income_Statement!F55+E11</f>
        <v>760777.74531821522</v>
      </c>
      <c r="G11" s="5">
        <f>Income_Statement!G55+F11</f>
        <v>942471.76603093103</v>
      </c>
      <c r="H11" s="24">
        <f>H74-H9-H21-H33-H35</f>
        <v>1070285.6781471923</v>
      </c>
      <c r="I11" s="24">
        <f t="shared" ref="I11:L11" si="5">I74-I9-I21-I33-I35</f>
        <v>1215107.0346086156</v>
      </c>
      <c r="J11" s="24">
        <f t="shared" si="5"/>
        <v>1397256.6217294929</v>
      </c>
      <c r="K11" s="24">
        <f t="shared" si="5"/>
        <v>1676798.7147686589</v>
      </c>
      <c r="L11" s="24">
        <f t="shared" si="5"/>
        <v>1942714.2738921538</v>
      </c>
    </row>
    <row r="12" spans="2:15" x14ac:dyDescent="0.25">
      <c r="B12" s="17" t="s">
        <v>206</v>
      </c>
      <c r="C12" s="18">
        <f>C11/Balance_Sheet!C74</f>
        <v>0.35226923326632636</v>
      </c>
      <c r="D12" s="18">
        <f>D11/Balance_Sheet!D74</f>
        <v>0.41586768448816241</v>
      </c>
      <c r="E12" s="18">
        <f>E11/Balance_Sheet!E74</f>
        <v>0.46149394627006363</v>
      </c>
      <c r="F12" s="18">
        <f>F11/Balance_Sheet!F74</f>
        <v>0.54800703100610182</v>
      </c>
      <c r="G12" s="18">
        <f>G11/Balance_Sheet!G74</f>
        <v>0.56455151595947783</v>
      </c>
      <c r="H12" s="25"/>
      <c r="I12" s="25"/>
      <c r="J12" s="25"/>
      <c r="K12" s="25"/>
      <c r="L12" s="25"/>
    </row>
    <row r="13" spans="2:15" ht="18.75" x14ac:dyDescent="0.25">
      <c r="B13" s="9" t="s">
        <v>122</v>
      </c>
      <c r="C13" s="7">
        <f>C9+C11</f>
        <v>293491</v>
      </c>
      <c r="D13" s="7">
        <f t="shared" ref="D13:L13" si="6">D9+D11</f>
        <v>448197.92383863393</v>
      </c>
      <c r="E13" s="7">
        <f t="shared" si="6"/>
        <v>626016.84914435504</v>
      </c>
      <c r="F13" s="7">
        <f t="shared" si="6"/>
        <v>767222.74531821522</v>
      </c>
      <c r="G13" s="7">
        <f t="shared" si="6"/>
        <v>949236.76603093103</v>
      </c>
      <c r="H13" s="27">
        <f t="shared" si="6"/>
        <v>1077050.6781471923</v>
      </c>
      <c r="I13" s="27">
        <f t="shared" si="6"/>
        <v>1221872.0346086156</v>
      </c>
      <c r="J13" s="27">
        <f t="shared" si="6"/>
        <v>1404021.6217294929</v>
      </c>
      <c r="K13" s="27">
        <f t="shared" si="6"/>
        <v>1683563.7147686589</v>
      </c>
      <c r="L13" s="27">
        <f t="shared" si="6"/>
        <v>1949479.2738921538</v>
      </c>
    </row>
    <row r="14" spans="2:15" x14ac:dyDescent="0.25">
      <c r="B14" s="19" t="s">
        <v>207</v>
      </c>
      <c r="C14" s="20">
        <f>C13/Balance_Sheet!C74</f>
        <v>0.35952362577526575</v>
      </c>
      <c r="D14" s="20">
        <f>D13/Balance_Sheet!D74</f>
        <v>0.42143989417510608</v>
      </c>
      <c r="E14" s="20">
        <f>E13/Balance_Sheet!E74</f>
        <v>0.46621480264639742</v>
      </c>
      <c r="F14" s="20">
        <f>F13/Balance_Sheet!F74</f>
        <v>0.55264952395042022</v>
      </c>
      <c r="G14" s="20">
        <f>G13/Balance_Sheet!G74</f>
        <v>0.56860382940070675</v>
      </c>
      <c r="H14" s="28">
        <f>H13/Balance_Sheet!H74</f>
        <v>0.5306019665777294</v>
      </c>
      <c r="I14" s="28">
        <f>I13/Balance_Sheet!I74</f>
        <v>0.53060196511333202</v>
      </c>
      <c r="J14" s="28">
        <f>J13/Balance_Sheet!J74</f>
        <v>0.53060196719391894</v>
      </c>
      <c r="K14" s="28">
        <f>K13/Balance_Sheet!K74</f>
        <v>0.53060196934904957</v>
      </c>
      <c r="L14" s="28">
        <f>L13/Balance_Sheet!L74</f>
        <v>0.53060196640104396</v>
      </c>
    </row>
    <row r="15" spans="2:15" ht="18.75" x14ac:dyDescent="0.25">
      <c r="B15" s="8" t="s">
        <v>12</v>
      </c>
      <c r="C15" s="5">
        <v>144175</v>
      </c>
      <c r="D15" s="5">
        <v>207506</v>
      </c>
      <c r="E15" s="5">
        <v>197631</v>
      </c>
      <c r="F15" s="5">
        <v>163683</v>
      </c>
      <c r="G15" s="5">
        <v>187699</v>
      </c>
      <c r="H15" s="24">
        <f>ROUND(H74*H16,2)</f>
        <v>228225.66</v>
      </c>
      <c r="I15" s="24">
        <f t="shared" ref="I15:L15" si="7">ROUND(I74*I16,2)</f>
        <v>258913.12</v>
      </c>
      <c r="J15" s="24">
        <f t="shared" si="7"/>
        <v>297510.38</v>
      </c>
      <c r="K15" s="24">
        <f t="shared" si="7"/>
        <v>356744.99</v>
      </c>
      <c r="L15" s="24">
        <f t="shared" si="7"/>
        <v>413092.16</v>
      </c>
    </row>
    <row r="16" spans="2:15" x14ac:dyDescent="0.25">
      <c r="B16" s="17" t="s">
        <v>208</v>
      </c>
      <c r="C16" s="18">
        <f>C15/Balance_Sheet!C74</f>
        <v>0.17661297534217041</v>
      </c>
      <c r="D16" s="18">
        <f>D15/Balance_Sheet!D74</f>
        <v>0.1951176077115987</v>
      </c>
      <c r="E16" s="18">
        <f>E15/Balance_Sheet!E74</f>
        <v>0.1471821370107623</v>
      </c>
      <c r="F16" s="18">
        <f>F15/Balance_Sheet!F74</f>
        <v>0.11790491429090452</v>
      </c>
      <c r="G16" s="18">
        <f>G15/Balance_Sheet!G74</f>
        <v>0.1124338773991457</v>
      </c>
      <c r="H16" s="25">
        <f>G16</f>
        <v>0.1124338773991457</v>
      </c>
      <c r="I16" s="25">
        <f t="shared" ref="I16:L16" si="8">H16</f>
        <v>0.1124338773991457</v>
      </c>
      <c r="J16" s="25">
        <f t="shared" si="8"/>
        <v>0.1124338773991457</v>
      </c>
      <c r="K16" s="25">
        <f t="shared" si="8"/>
        <v>0.1124338773991457</v>
      </c>
      <c r="L16" s="25">
        <f t="shared" si="8"/>
        <v>0.1124338773991457</v>
      </c>
    </row>
    <row r="17" spans="2:12" ht="18.75" x14ac:dyDescent="0.25">
      <c r="B17" s="8" t="s">
        <v>13</v>
      </c>
      <c r="C17" s="5">
        <v>29618</v>
      </c>
      <c r="D17" s="5">
        <v>49923</v>
      </c>
      <c r="E17" s="5">
        <v>54123</v>
      </c>
      <c r="F17" s="5">
        <v>37001</v>
      </c>
      <c r="G17" s="5">
        <v>49644</v>
      </c>
      <c r="H17" s="24">
        <f>H74*H18</f>
        <v>73647.101463895742</v>
      </c>
      <c r="I17" s="24">
        <f t="shared" ref="I17:L17" si="9">I74*I18</f>
        <v>83549.767696979005</v>
      </c>
      <c r="J17" s="24">
        <f t="shared" si="9"/>
        <v>96004.881488782688</v>
      </c>
      <c r="K17" s="24">
        <f t="shared" si="9"/>
        <v>115119.54784541862</v>
      </c>
      <c r="L17" s="24">
        <f t="shared" si="9"/>
        <v>133302.45349354373</v>
      </c>
    </row>
    <row r="18" spans="2:12" x14ac:dyDescent="0.25">
      <c r="B18" s="17" t="s">
        <v>209</v>
      </c>
      <c r="C18" s="18">
        <f>C17/Balance_Sheet!C74</f>
        <v>3.628176246703245E-2</v>
      </c>
      <c r="D18" s="18">
        <f>D17/Balance_Sheet!D74</f>
        <v>4.6942528552360613E-2</v>
      </c>
      <c r="E18" s="18">
        <f>E17/Balance_Sheet!E74</f>
        <v>4.0307131985536114E-2</v>
      </c>
      <c r="F18" s="18">
        <f>F17/Balance_Sheet!F74</f>
        <v>2.6652735676140824E-2</v>
      </c>
      <c r="G18" s="18">
        <f>G17/Balance_Sheet!G74</f>
        <v>2.9737331629913797E-2</v>
      </c>
      <c r="H18" s="25">
        <f>MEDIAN(C18:G18)</f>
        <v>3.628176246703245E-2</v>
      </c>
      <c r="I18" s="25">
        <f t="shared" ref="I18:L18" si="10">H18</f>
        <v>3.628176246703245E-2</v>
      </c>
      <c r="J18" s="25">
        <f t="shared" si="10"/>
        <v>3.628176246703245E-2</v>
      </c>
      <c r="K18" s="25">
        <f t="shared" si="10"/>
        <v>3.628176246703245E-2</v>
      </c>
      <c r="L18" s="25">
        <f t="shared" si="10"/>
        <v>3.628176246703245E-2</v>
      </c>
    </row>
    <row r="19" spans="2:12" ht="18.75" x14ac:dyDescent="0.25">
      <c r="B19" s="8" t="s">
        <v>18</v>
      </c>
      <c r="C19" s="5">
        <v>37429</v>
      </c>
      <c r="D19" s="5">
        <v>64436</v>
      </c>
      <c r="E19" s="5">
        <v>93786</v>
      </c>
      <c r="F19" s="5">
        <v>60081</v>
      </c>
      <c r="G19" s="5">
        <v>78606</v>
      </c>
      <c r="H19" s="24">
        <f>ROUND(H74*H20,2)</f>
        <v>95578.06</v>
      </c>
      <c r="I19" s="24">
        <f t="shared" ref="I19:L19" si="11">ROUND(I74*I20,2)</f>
        <v>108429.59</v>
      </c>
      <c r="J19" s="24">
        <f t="shared" si="11"/>
        <v>124593.64</v>
      </c>
      <c r="K19" s="24">
        <f t="shared" si="11"/>
        <v>149400.35</v>
      </c>
      <c r="L19" s="24">
        <f t="shared" si="11"/>
        <v>172997.85</v>
      </c>
    </row>
    <row r="20" spans="2:12" x14ac:dyDescent="0.25">
      <c r="B20" s="17" t="s">
        <v>210</v>
      </c>
      <c r="C20" s="18">
        <f>C19/Balance_Sheet!C74</f>
        <v>4.5850161637469022E-2</v>
      </c>
      <c r="D20" s="18">
        <f>D19/Balance_Sheet!D74</f>
        <v>6.0589082583176267E-2</v>
      </c>
      <c r="E20" s="18">
        <f>E19/Balance_Sheet!E74</f>
        <v>6.9845438730216175E-2</v>
      </c>
      <c r="F20" s="18">
        <f>F19/Balance_Sheet!F74</f>
        <v>4.3277830657501605E-2</v>
      </c>
      <c r="G20" s="18">
        <f>G19/Balance_Sheet!G74</f>
        <v>4.7085905448815642E-2</v>
      </c>
      <c r="H20" s="25">
        <f>G20</f>
        <v>4.7085905448815642E-2</v>
      </c>
      <c r="I20" s="25">
        <f t="shared" ref="I20:L20" si="12">H20</f>
        <v>4.7085905448815642E-2</v>
      </c>
      <c r="J20" s="25">
        <f t="shared" si="12"/>
        <v>4.7085905448815642E-2</v>
      </c>
      <c r="K20" s="25">
        <f t="shared" si="12"/>
        <v>4.7085905448815642E-2</v>
      </c>
      <c r="L20" s="25">
        <f t="shared" si="12"/>
        <v>4.7085905448815642E-2</v>
      </c>
    </row>
    <row r="21" spans="2:12" ht="18.75" x14ac:dyDescent="0.25">
      <c r="B21" s="9" t="s">
        <v>123</v>
      </c>
      <c r="C21" s="7">
        <f>C15+C17+C19</f>
        <v>211222</v>
      </c>
      <c r="D21" s="7">
        <f t="shared" ref="D21:G21" si="13">D15+D17+D19</f>
        <v>321865</v>
      </c>
      <c r="E21" s="7">
        <f t="shared" si="13"/>
        <v>345540</v>
      </c>
      <c r="F21" s="7">
        <f t="shared" si="13"/>
        <v>260765</v>
      </c>
      <c r="G21" s="7">
        <f t="shared" si="13"/>
        <v>315949</v>
      </c>
      <c r="H21" s="27">
        <f>ROUND(H74*H22,2)</f>
        <v>384166.51</v>
      </c>
      <c r="I21" s="27">
        <f t="shared" ref="I21:L21" si="14">ROUND(I74*I22,2)</f>
        <v>435821.94</v>
      </c>
      <c r="J21" s="27">
        <f t="shared" si="14"/>
        <v>500791.74</v>
      </c>
      <c r="K21" s="27">
        <f t="shared" si="14"/>
        <v>600499.86</v>
      </c>
      <c r="L21" s="27">
        <f t="shared" si="14"/>
        <v>695347.63</v>
      </c>
    </row>
    <row r="22" spans="2:12" x14ac:dyDescent="0.25">
      <c r="B22" s="19" t="s">
        <v>211</v>
      </c>
      <c r="C22" s="20">
        <f>C21/Balance_Sheet!C74</f>
        <v>0.25874489944667189</v>
      </c>
      <c r="D22" s="20">
        <f>D21/Balance_Sheet!D74</f>
        <v>0.30264921884713558</v>
      </c>
      <c r="E22" s="20">
        <f>E21/Balance_Sheet!E74</f>
        <v>0.25733470772651457</v>
      </c>
      <c r="F22" s="20">
        <f>F21/Balance_Sheet!F74</f>
        <v>0.18783548062454694</v>
      </c>
      <c r="G22" s="20">
        <f>G21/Balance_Sheet!G74</f>
        <v>0.18925711447787513</v>
      </c>
      <c r="H22" s="28">
        <f>G22</f>
        <v>0.18925711447787513</v>
      </c>
      <c r="I22" s="28">
        <f t="shared" ref="I22:L22" si="15">H22</f>
        <v>0.18925711447787513</v>
      </c>
      <c r="J22" s="28">
        <f t="shared" si="15"/>
        <v>0.18925711447787513</v>
      </c>
      <c r="K22" s="28">
        <f t="shared" si="15"/>
        <v>0.18925711447787513</v>
      </c>
      <c r="L22" s="28">
        <f t="shared" si="15"/>
        <v>0.18925711447787513</v>
      </c>
    </row>
    <row r="23" spans="2:12" ht="18.75" x14ac:dyDescent="0.25">
      <c r="B23" s="8" t="s">
        <v>15</v>
      </c>
      <c r="C23" s="5">
        <v>2906</v>
      </c>
      <c r="D23" s="5">
        <v>2856</v>
      </c>
      <c r="E23" s="5">
        <v>1790</v>
      </c>
      <c r="F23" s="5">
        <v>2625</v>
      </c>
      <c r="G23" s="5">
        <v>1853</v>
      </c>
      <c r="H23" s="24">
        <f>H74*H24</f>
        <v>3838.1763196636948</v>
      </c>
      <c r="I23" s="24">
        <f t="shared" ref="I23:L23" si="16">I74*I24</f>
        <v>4354.2615189703683</v>
      </c>
      <c r="J23" s="24">
        <f t="shared" si="16"/>
        <v>5003.3695200212069</v>
      </c>
      <c r="K23" s="24">
        <f t="shared" si="16"/>
        <v>5999.545313908744</v>
      </c>
      <c r="L23" s="24">
        <f t="shared" si="16"/>
        <v>6947.161669394588</v>
      </c>
    </row>
    <row r="24" spans="2:12" x14ac:dyDescent="0.25">
      <c r="B24" s="17" t="s">
        <v>212</v>
      </c>
      <c r="C24" s="18">
        <f>C23/Balance_Sheet!C74</f>
        <v>3.5598217884123266E-3</v>
      </c>
      <c r="D24" s="18">
        <f>D23/Balance_Sheet!D74</f>
        <v>2.6854928899613787E-3</v>
      </c>
      <c r="E24" s="18">
        <f>E23/Balance_Sheet!E74</f>
        <v>1.3330703444766484E-3</v>
      </c>
      <c r="F24" s="18">
        <f>F23/Balance_Sheet!F74</f>
        <v>1.8908524404710593E-3</v>
      </c>
      <c r="G24" s="18">
        <f>G23/Balance_Sheet!G74</f>
        <v>1.1099684858236697E-3</v>
      </c>
      <c r="H24" s="25">
        <f>MEDIAN(C24:G24)</f>
        <v>1.8908524404710593E-3</v>
      </c>
      <c r="I24" s="25">
        <f t="shared" ref="I24:L24" si="17">H24</f>
        <v>1.8908524404710593E-3</v>
      </c>
      <c r="J24" s="25">
        <f t="shared" si="17"/>
        <v>1.8908524404710593E-3</v>
      </c>
      <c r="K24" s="25">
        <f t="shared" si="17"/>
        <v>1.8908524404710593E-3</v>
      </c>
      <c r="L24" s="25">
        <f t="shared" si="17"/>
        <v>1.8908524404710593E-3</v>
      </c>
    </row>
    <row r="25" spans="2:12" ht="18.75" x14ac:dyDescent="0.25">
      <c r="B25" s="8" t="s">
        <v>21</v>
      </c>
      <c r="C25" s="5">
        <v>1232</v>
      </c>
      <c r="D25" s="5">
        <v>1326</v>
      </c>
      <c r="E25" s="5">
        <v>1890</v>
      </c>
      <c r="F25" s="5">
        <v>2504</v>
      </c>
      <c r="G25" s="5">
        <v>1936</v>
      </c>
      <c r="H25" s="24">
        <f>H74*H26</f>
        <v>2857.1242258254656</v>
      </c>
      <c r="I25" s="24">
        <f t="shared" ref="I25:L25" si="18">I74*I26</f>
        <v>3241.2961352749667</v>
      </c>
      <c r="J25" s="24">
        <f t="shared" si="18"/>
        <v>3724.4897252823148</v>
      </c>
      <c r="K25" s="24">
        <f t="shared" si="18"/>
        <v>4466.0392938405366</v>
      </c>
      <c r="L25" s="24">
        <f t="shared" si="18"/>
        <v>5171.4413964422938</v>
      </c>
    </row>
    <row r="26" spans="2:12" x14ac:dyDescent="0.25">
      <c r="B26" s="17" t="s">
        <v>213</v>
      </c>
      <c r="C26" s="18">
        <f>C25/Balance_Sheet!C74</f>
        <v>1.5091880396847855E-3</v>
      </c>
      <c r="D26" s="18">
        <f>D25/Balance_Sheet!D74</f>
        <v>1.2468359846249258E-3</v>
      </c>
      <c r="E26" s="18">
        <f>E25/Balance_Sheet!E74</f>
        <v>1.4075435480786957E-3</v>
      </c>
      <c r="F26" s="18">
        <f>F25/Balance_Sheet!F74</f>
        <v>1.8036931470245838E-3</v>
      </c>
      <c r="G26" s="18">
        <f>G25/Balance_Sheet!G74</f>
        <v>1.1596864482215999E-3</v>
      </c>
      <c r="H26" s="25">
        <f>MEDIAN(C26:G26)</f>
        <v>1.4075435480786957E-3</v>
      </c>
      <c r="I26" s="25">
        <f t="shared" ref="I26:L26" si="19">H26</f>
        <v>1.4075435480786957E-3</v>
      </c>
      <c r="J26" s="25">
        <f t="shared" si="19"/>
        <v>1.4075435480786957E-3</v>
      </c>
      <c r="K26" s="25">
        <f t="shared" si="19"/>
        <v>1.4075435480786957E-3</v>
      </c>
      <c r="L26" s="25">
        <f t="shared" si="19"/>
        <v>1.4075435480786957E-3</v>
      </c>
    </row>
    <row r="27" spans="2:12" ht="18.75" x14ac:dyDescent="0.25">
      <c r="B27" s="8" t="s">
        <v>14</v>
      </c>
      <c r="C27" s="5">
        <v>28752</v>
      </c>
      <c r="D27" s="5">
        <v>29407</v>
      </c>
      <c r="E27" s="5">
        <v>38108</v>
      </c>
      <c r="F27" s="5">
        <v>40903</v>
      </c>
      <c r="G27" s="5">
        <v>62823</v>
      </c>
      <c r="H27" s="24">
        <f>ROUND(H74*H28,2)</f>
        <v>76387.3</v>
      </c>
      <c r="I27" s="24">
        <f t="shared" ref="I27:L27" si="20">ROUND(I74*I28,2)</f>
        <v>86658.42</v>
      </c>
      <c r="J27" s="24">
        <f t="shared" si="20"/>
        <v>99576.95</v>
      </c>
      <c r="K27" s="24">
        <f t="shared" si="20"/>
        <v>119402.82</v>
      </c>
      <c r="L27" s="24">
        <f t="shared" si="20"/>
        <v>138262.26999999999</v>
      </c>
    </row>
    <row r="28" spans="2:12" x14ac:dyDescent="0.25">
      <c r="B28" s="17" t="s">
        <v>214</v>
      </c>
      <c r="C28" s="18">
        <f>C27/Balance_Sheet!C74</f>
        <v>3.5220920874202075E-2</v>
      </c>
      <c r="D28" s="18">
        <f>D27/Balance_Sheet!D74</f>
        <v>2.7651361840019002E-2</v>
      </c>
      <c r="E28" s="18">
        <f>E27/Balance_Sheet!E74</f>
        <v>2.8380248428668223E-2</v>
      </c>
      <c r="F28" s="18">
        <f>F27/Balance_Sheet!F74</f>
        <v>2.9463442808604853E-2</v>
      </c>
      <c r="G28" s="18">
        <f>G27/Balance_Sheet!G74</f>
        <v>3.7631705442471887E-2</v>
      </c>
      <c r="H28" s="25">
        <f>G28</f>
        <v>3.7631705442471887E-2</v>
      </c>
      <c r="I28" s="25">
        <f t="shared" ref="I28:L28" si="21">H28</f>
        <v>3.7631705442471887E-2</v>
      </c>
      <c r="J28" s="25">
        <f t="shared" si="21"/>
        <v>3.7631705442471887E-2</v>
      </c>
      <c r="K28" s="25">
        <f t="shared" si="21"/>
        <v>3.7631705442471887E-2</v>
      </c>
      <c r="L28" s="25">
        <f t="shared" si="21"/>
        <v>3.7631705442471887E-2</v>
      </c>
    </row>
    <row r="29" spans="2:12" ht="18.75" x14ac:dyDescent="0.25">
      <c r="B29" s="8" t="s">
        <v>19</v>
      </c>
      <c r="C29" s="5">
        <v>106861</v>
      </c>
      <c r="D29" s="5">
        <v>108309</v>
      </c>
      <c r="E29" s="5">
        <v>96799</v>
      </c>
      <c r="F29" s="5">
        <v>108897</v>
      </c>
      <c r="G29" s="5">
        <v>159330</v>
      </c>
      <c r="H29" s="24">
        <f>H74*H30</f>
        <v>193731.42303239007</v>
      </c>
      <c r="I29" s="24">
        <f t="shared" ref="I29:L29" si="22">I74*I30</f>
        <v>219780.75264640767</v>
      </c>
      <c r="J29" s="24">
        <f t="shared" si="22"/>
        <v>252544.3899240999</v>
      </c>
      <c r="K29" s="24">
        <f t="shared" si="22"/>
        <v>302826.22641804285</v>
      </c>
      <c r="L29" s="24">
        <f t="shared" si="22"/>
        <v>350657.03192234167</v>
      </c>
    </row>
    <row r="30" spans="2:12" x14ac:dyDescent="0.25">
      <c r="B30" s="17" t="s">
        <v>215</v>
      </c>
      <c r="C30" s="18">
        <f>C29/Balance_Sheet!C74</f>
        <v>0.13090368758827586</v>
      </c>
      <c r="D30" s="18">
        <f>D29/Balance_Sheet!D74</f>
        <v>0.10184280441835679</v>
      </c>
      <c r="E30" s="18">
        <f>E29/Balance_Sheet!E74</f>
        <v>7.2089316354745858E-2</v>
      </c>
      <c r="F30" s="18">
        <f>F29/Balance_Sheet!F74</f>
        <v>7.8441203127610257E-2</v>
      </c>
      <c r="G30" s="18">
        <f>G29/Balance_Sheet!G74</f>
        <v>9.5440517456171242E-2</v>
      </c>
      <c r="H30" s="25">
        <f>MEDIAN(C30:G30)</f>
        <v>9.5440517456171242E-2</v>
      </c>
      <c r="I30" s="25">
        <f t="shared" ref="I30:L30" si="23">H30</f>
        <v>9.5440517456171242E-2</v>
      </c>
      <c r="J30" s="25">
        <f t="shared" si="23"/>
        <v>9.5440517456171242E-2</v>
      </c>
      <c r="K30" s="25">
        <f t="shared" si="23"/>
        <v>9.5440517456171242E-2</v>
      </c>
      <c r="L30" s="25">
        <f t="shared" si="23"/>
        <v>9.5440517456171242E-2</v>
      </c>
    </row>
    <row r="31" spans="2:12" ht="18.75" x14ac:dyDescent="0.25">
      <c r="B31" s="8" t="s">
        <v>20</v>
      </c>
      <c r="C31" s="5">
        <v>168330</v>
      </c>
      <c r="D31" s="5">
        <v>143251</v>
      </c>
      <c r="E31" s="5">
        <v>220440</v>
      </c>
      <c r="F31" s="5">
        <v>106086</v>
      </c>
      <c r="G31" s="5">
        <v>68790</v>
      </c>
      <c r="H31" s="24">
        <f>H74*H32</f>
        <v>273420.29614923178</v>
      </c>
      <c r="I31" s="24">
        <f t="shared" ref="I31:L31" si="24">I74*I32</f>
        <v>310184.6749271797</v>
      </c>
      <c r="J31" s="24">
        <f t="shared" si="24"/>
        <v>356425.20352689415</v>
      </c>
      <c r="K31" s="24">
        <f t="shared" si="24"/>
        <v>427389.8122099294</v>
      </c>
      <c r="L31" s="24">
        <f t="shared" si="24"/>
        <v>494895.19053905673</v>
      </c>
    </row>
    <row r="32" spans="2:12" x14ac:dyDescent="0.25">
      <c r="B32" s="17" t="s">
        <v>216</v>
      </c>
      <c r="C32" s="18">
        <f>C31/Balance_Sheet!C74</f>
        <v>0.20620261584426944</v>
      </c>
      <c r="D32" s="18">
        <f>D31/Balance_Sheet!D74</f>
        <v>0.13469871918062237</v>
      </c>
      <c r="E32" s="18">
        <f>E31/Balance_Sheet!E74</f>
        <v>0.16416873002035329</v>
      </c>
      <c r="F32" s="18">
        <f>F31/Balance_Sheet!F74</f>
        <v>7.6416370285642965E-2</v>
      </c>
      <c r="G32" s="18">
        <f>G31/Balance_Sheet!G74</f>
        <v>4.1206007630766456E-2</v>
      </c>
      <c r="H32" s="25">
        <f>MEDIAN(C32:G32)</f>
        <v>0.13469871918062237</v>
      </c>
      <c r="I32" s="25">
        <f t="shared" ref="I32:L32" si="25">H32</f>
        <v>0.13469871918062237</v>
      </c>
      <c r="J32" s="25">
        <f t="shared" si="25"/>
        <v>0.13469871918062237</v>
      </c>
      <c r="K32" s="25">
        <f t="shared" si="25"/>
        <v>0.13469871918062237</v>
      </c>
      <c r="L32" s="25">
        <f t="shared" si="25"/>
        <v>0.13469871918062237</v>
      </c>
    </row>
    <row r="33" spans="2:12" ht="18.75" x14ac:dyDescent="0.25">
      <c r="B33" s="9" t="s">
        <v>22</v>
      </c>
      <c r="C33" s="7">
        <f>C23+C25+C27+C29+C31</f>
        <v>308081</v>
      </c>
      <c r="D33" s="7">
        <f t="shared" ref="D33:L33" si="26">D23+D25+D27+D29+D31</f>
        <v>285149</v>
      </c>
      <c r="E33" s="7">
        <f t="shared" si="26"/>
        <v>359027</v>
      </c>
      <c r="F33" s="7">
        <f t="shared" si="26"/>
        <v>261015</v>
      </c>
      <c r="G33" s="7">
        <f t="shared" si="26"/>
        <v>294732</v>
      </c>
      <c r="H33" s="27">
        <f t="shared" si="26"/>
        <v>550234.31972711103</v>
      </c>
      <c r="I33" s="27">
        <f t="shared" si="26"/>
        <v>624219.40522783273</v>
      </c>
      <c r="J33" s="27">
        <f t="shared" si="26"/>
        <v>717274.4026962975</v>
      </c>
      <c r="K33" s="27">
        <f t="shared" si="26"/>
        <v>860084.44323572144</v>
      </c>
      <c r="L33" s="27">
        <f t="shared" si="26"/>
        <v>995933.09552723519</v>
      </c>
    </row>
    <row r="34" spans="2:12" x14ac:dyDescent="0.25">
      <c r="B34" s="19" t="s">
        <v>217</v>
      </c>
      <c r="C34" s="20">
        <f>C33/Balance_Sheet!C74</f>
        <v>0.37739623413484447</v>
      </c>
      <c r="D34" s="20">
        <f>D33/Balance_Sheet!D74</f>
        <v>0.26812521431358449</v>
      </c>
      <c r="E34" s="20">
        <f>E33/Balance_Sheet!E74</f>
        <v>0.26737890869632269</v>
      </c>
      <c r="F34" s="20">
        <f>F33/Balance_Sheet!F74</f>
        <v>0.18801556180935372</v>
      </c>
      <c r="G34" s="20">
        <f>G33/Balance_Sheet!G74</f>
        <v>0.17654788546345485</v>
      </c>
      <c r="H34" s="28">
        <f>H33/Balance_Sheet!H74</f>
        <v>0.27106933596476962</v>
      </c>
      <c r="I34" s="28">
        <f>I33/Balance_Sheet!I74</f>
        <v>0.2710693376183666</v>
      </c>
      <c r="J34" s="28">
        <f>J33/Balance_Sheet!J74</f>
        <v>0.27106933625401447</v>
      </c>
      <c r="K34" s="28">
        <f>K33/Balance_Sheet!K74</f>
        <v>0.27106933666010025</v>
      </c>
      <c r="L34" s="28">
        <f>L33/Balance_Sheet!L74</f>
        <v>0.2710693393706034</v>
      </c>
    </row>
    <row r="35" spans="2:12" ht="18.75" x14ac:dyDescent="0.25">
      <c r="B35" s="8" t="s">
        <v>10</v>
      </c>
      <c r="C35" s="5">
        <v>3539</v>
      </c>
      <c r="D35" s="5">
        <v>8280</v>
      </c>
      <c r="E35" s="5">
        <v>12181</v>
      </c>
      <c r="F35" s="5">
        <v>99260</v>
      </c>
      <c r="G35" s="5">
        <v>109499</v>
      </c>
      <c r="H35" s="24">
        <f>H74*H36</f>
        <v>18414.090050148145</v>
      </c>
      <c r="I35" s="24">
        <f t="shared" ref="I35:L35" si="27">I74*I36</f>
        <v>20890.067843272154</v>
      </c>
      <c r="J35" s="24">
        <f t="shared" si="27"/>
        <v>24004.237747970303</v>
      </c>
      <c r="K35" s="24">
        <f t="shared" si="27"/>
        <v>28783.505099614591</v>
      </c>
      <c r="L35" s="24">
        <f t="shared" si="27"/>
        <v>33329.802989451629</v>
      </c>
    </row>
    <row r="36" spans="2:12" x14ac:dyDescent="0.25">
      <c r="B36" s="17" t="s">
        <v>218</v>
      </c>
      <c r="C36" s="18">
        <f>C35/Balance_Sheet!C74</f>
        <v>4.3352406432179023E-3</v>
      </c>
      <c r="D36" s="18">
        <f>D35/Balance_Sheet!D74</f>
        <v>7.7856726641737459E-3</v>
      </c>
      <c r="E36" s="18">
        <f>E35/Balance_Sheet!E74</f>
        <v>9.0715809307653928E-3</v>
      </c>
      <c r="F36" s="18">
        <f>F35/Balance_Sheet!F74</f>
        <v>7.1499433615678981E-2</v>
      </c>
      <c r="G36" s="18">
        <f>G35/Balance_Sheet!G74</f>
        <v>6.5591170657963313E-2</v>
      </c>
      <c r="H36" s="25">
        <f>MEDIAN(C36:G36)</f>
        <v>9.0715809307653928E-3</v>
      </c>
      <c r="I36" s="25">
        <f t="shared" ref="I36:L36" si="28">H36</f>
        <v>9.0715809307653928E-3</v>
      </c>
      <c r="J36" s="25">
        <f t="shared" si="28"/>
        <v>9.0715809307653928E-3</v>
      </c>
      <c r="K36" s="25">
        <f t="shared" si="28"/>
        <v>9.0715809307653928E-3</v>
      </c>
      <c r="L36" s="25">
        <f t="shared" si="28"/>
        <v>9.0715809307653928E-3</v>
      </c>
    </row>
    <row r="37" spans="2:12" ht="18.75" x14ac:dyDescent="0.25">
      <c r="B37" s="9" t="s">
        <v>124</v>
      </c>
      <c r="C37" s="7">
        <f>C13+C21+C33+C35</f>
        <v>816333</v>
      </c>
      <c r="D37" s="7">
        <f t="shared" ref="D37:L37" si="29">D13+D21+D33+D35</f>
        <v>1063491.923838634</v>
      </c>
      <c r="E37" s="7">
        <f t="shared" si="29"/>
        <v>1342764.8491443549</v>
      </c>
      <c r="F37" s="7">
        <f t="shared" si="29"/>
        <v>1388262.7453182153</v>
      </c>
      <c r="G37" s="7">
        <f t="shared" si="29"/>
        <v>1669416.7660309309</v>
      </c>
      <c r="H37" s="27">
        <f t="shared" si="29"/>
        <v>2029865.5979244516</v>
      </c>
      <c r="I37" s="27">
        <f t="shared" si="29"/>
        <v>2302803.4476797208</v>
      </c>
      <c r="J37" s="27">
        <f t="shared" si="29"/>
        <v>2646092.0021737609</v>
      </c>
      <c r="K37" s="27">
        <f t="shared" si="29"/>
        <v>3172931.5231039948</v>
      </c>
      <c r="L37" s="27">
        <f t="shared" si="29"/>
        <v>3674089.802408841</v>
      </c>
    </row>
    <row r="38" spans="2:12" x14ac:dyDescent="0.25">
      <c r="B38" s="19" t="s">
        <v>219</v>
      </c>
      <c r="C38" s="20">
        <f>C37/Balance_Sheet!C74</f>
        <v>1</v>
      </c>
      <c r="D38" s="20">
        <f>D37/Balance_Sheet!D74</f>
        <v>1</v>
      </c>
      <c r="E38" s="20">
        <f>E37/Balance_Sheet!E74</f>
        <v>1</v>
      </c>
      <c r="F38" s="20">
        <f>F37/Balance_Sheet!F74</f>
        <v>1</v>
      </c>
      <c r="G38" s="20">
        <f>G37/Balance_Sheet!G74</f>
        <v>1</v>
      </c>
      <c r="H38" s="28">
        <f>H37/Balance_Sheet!H74</f>
        <v>1.0000000000000002</v>
      </c>
      <c r="I38" s="28">
        <f>I37/Balance_Sheet!I74</f>
        <v>1.0000000000000002</v>
      </c>
      <c r="J38" s="28">
        <f>J37/Balance_Sheet!J74</f>
        <v>1.0000000000000002</v>
      </c>
      <c r="K38" s="28">
        <f>K37/Balance_Sheet!K74</f>
        <v>1</v>
      </c>
      <c r="L38" s="28">
        <f>L37/Balance_Sheet!L74</f>
        <v>1.0000000000000002</v>
      </c>
    </row>
    <row r="39" spans="2:12" ht="18.75" x14ac:dyDescent="0.25">
      <c r="B39" s="8"/>
      <c r="C39" s="5"/>
      <c r="D39" s="4"/>
      <c r="E39" s="4"/>
      <c r="F39" s="4"/>
      <c r="G39" s="4"/>
      <c r="H39" s="26"/>
      <c r="I39" s="26"/>
      <c r="J39" s="26"/>
      <c r="K39" s="26"/>
      <c r="L39" s="26"/>
    </row>
    <row r="40" spans="2:12" ht="18.75" x14ac:dyDescent="0.25">
      <c r="B40" s="8" t="s">
        <v>26</v>
      </c>
      <c r="C40" s="5">
        <v>316031</v>
      </c>
      <c r="D40" s="5">
        <v>302115</v>
      </c>
      <c r="E40" s="5">
        <v>435920</v>
      </c>
      <c r="F40" s="5">
        <v>451066</v>
      </c>
      <c r="G40" s="5">
        <v>787295</v>
      </c>
      <c r="H40" s="24">
        <f>ROUND(H74*H41,2)</f>
        <v>957282.25</v>
      </c>
      <c r="I40" s="24">
        <f t="shared" ref="I40:L40" si="30">ROUND(I74*I41,2)</f>
        <v>1085999.42</v>
      </c>
      <c r="J40" s="24">
        <f t="shared" si="30"/>
        <v>1247893.8999999999</v>
      </c>
      <c r="K40" s="24">
        <f t="shared" si="30"/>
        <v>1496350.81</v>
      </c>
      <c r="L40" s="24">
        <f t="shared" si="30"/>
        <v>1732696.47</v>
      </c>
    </row>
    <row r="41" spans="2:12" x14ac:dyDescent="0.25">
      <c r="B41" s="17" t="s">
        <v>220</v>
      </c>
      <c r="C41" s="18">
        <f>C40/Balance_Sheet!C74</f>
        <v>0.38713490695586239</v>
      </c>
      <c r="D41" s="18">
        <f>D40/Balance_Sheet!D74</f>
        <v>0.28407832088609314</v>
      </c>
      <c r="E41" s="18">
        <f>E40/Balance_Sheet!E74</f>
        <v>0.324643589142045</v>
      </c>
      <c r="F41" s="18">
        <f>F40/Balance_Sheet!F74</f>
        <v>0.32491399882419764</v>
      </c>
      <c r="G41" s="18">
        <f>G40/Balance_Sheet!G74</f>
        <v>0.4715988338081738</v>
      </c>
      <c r="H41" s="25">
        <f>G41</f>
        <v>0.4715988338081738</v>
      </c>
      <c r="I41" s="25">
        <f t="shared" ref="I41:L41" si="31">H41</f>
        <v>0.4715988338081738</v>
      </c>
      <c r="J41" s="25">
        <f t="shared" si="31"/>
        <v>0.4715988338081738</v>
      </c>
      <c r="K41" s="25">
        <f t="shared" si="31"/>
        <v>0.4715988338081738</v>
      </c>
      <c r="L41" s="25">
        <f t="shared" si="31"/>
        <v>0.4715988338081738</v>
      </c>
    </row>
    <row r="42" spans="2:12" ht="18.75" x14ac:dyDescent="0.25">
      <c r="B42" s="8" t="s">
        <v>27</v>
      </c>
      <c r="C42" s="4">
        <v>82041</v>
      </c>
      <c r="D42" s="5">
        <v>84262</v>
      </c>
      <c r="E42" s="5">
        <v>86479</v>
      </c>
      <c r="F42" s="5">
        <v>79980</v>
      </c>
      <c r="G42" s="5">
        <v>0</v>
      </c>
      <c r="H42" s="24">
        <f>ROUND(H74*H43,2)</f>
        <v>0</v>
      </c>
      <c r="I42" s="24">
        <f t="shared" ref="I42:L42" si="32">ROUND(I74*I43,2)</f>
        <v>0</v>
      </c>
      <c r="J42" s="24">
        <f t="shared" si="32"/>
        <v>0</v>
      </c>
      <c r="K42" s="24">
        <f t="shared" si="32"/>
        <v>0</v>
      </c>
      <c r="L42" s="24">
        <f t="shared" si="32"/>
        <v>0</v>
      </c>
    </row>
    <row r="43" spans="2:12" x14ac:dyDescent="0.25">
      <c r="B43" s="17" t="s">
        <v>221</v>
      </c>
      <c r="C43" s="18">
        <f>C42/Balance_Sheet!C74</f>
        <v>0.1004994285420288</v>
      </c>
      <c r="D43" s="18">
        <f>D42/Balance_Sheet!D74</f>
        <v>7.9231443240170063E-2</v>
      </c>
      <c r="E43" s="18">
        <f>E42/Balance_Sheet!E74</f>
        <v>6.4403681743014571E-2</v>
      </c>
      <c r="F43" s="18">
        <f>F42/Balance_Sheet!F74</f>
        <v>5.761157264338107E-2</v>
      </c>
      <c r="G43" s="18">
        <f>G42/Balance_Sheet!G74</f>
        <v>0</v>
      </c>
      <c r="H43" s="25">
        <f>G43</f>
        <v>0</v>
      </c>
      <c r="I43" s="25">
        <f t="shared" ref="I43:L43" si="33">H43</f>
        <v>0</v>
      </c>
      <c r="J43" s="25">
        <f t="shared" si="33"/>
        <v>0</v>
      </c>
      <c r="K43" s="25">
        <f t="shared" si="33"/>
        <v>0</v>
      </c>
      <c r="L43" s="25">
        <f t="shared" si="33"/>
        <v>0</v>
      </c>
    </row>
    <row r="44" spans="2:12" ht="18.75" x14ac:dyDescent="0.25">
      <c r="B44" s="8" t="s">
        <v>125</v>
      </c>
      <c r="C44" s="4"/>
      <c r="D44" s="5">
        <f>Income_Statement!D31</f>
        <v>20934</v>
      </c>
      <c r="E44" s="5">
        <f>Income_Statement!E31+D44</f>
        <v>43137</v>
      </c>
      <c r="F44" s="5">
        <f>Income_Statement!F31+E44</f>
        <v>69709</v>
      </c>
      <c r="G44" s="5">
        <f>Income_Statement!G31+F44</f>
        <v>99506</v>
      </c>
      <c r="H44" s="24">
        <f>Income_Statement!H31+G44</f>
        <v>150109.76124019478</v>
      </c>
      <c r="I44" s="24">
        <f>Income_Statement!I31+H44</f>
        <v>207517.7570080783</v>
      </c>
      <c r="J44" s="24">
        <f>Income_Statement!J31+I44</f>
        <v>273483.8030396385</v>
      </c>
      <c r="K44" s="24">
        <f>Income_Statement!K31+J44</f>
        <v>352583.75409462996</v>
      </c>
      <c r="L44" s="24">
        <f>Income_Statement!L31+K44</f>
        <v>444177.38645291125</v>
      </c>
    </row>
    <row r="45" spans="2:12" x14ac:dyDescent="0.25">
      <c r="B45" s="17" t="s">
        <v>222</v>
      </c>
      <c r="C45" s="18">
        <f>C44/Balance_Sheet!C74</f>
        <v>0</v>
      </c>
      <c r="D45" s="18">
        <f>D44/Balance_Sheet!D74</f>
        <v>1.9684211540074055E-2</v>
      </c>
      <c r="E45" s="18">
        <f>E44/Balance_Sheet!E74</f>
        <v>3.2125505837815184E-2</v>
      </c>
      <c r="F45" s="18">
        <f>F44/Balance_Sheet!F74</f>
        <v>5.0213117246779834E-2</v>
      </c>
      <c r="G45" s="18">
        <f>G44/Balance_Sheet!G74</f>
        <v>5.960524778757155E-2</v>
      </c>
      <c r="H45" s="25">
        <f>H44/Balance_Sheet!H74</f>
        <v>7.3950591306972652E-2</v>
      </c>
      <c r="I45" s="25">
        <f>I44/Balance_Sheet!I74</f>
        <v>9.0115271113203749E-2</v>
      </c>
      <c r="J45" s="25">
        <f>J44/Balance_Sheet!J74</f>
        <v>0.10335385270616894</v>
      </c>
      <c r="K45" s="25">
        <f>K44/Balance_Sheet!K74</f>
        <v>0.1111223962847161</v>
      </c>
      <c r="L45" s="25">
        <f>L44/Balance_Sheet!L74</f>
        <v>0.12089453724339987</v>
      </c>
    </row>
    <row r="46" spans="2:12" ht="18.75" x14ac:dyDescent="0.25">
      <c r="B46" s="9" t="s">
        <v>126</v>
      </c>
      <c r="C46" s="7">
        <f>C40+C42-C44</f>
        <v>398072</v>
      </c>
      <c r="D46" s="7">
        <f t="shared" ref="D46:L46" si="34">D40+D42-D44</f>
        <v>365443</v>
      </c>
      <c r="E46" s="7">
        <f t="shared" si="34"/>
        <v>479262</v>
      </c>
      <c r="F46" s="7">
        <f t="shared" si="34"/>
        <v>461337</v>
      </c>
      <c r="G46" s="7">
        <f t="shared" si="34"/>
        <v>687789</v>
      </c>
      <c r="H46" s="27">
        <f t="shared" si="34"/>
        <v>807172.48875980522</v>
      </c>
      <c r="I46" s="27">
        <f t="shared" si="34"/>
        <v>878481.66299192165</v>
      </c>
      <c r="J46" s="27">
        <f t="shared" si="34"/>
        <v>974410.09696036135</v>
      </c>
      <c r="K46" s="27">
        <f t="shared" si="34"/>
        <v>1143767.05590537</v>
      </c>
      <c r="L46" s="27">
        <f t="shared" si="34"/>
        <v>1288519.0835470888</v>
      </c>
    </row>
    <row r="47" spans="2:12" x14ac:dyDescent="0.25">
      <c r="B47" s="19" t="s">
        <v>223</v>
      </c>
      <c r="C47" s="20">
        <f>C46/Balance_Sheet!C74</f>
        <v>0.4876343354978912</v>
      </c>
      <c r="D47" s="20">
        <f>D46/Balance_Sheet!D74</f>
        <v>0.34362555258618915</v>
      </c>
      <c r="E47" s="20">
        <f>E46/Balance_Sheet!E74</f>
        <v>0.35692176504724438</v>
      </c>
      <c r="F47" s="20">
        <f>F46/Balance_Sheet!F74</f>
        <v>0.33231245422079886</v>
      </c>
      <c r="G47" s="20">
        <f>G46/Balance_Sheet!G74</f>
        <v>0.41199358602060226</v>
      </c>
      <c r="H47" s="28">
        <f>H46/Balance_Sheet!H74</f>
        <v>0.39764824310789026</v>
      </c>
      <c r="I47" s="28">
        <f>I46/Balance_Sheet!I74</f>
        <v>0.38148356251466892</v>
      </c>
      <c r="J47" s="28">
        <f>J46/Balance_Sheet!J74</f>
        <v>0.36824498020472646</v>
      </c>
      <c r="K47" s="28">
        <f>K46/Balance_Sheet!K74</f>
        <v>0.36047643876866686</v>
      </c>
      <c r="L47" s="28">
        <f>L46/Balance_Sheet!L74</f>
        <v>0.35070429762013383</v>
      </c>
    </row>
    <row r="48" spans="2:12" ht="18.75" x14ac:dyDescent="0.25">
      <c r="B48" s="8" t="s">
        <v>30</v>
      </c>
      <c r="C48" s="5">
        <v>25259</v>
      </c>
      <c r="D48" s="5">
        <v>164612</v>
      </c>
      <c r="E48" s="5">
        <v>203852</v>
      </c>
      <c r="F48" s="5">
        <v>212382</v>
      </c>
      <c r="G48" s="5">
        <v>286146</v>
      </c>
      <c r="H48" s="24">
        <f>H74*H49</f>
        <v>310536.97642773896</v>
      </c>
      <c r="I48" s="24">
        <f t="shared" ref="I48:L48" si="35">I74*I49</f>
        <v>352292.10282741516</v>
      </c>
      <c r="J48" s="24">
        <f t="shared" si="35"/>
        <v>404809.7620575786</v>
      </c>
      <c r="K48" s="24">
        <f t="shared" si="35"/>
        <v>485407.7839461207</v>
      </c>
      <c r="L48" s="24">
        <f t="shared" si="35"/>
        <v>562076.98654070916</v>
      </c>
    </row>
    <row r="49" spans="2:12" x14ac:dyDescent="0.25">
      <c r="B49" s="17" t="s">
        <v>224</v>
      </c>
      <c r="C49" s="18">
        <f>C48/Balance_Sheet!C74</f>
        <v>3.094202978441396E-2</v>
      </c>
      <c r="D49" s="18">
        <f>D48/Balance_Sheet!D74</f>
        <v>0.15478443823610732</v>
      </c>
      <c r="E49" s="18">
        <f>E48/Balance_Sheet!E74</f>
        <v>0.15181511500684566</v>
      </c>
      <c r="F49" s="18">
        <f>F48/Balance_Sheet!F74</f>
        <v>0.15298400876652363</v>
      </c>
      <c r="G49" s="18">
        <f>G48/Balance_Sheet!G74</f>
        <v>0.1714047719074473</v>
      </c>
      <c r="H49" s="25">
        <f>MEDIAN(C49:G49)</f>
        <v>0.15298400876652363</v>
      </c>
      <c r="I49" s="25">
        <f t="shared" ref="I49:L49" si="36">H49</f>
        <v>0.15298400876652363</v>
      </c>
      <c r="J49" s="25">
        <f t="shared" si="36"/>
        <v>0.15298400876652363</v>
      </c>
      <c r="K49" s="25">
        <f t="shared" si="36"/>
        <v>0.15298400876652363</v>
      </c>
      <c r="L49" s="25">
        <f t="shared" si="36"/>
        <v>0.15298400876652363</v>
      </c>
    </row>
    <row r="50" spans="2:12" ht="18.75" x14ac:dyDescent="0.25">
      <c r="B50" s="8" t="s">
        <v>36</v>
      </c>
      <c r="C50" s="5">
        <v>57603</v>
      </c>
      <c r="D50" s="5">
        <v>71023</v>
      </c>
      <c r="E50" s="5">
        <v>72915</v>
      </c>
      <c r="F50" s="5">
        <v>152446</v>
      </c>
      <c r="G50" s="5">
        <v>108118</v>
      </c>
      <c r="H50" s="24">
        <f>H74*H51</f>
        <v>135560.16846937814</v>
      </c>
      <c r="I50" s="24">
        <f t="shared" ref="I50:L50" si="37">I74*I51</f>
        <v>153787.73039876219</v>
      </c>
      <c r="J50" s="24">
        <f t="shared" si="37"/>
        <v>176713.51145954026</v>
      </c>
      <c r="K50" s="24">
        <f t="shared" si="37"/>
        <v>211897.34544670413</v>
      </c>
      <c r="L50" s="24">
        <f t="shared" si="37"/>
        <v>245366.1134488096</v>
      </c>
    </row>
    <row r="51" spans="2:12" x14ac:dyDescent="0.25">
      <c r="B51" s="17" t="s">
        <v>225</v>
      </c>
      <c r="C51" s="18">
        <f>C50/Balance_Sheet!C74</f>
        <v>7.0563115787307382E-2</v>
      </c>
      <c r="D51" s="18">
        <f>D50/Balance_Sheet!D74</f>
        <v>6.6782829665170518E-2</v>
      </c>
      <c r="E51" s="18">
        <f>E50/Balance_Sheet!E74</f>
        <v>5.430213640643286E-2</v>
      </c>
      <c r="F51" s="18">
        <f>F50/Balance_Sheet!F74</f>
        <v>0.10981062519620995</v>
      </c>
      <c r="G51" s="18">
        <f>G50/Balance_Sheet!G74</f>
        <v>6.4763935645053172E-2</v>
      </c>
      <c r="H51" s="25">
        <f>MEDIAN(C51:G51)</f>
        <v>6.6782829665170518E-2</v>
      </c>
      <c r="I51" s="25">
        <f t="shared" ref="I51:L51" si="38">H51</f>
        <v>6.6782829665170518E-2</v>
      </c>
      <c r="J51" s="25">
        <f t="shared" si="38"/>
        <v>6.6782829665170518E-2</v>
      </c>
      <c r="K51" s="25">
        <f t="shared" si="38"/>
        <v>6.6782829665170518E-2</v>
      </c>
      <c r="L51" s="25">
        <f t="shared" si="38"/>
        <v>6.6782829665170518E-2</v>
      </c>
    </row>
    <row r="52" spans="2:12" ht="18.75" x14ac:dyDescent="0.25">
      <c r="B52" s="8" t="s">
        <v>28</v>
      </c>
      <c r="C52" s="4">
        <v>192820</v>
      </c>
      <c r="D52" s="5">
        <v>150178</v>
      </c>
      <c r="E52" s="5">
        <v>59096</v>
      </c>
      <c r="F52" s="5">
        <v>71171</v>
      </c>
      <c r="G52" s="5">
        <v>0</v>
      </c>
      <c r="H52" s="24">
        <f>H74*H53</f>
        <v>104063.56070353706</v>
      </c>
      <c r="I52" s="24">
        <f t="shared" ref="I52:L52" si="39">I74*I53</f>
        <v>118056.0558349105</v>
      </c>
      <c r="J52" s="24">
        <f t="shared" si="39"/>
        <v>135655.16651787781</v>
      </c>
      <c r="K52" s="24">
        <f t="shared" si="39"/>
        <v>162664.24363283778</v>
      </c>
      <c r="L52" s="24">
        <f t="shared" si="39"/>
        <v>188356.74025618369</v>
      </c>
    </row>
    <row r="53" spans="2:12" x14ac:dyDescent="0.25">
      <c r="B53" s="17" t="s">
        <v>226</v>
      </c>
      <c r="C53" s="18">
        <f>C52/Balance_Sheet!C74</f>
        <v>0.23620262809417236</v>
      </c>
      <c r="D53" s="18">
        <f>D52/Balance_Sheet!D74</f>
        <v>0.14121216779713583</v>
      </c>
      <c r="E53" s="18">
        <f>E52/Balance_Sheet!E74</f>
        <v>4.4010684400665925E-2</v>
      </c>
      <c r="F53" s="18">
        <f>F52/Balance_Sheet!F74</f>
        <v>5.1266232015529808E-2</v>
      </c>
      <c r="G53" s="18">
        <f>G52/Balance_Sheet!G74</f>
        <v>0</v>
      </c>
      <c r="H53" s="25">
        <f>MEDIAN(C53:G53)</f>
        <v>5.1266232015529808E-2</v>
      </c>
      <c r="I53" s="25">
        <f t="shared" ref="I53:L53" si="40">H53</f>
        <v>5.1266232015529808E-2</v>
      </c>
      <c r="J53" s="25">
        <f t="shared" si="40"/>
        <v>5.1266232015529808E-2</v>
      </c>
      <c r="K53" s="25">
        <f t="shared" si="40"/>
        <v>5.1266232015529808E-2</v>
      </c>
      <c r="L53" s="25">
        <f t="shared" si="40"/>
        <v>5.1266232015529808E-2</v>
      </c>
    </row>
    <row r="54" spans="2:12" ht="18.75" x14ac:dyDescent="0.25">
      <c r="B54" s="9" t="s">
        <v>127</v>
      </c>
      <c r="C54" s="7">
        <f>C46+C48+C50+C52</f>
        <v>673754</v>
      </c>
      <c r="D54" s="7">
        <f t="shared" ref="D54:L54" si="41">D46+D48+D50+D52</f>
        <v>751256</v>
      </c>
      <c r="E54" s="7">
        <f t="shared" si="41"/>
        <v>815125</v>
      </c>
      <c r="F54" s="7">
        <f t="shared" si="41"/>
        <v>897336</v>
      </c>
      <c r="G54" s="7">
        <f t="shared" si="41"/>
        <v>1082053</v>
      </c>
      <c r="H54" s="27">
        <f t="shared" si="41"/>
        <v>1357333.1943604592</v>
      </c>
      <c r="I54" s="27">
        <f t="shared" si="41"/>
        <v>1502617.5520530096</v>
      </c>
      <c r="J54" s="27">
        <f t="shared" si="41"/>
        <v>1691588.5369953581</v>
      </c>
      <c r="K54" s="27">
        <f t="shared" si="41"/>
        <v>2003736.4289310328</v>
      </c>
      <c r="L54" s="27">
        <f t="shared" si="41"/>
        <v>2284318.9237927911</v>
      </c>
    </row>
    <row r="55" spans="2:12" x14ac:dyDescent="0.25">
      <c r="B55" s="19" t="s">
        <v>227</v>
      </c>
      <c r="C55" s="20">
        <f>C54/Balance_Sheet!C74</f>
        <v>0.82534210916378492</v>
      </c>
      <c r="D55" s="20">
        <f>D54/Balance_Sheet!D74</f>
        <v>0.70640498828460285</v>
      </c>
      <c r="E55" s="20">
        <f>E54/Balance_Sheet!E74</f>
        <v>0.60704970086118881</v>
      </c>
      <c r="F55" s="20">
        <f>F54/Balance_Sheet!F74</f>
        <v>0.64637332019906224</v>
      </c>
      <c r="G55" s="20">
        <f>G54/Balance_Sheet!G74</f>
        <v>0.64816229357310273</v>
      </c>
      <c r="H55" s="28">
        <f>H54/Balance_Sheet!H74</f>
        <v>0.66868131355511407</v>
      </c>
      <c r="I55" s="28">
        <f>I54/Balance_Sheet!I74</f>
        <v>0.65251663296189288</v>
      </c>
      <c r="J55" s="28">
        <f>J54/Balance_Sheet!J74</f>
        <v>0.63927805065195042</v>
      </c>
      <c r="K55" s="28">
        <f>K54/Balance_Sheet!K74</f>
        <v>0.63150950921589089</v>
      </c>
      <c r="L55" s="28">
        <f>L54/Balance_Sheet!L74</f>
        <v>0.6217373680673578</v>
      </c>
    </row>
    <row r="56" spans="2:12" ht="18.75" x14ac:dyDescent="0.25">
      <c r="B56" s="8" t="s">
        <v>31</v>
      </c>
      <c r="C56" s="5">
        <v>5075</v>
      </c>
      <c r="D56" s="5">
        <v>4776</v>
      </c>
      <c r="E56" s="5">
        <v>2900</v>
      </c>
      <c r="F56" s="5">
        <v>1147</v>
      </c>
      <c r="G56" s="5">
        <v>1043</v>
      </c>
      <c r="H56" s="24">
        <f>H74*H57</f>
        <v>4383.9472248115608</v>
      </c>
      <c r="I56" s="24">
        <f t="shared" ref="I56:L56" si="42">I74*I57</f>
        <v>4973.4173504219061</v>
      </c>
      <c r="J56" s="24">
        <f t="shared" si="42"/>
        <v>5714.825504401435</v>
      </c>
      <c r="K56" s="24">
        <f t="shared" si="42"/>
        <v>6852.6528847288664</v>
      </c>
      <c r="L56" s="24">
        <f t="shared" si="42"/>
        <v>7935.01589930299</v>
      </c>
    </row>
    <row r="57" spans="2:12" x14ac:dyDescent="0.25">
      <c r="B57" s="17" t="s">
        <v>228</v>
      </c>
      <c r="C57" s="18">
        <f>C56/Balance_Sheet!C74</f>
        <v>6.2168257316560765E-3</v>
      </c>
      <c r="D57" s="18">
        <f>D56/Balance_Sheet!D74</f>
        <v>4.4908662613639865E-3</v>
      </c>
      <c r="E57" s="18">
        <f>E56/Balance_Sheet!E74</f>
        <v>2.1597229044593744E-3</v>
      </c>
      <c r="F57" s="18">
        <f>F56/Balance_Sheet!F74</f>
        <v>8.2621247589344954E-4</v>
      </c>
      <c r="G57" s="18">
        <f>G56/Balance_Sheet!G74</f>
        <v>6.247690937474839E-4</v>
      </c>
      <c r="H57" s="25">
        <f>MEDIAN(C57:G57)</f>
        <v>2.1597229044593744E-3</v>
      </c>
      <c r="I57" s="25">
        <f t="shared" ref="I57:L57" si="43">H57</f>
        <v>2.1597229044593744E-3</v>
      </c>
      <c r="J57" s="25">
        <f t="shared" si="43"/>
        <v>2.1597229044593744E-3</v>
      </c>
      <c r="K57" s="25">
        <f t="shared" si="43"/>
        <v>2.1597229044593744E-3</v>
      </c>
      <c r="L57" s="25">
        <f t="shared" si="43"/>
        <v>2.1597229044593744E-3</v>
      </c>
    </row>
    <row r="58" spans="2:12" ht="18.75" x14ac:dyDescent="0.25">
      <c r="B58" s="8" t="s">
        <v>32</v>
      </c>
      <c r="C58" s="5">
        <v>2668</v>
      </c>
      <c r="D58" s="5">
        <v>5452</v>
      </c>
      <c r="E58" s="5">
        <v>21732</v>
      </c>
      <c r="F58" s="5">
        <v>2484</v>
      </c>
      <c r="G58" s="5">
        <v>1588</v>
      </c>
      <c r="H58" s="24">
        <f>ROUND(H74*H59,2)</f>
        <v>1930.87</v>
      </c>
      <c r="I58" s="24">
        <f t="shared" ref="I58:L58" si="44">ROUND(I74*I59,2)</f>
        <v>2190.5</v>
      </c>
      <c r="J58" s="24">
        <f t="shared" si="44"/>
        <v>2517.04</v>
      </c>
      <c r="K58" s="24">
        <f t="shared" si="44"/>
        <v>3018.19</v>
      </c>
      <c r="L58" s="24">
        <f t="shared" si="44"/>
        <v>3494.91</v>
      </c>
    </row>
    <row r="59" spans="2:12" x14ac:dyDescent="0.25">
      <c r="B59" s="17" t="s">
        <v>229</v>
      </c>
      <c r="C59" s="18">
        <f>C58/Balance_Sheet!C74</f>
        <v>3.268274098927766E-3</v>
      </c>
      <c r="D59" s="18">
        <f>D58/Balance_Sheet!D74</f>
        <v>5.1265081358786548E-3</v>
      </c>
      <c r="E59" s="18">
        <f>E58/Balance_Sheet!E74</f>
        <v>1.6184516606796939E-2</v>
      </c>
      <c r="F59" s="18">
        <f>F58/Balance_Sheet!F74</f>
        <v>1.7892866522400423E-3</v>
      </c>
      <c r="G59" s="18">
        <f>G58/Balance_Sheet!G74</f>
        <v>9.5123041310738669E-4</v>
      </c>
      <c r="H59" s="25">
        <f>G59</f>
        <v>9.5123041310738669E-4</v>
      </c>
      <c r="I59" s="25">
        <f t="shared" ref="I59:L59" si="45">H59</f>
        <v>9.5123041310738669E-4</v>
      </c>
      <c r="J59" s="25">
        <f t="shared" si="45"/>
        <v>9.5123041310738669E-4</v>
      </c>
      <c r="K59" s="25">
        <f t="shared" si="45"/>
        <v>9.5123041310738669E-4</v>
      </c>
      <c r="L59" s="25">
        <f t="shared" si="45"/>
        <v>9.5123041310738669E-4</v>
      </c>
    </row>
    <row r="60" spans="2:12" ht="18.75" x14ac:dyDescent="0.25">
      <c r="B60" s="8" t="s">
        <v>33</v>
      </c>
      <c r="C60" s="5">
        <v>8653</v>
      </c>
      <c r="D60" s="5">
        <v>17676</v>
      </c>
      <c r="E60" s="5">
        <v>37407</v>
      </c>
      <c r="F60" s="5">
        <v>64977</v>
      </c>
      <c r="G60" s="5">
        <v>63565</v>
      </c>
      <c r="H60" s="24"/>
      <c r="I60" s="24"/>
      <c r="J60" s="24"/>
      <c r="K60" s="24"/>
      <c r="L60" s="24"/>
    </row>
    <row r="61" spans="2:12" x14ac:dyDescent="0.25">
      <c r="B61" s="17" t="s">
        <v>230</v>
      </c>
      <c r="C61" s="18">
        <f>C60/Balance_Sheet!C74</f>
        <v>1.0599840996260105E-2</v>
      </c>
      <c r="D61" s="18">
        <f>D60/Balance_Sheet!D74</f>
        <v>1.6620718600475256E-2</v>
      </c>
      <c r="E61" s="18">
        <f>E60/Balance_Sheet!E74</f>
        <v>2.7858191271417868E-2</v>
      </c>
      <c r="F61" s="18">
        <f>F60/Balance_Sheet!F74</f>
        <v>4.6804540580757337E-2</v>
      </c>
      <c r="G61" s="18">
        <f>G60/Balance_Sheet!G74</f>
        <v>3.8076172046077481E-2</v>
      </c>
      <c r="H61" s="25"/>
      <c r="I61" s="25"/>
      <c r="J61" s="25"/>
      <c r="K61" s="25"/>
      <c r="L61" s="25"/>
    </row>
    <row r="62" spans="2:12" ht="18.75" x14ac:dyDescent="0.25">
      <c r="B62" s="8" t="s">
        <v>40</v>
      </c>
      <c r="C62" s="4">
        <v>2327</v>
      </c>
      <c r="D62" s="4">
        <v>545</v>
      </c>
      <c r="E62" s="4">
        <v>669</v>
      </c>
      <c r="F62" s="4">
        <v>65</v>
      </c>
      <c r="G62" s="5">
        <v>130</v>
      </c>
      <c r="H62" s="24">
        <f>ROUND(H74*H63,2)</f>
        <v>158.07</v>
      </c>
      <c r="I62" s="24">
        <f t="shared" ref="I62:L62" si="46">ROUND(I74*I63,2)</f>
        <v>179.32</v>
      </c>
      <c r="J62" s="24">
        <f t="shared" si="46"/>
        <v>206.06</v>
      </c>
      <c r="K62" s="24">
        <f t="shared" si="46"/>
        <v>247.08</v>
      </c>
      <c r="L62" s="24">
        <f t="shared" si="46"/>
        <v>286.11</v>
      </c>
    </row>
    <row r="63" spans="2:12" x14ac:dyDescent="0.25">
      <c r="B63" s="17" t="s">
        <v>231</v>
      </c>
      <c r="C63" s="18">
        <f>C62/Balance_Sheet!C74</f>
        <v>2.8505524093721557E-3</v>
      </c>
      <c r="D63" s="18">
        <f>D62/Balance_Sheet!D74</f>
        <v>5.1246275386167771E-4</v>
      </c>
      <c r="E63" s="18">
        <f>E62/Balance_Sheet!E74</f>
        <v>4.9822573209769706E-4</v>
      </c>
      <c r="F63" s="18">
        <f>F62/Balance_Sheet!F74</f>
        <v>4.682110804975956E-5</v>
      </c>
      <c r="G63" s="18">
        <f>G62/Balance_Sheet!G74</f>
        <v>7.7871507370252068E-5</v>
      </c>
      <c r="H63" s="25">
        <f>G63</f>
        <v>7.7871507370252068E-5</v>
      </c>
      <c r="I63" s="25">
        <f t="shared" ref="I63:L63" si="47">H63</f>
        <v>7.7871507370252068E-5</v>
      </c>
      <c r="J63" s="25">
        <f t="shared" si="47"/>
        <v>7.7871507370252068E-5</v>
      </c>
      <c r="K63" s="25">
        <f t="shared" si="47"/>
        <v>7.7871507370252068E-5</v>
      </c>
      <c r="L63" s="25">
        <f t="shared" si="47"/>
        <v>7.7871507370252068E-5</v>
      </c>
    </row>
    <row r="64" spans="2:12" ht="18.75" x14ac:dyDescent="0.25">
      <c r="B64" s="8" t="s">
        <v>41</v>
      </c>
      <c r="C64" s="5">
        <v>41209</v>
      </c>
      <c r="D64" s="5">
        <v>51754</v>
      </c>
      <c r="E64" s="5">
        <v>60197</v>
      </c>
      <c r="F64" s="5">
        <v>102417</v>
      </c>
      <c r="G64" s="5">
        <v>71175</v>
      </c>
      <c r="H64" s="24">
        <f>H74*H65</f>
        <v>98781.81658004022</v>
      </c>
      <c r="I64" s="24">
        <f t="shared" ref="I64:L64" si="48">I74*I65</f>
        <v>112064.12287649828</v>
      </c>
      <c r="J64" s="24">
        <f t="shared" si="48"/>
        <v>128769.99101807931</v>
      </c>
      <c r="K64" s="24">
        <f t="shared" si="48"/>
        <v>154408.22291720606</v>
      </c>
      <c r="L64" s="24">
        <f t="shared" si="48"/>
        <v>178796.69734353226</v>
      </c>
    </row>
    <row r="65" spans="2:12" x14ac:dyDescent="0.25">
      <c r="B65" s="17" t="s">
        <v>232</v>
      </c>
      <c r="C65" s="18">
        <f>C64/Balance_Sheet!C74</f>
        <v>5.0480624941047339E-2</v>
      </c>
      <c r="D65" s="18">
        <f>D64/Balance_Sheet!D74</f>
        <v>4.8664215345609663E-2</v>
      </c>
      <c r="E65" s="18">
        <f>E64/Balance_Sheet!E74</f>
        <v>4.4830634372324471E-2</v>
      </c>
      <c r="F65" s="18">
        <f>F64/Balance_Sheet!F74</f>
        <v>7.3773498817418848E-2</v>
      </c>
      <c r="G65" s="18">
        <f>G64/Balance_Sheet!G74</f>
        <v>4.2634650285213002E-2</v>
      </c>
      <c r="H65" s="25">
        <f>MEDIAN(C65:G65)</f>
        <v>4.8664215345609663E-2</v>
      </c>
      <c r="I65" s="25">
        <f t="shared" ref="I65:L65" si="49">H65</f>
        <v>4.8664215345609663E-2</v>
      </c>
      <c r="J65" s="25">
        <f t="shared" si="49"/>
        <v>4.8664215345609663E-2</v>
      </c>
      <c r="K65" s="25">
        <f t="shared" si="49"/>
        <v>4.8664215345609663E-2</v>
      </c>
      <c r="L65" s="25">
        <f t="shared" si="49"/>
        <v>4.8664215345609663E-2</v>
      </c>
    </row>
    <row r="66" spans="2:12" ht="18.75" x14ac:dyDescent="0.25">
      <c r="B66" s="8" t="s">
        <v>37</v>
      </c>
      <c r="C66" s="5">
        <v>60837</v>
      </c>
      <c r="D66" s="5">
        <v>67561</v>
      </c>
      <c r="E66" s="5">
        <v>73903</v>
      </c>
      <c r="F66" s="5">
        <v>81672</v>
      </c>
      <c r="G66" s="5">
        <v>107778</v>
      </c>
      <c r="H66" s="24">
        <f>H74*H67</f>
        <v>128952.31885388758</v>
      </c>
      <c r="I66" s="24">
        <f t="shared" ref="I66:L66" si="50">I74*I67</f>
        <v>146291.38241796001</v>
      </c>
      <c r="J66" s="24">
        <f t="shared" si="50"/>
        <v>168099.65148920772</v>
      </c>
      <c r="K66" s="24">
        <f t="shared" si="50"/>
        <v>201568.45748172817</v>
      </c>
      <c r="L66" s="24">
        <f t="shared" si="50"/>
        <v>233405.79799100329</v>
      </c>
    </row>
    <row r="67" spans="2:12" x14ac:dyDescent="0.25">
      <c r="B67" s="17" t="s">
        <v>233</v>
      </c>
      <c r="C67" s="18">
        <f>C66/Balance_Sheet!C74</f>
        <v>7.4524734391479941E-2</v>
      </c>
      <c r="D67" s="18">
        <f>D66/Balance_Sheet!D74</f>
        <v>6.3527515804860199E-2</v>
      </c>
      <c r="E67" s="18">
        <f>E66/Balance_Sheet!E74</f>
        <v>5.5037931658021087E-2</v>
      </c>
      <c r="F67" s="18">
        <f>F66/Balance_Sheet!F74</f>
        <v>5.8830362102153276E-2</v>
      </c>
      <c r="G67" s="18">
        <f>G66/Balance_Sheet!G74</f>
        <v>6.4560271702700206E-2</v>
      </c>
      <c r="H67" s="25">
        <f>MEDIAN(C67:G67)</f>
        <v>6.3527515804860199E-2</v>
      </c>
      <c r="I67" s="25">
        <f t="shared" ref="I67:L67" si="51">H67</f>
        <v>6.3527515804860199E-2</v>
      </c>
      <c r="J67" s="25">
        <f t="shared" si="51"/>
        <v>6.3527515804860199E-2</v>
      </c>
      <c r="K67" s="25">
        <f t="shared" si="51"/>
        <v>6.3527515804860199E-2</v>
      </c>
      <c r="L67" s="25">
        <f t="shared" si="51"/>
        <v>6.3527515804860199E-2</v>
      </c>
    </row>
    <row r="68" spans="2:12" ht="18.75" x14ac:dyDescent="0.25">
      <c r="B68" s="8" t="s">
        <v>38</v>
      </c>
      <c r="C68" s="5">
        <v>17555</v>
      </c>
      <c r="D68" s="5">
        <v>30089</v>
      </c>
      <c r="E68" s="5">
        <v>19656</v>
      </c>
      <c r="F68" s="5">
        <v>19014</v>
      </c>
      <c r="G68" s="5">
        <v>23640</v>
      </c>
      <c r="H68" s="24">
        <f>H69*H74</f>
        <v>22467.390942980415</v>
      </c>
      <c r="I68" s="24">
        <f t="shared" ref="I68:L68" si="52">I69*I74</f>
        <v>25488.379810350893</v>
      </c>
      <c r="J68" s="24">
        <f t="shared" si="52"/>
        <v>29288.039338525869</v>
      </c>
      <c r="K68" s="24">
        <f t="shared" si="52"/>
        <v>35119.3167851978</v>
      </c>
      <c r="L68" s="24">
        <f t="shared" si="52"/>
        <v>40666.343641047992</v>
      </c>
    </row>
    <row r="69" spans="2:12" x14ac:dyDescent="0.25">
      <c r="B69" s="17" t="s">
        <v>234</v>
      </c>
      <c r="C69" s="18">
        <f>C68/Balance_Sheet!C74</f>
        <v>2.1504704575216242E-2</v>
      </c>
      <c r="D69" s="18">
        <f>D68/Balance_Sheet!D74</f>
        <v>2.8292645506319304E-2</v>
      </c>
      <c r="E69" s="18">
        <f>E68/Balance_Sheet!E74</f>
        <v>1.4638452900018436E-2</v>
      </c>
      <c r="F69" s="18">
        <f>F68/Balance_Sheet!F74</f>
        <v>1.3696254591663513E-2</v>
      </c>
      <c r="G69" s="18">
        <f>G68/Balance_Sheet!G74</f>
        <v>1.416063410948276E-2</v>
      </c>
      <c r="H69" s="25">
        <f>GROWTH(C69:G69,C4:G4,H4)</f>
        <v>1.106841308407485E-2</v>
      </c>
      <c r="I69" s="25">
        <f t="shared" ref="I69:L69" si="53">H69</f>
        <v>1.106841308407485E-2</v>
      </c>
      <c r="J69" s="25">
        <f t="shared" si="53"/>
        <v>1.106841308407485E-2</v>
      </c>
      <c r="K69" s="25">
        <f t="shared" si="53"/>
        <v>1.106841308407485E-2</v>
      </c>
      <c r="L69" s="25">
        <f t="shared" si="53"/>
        <v>1.106841308407485E-2</v>
      </c>
    </row>
    <row r="70" spans="2:12" ht="18.75" x14ac:dyDescent="0.25">
      <c r="B70" s="8" t="s">
        <v>39</v>
      </c>
      <c r="C70" s="5">
        <v>4255</v>
      </c>
      <c r="D70" s="5">
        <f>CashFlow_Statement!D48+C70</f>
        <v>134382.92383863393</v>
      </c>
      <c r="E70" s="5">
        <f>CashFlow_Statement!E48+D70</f>
        <v>311175.84914435504</v>
      </c>
      <c r="F70" s="5">
        <f>CashFlow_Statement!F48+E70</f>
        <v>219150.74531821522</v>
      </c>
      <c r="G70" s="5">
        <f>CashFlow_Statement!G48+F70</f>
        <v>318444.76603093103</v>
      </c>
      <c r="H70" s="24">
        <f>CashFlow_Statement!H48+G70</f>
        <v>508015.51933819545</v>
      </c>
      <c r="I70" s="24">
        <f>CashFlow_Statement!I48+H70</f>
        <v>655457.08669998636</v>
      </c>
      <c r="J70" s="24">
        <f>CashFlow_Statement!J48+I70</f>
        <v>796340.08041642222</v>
      </c>
      <c r="K70" s="24">
        <f>CashFlow_Statement!K48+J70</f>
        <v>901605.87167872023</v>
      </c>
      <c r="L70" s="24">
        <f>CashFlow_Statement!L48+K70</f>
        <v>1020830.7735558824</v>
      </c>
    </row>
    <row r="71" spans="2:12" x14ac:dyDescent="0.25">
      <c r="B71" s="17" t="s">
        <v>235</v>
      </c>
      <c r="C71" s="18">
        <f>C70/Balance_Sheet!C74</f>
        <v>5.2123336922554886E-3</v>
      </c>
      <c r="D71" s="18">
        <f>D70/Balance_Sheet!D74</f>
        <v>0.12636007930702833</v>
      </c>
      <c r="E71" s="18">
        <f>E70/Balance_Sheet!E74</f>
        <v>0.23174262369367538</v>
      </c>
      <c r="F71" s="18">
        <f>F70/Balance_Sheet!F74</f>
        <v>0.15785970347276146</v>
      </c>
      <c r="G71" s="18">
        <f>G70/Balance_Sheet!G74</f>
        <v>0.19075210726919878</v>
      </c>
      <c r="H71" s="25">
        <f>H70/Balance_Sheet!H74</f>
        <v>0.25027052030323788</v>
      </c>
      <c r="I71" s="25">
        <f>I70/Balance_Sheet!I74</f>
        <v>0.28463440393074702</v>
      </c>
      <c r="J71" s="25">
        <f>J70/Balance_Sheet!J74</f>
        <v>0.30094950582301377</v>
      </c>
      <c r="K71" s="25">
        <f>K70/Balance_Sheet!K74</f>
        <v>0.28415547739167818</v>
      </c>
      <c r="L71" s="25">
        <f>L70/Balance_Sheet!L74</f>
        <v>0.27784589611462296</v>
      </c>
    </row>
    <row r="72" spans="2:12" ht="18.75" x14ac:dyDescent="0.25">
      <c r="B72" s="9" t="s">
        <v>42</v>
      </c>
      <c r="C72" s="7">
        <f>C56+C58+C60+C62+C64+C66+C68+C70</f>
        <v>142579</v>
      </c>
      <c r="D72" s="7">
        <f t="shared" ref="D72:L72" si="54">D56+D58+D60+D62+D64+D66+D68+D70</f>
        <v>312235.92383863393</v>
      </c>
      <c r="E72" s="7">
        <f t="shared" si="54"/>
        <v>527639.84914435504</v>
      </c>
      <c r="F72" s="7">
        <f t="shared" si="54"/>
        <v>490926.74531821522</v>
      </c>
      <c r="G72" s="7">
        <f t="shared" si="54"/>
        <v>587363.76603093103</v>
      </c>
      <c r="H72" s="27">
        <f t="shared" si="54"/>
        <v>764689.93293991522</v>
      </c>
      <c r="I72" s="27">
        <f t="shared" si="54"/>
        <v>946644.20915521751</v>
      </c>
      <c r="J72" s="27">
        <f t="shared" si="54"/>
        <v>1130935.6877666365</v>
      </c>
      <c r="K72" s="27">
        <f t="shared" si="54"/>
        <v>1302819.7917475812</v>
      </c>
      <c r="L72" s="27">
        <f t="shared" si="54"/>
        <v>1485415.6484307689</v>
      </c>
    </row>
    <row r="73" spans="2:12" x14ac:dyDescent="0.25">
      <c r="B73" s="19" t="s">
        <v>236</v>
      </c>
      <c r="C73" s="20">
        <f>C72/Balance_Sheet!C74</f>
        <v>0.17465789083621513</v>
      </c>
      <c r="D73" s="20">
        <f>D72/Balance_Sheet!D74</f>
        <v>0.29359501171539709</v>
      </c>
      <c r="E73" s="20">
        <f>E72/Balance_Sheet!E74</f>
        <v>0.39295029913881124</v>
      </c>
      <c r="F73" s="20">
        <f>F72/Balance_Sheet!F74</f>
        <v>0.35362667980093765</v>
      </c>
      <c r="G73" s="20">
        <f>G72/Balance_Sheet!G74</f>
        <v>0.35183770642689732</v>
      </c>
      <c r="H73" s="28">
        <f>H72/Balance_Sheet!H74</f>
        <v>0.37671949005974331</v>
      </c>
      <c r="I73" s="28">
        <f>I72/Balance_Sheet!I74</f>
        <v>0.41108337322885541</v>
      </c>
      <c r="J73" s="28">
        <f>J72/Balance_Sheet!J74</f>
        <v>0.4273984755018248</v>
      </c>
      <c r="K73" s="28">
        <f>K72/Balance_Sheet!K74</f>
        <v>0.4106044464751219</v>
      </c>
      <c r="L73" s="28">
        <f>L72/Balance_Sheet!L74</f>
        <v>0.40429486711426788</v>
      </c>
    </row>
    <row r="74" spans="2:12" ht="18.75" x14ac:dyDescent="0.25">
      <c r="B74" s="9" t="s">
        <v>43</v>
      </c>
      <c r="C74" s="7">
        <f>C54+C72</f>
        <v>816333</v>
      </c>
      <c r="D74" s="7">
        <f t="shared" ref="D74:G74" si="55">D54+D72</f>
        <v>1063491.923838634</v>
      </c>
      <c r="E74" s="7">
        <f t="shared" si="55"/>
        <v>1342764.8491443549</v>
      </c>
      <c r="F74" s="7">
        <f t="shared" si="55"/>
        <v>1388262.7453182153</v>
      </c>
      <c r="G74" s="7">
        <f t="shared" si="55"/>
        <v>1669416.7660309309</v>
      </c>
      <c r="H74" s="27">
        <f>Income_Statement!H5/H80</f>
        <v>2029865.5979244513</v>
      </c>
      <c r="I74" s="27">
        <f>Income_Statement!I5/I80</f>
        <v>2302803.4476797204</v>
      </c>
      <c r="J74" s="27">
        <f>Income_Statement!J5/J80</f>
        <v>2646092.0021737604</v>
      </c>
      <c r="K74" s="27">
        <f>Income_Statement!K5/K80</f>
        <v>3172931.5231039948</v>
      </c>
      <c r="L74" s="27">
        <f>Income_Statement!L5/L80</f>
        <v>3674089.8024088405</v>
      </c>
    </row>
    <row r="75" spans="2:12" x14ac:dyDescent="0.25">
      <c r="B75" s="19" t="s">
        <v>237</v>
      </c>
      <c r="C75" s="20">
        <f>C74/Balance_Sheet!C74</f>
        <v>1</v>
      </c>
      <c r="D75" s="20">
        <f>D74/Balance_Sheet!D74</f>
        <v>1</v>
      </c>
      <c r="E75" s="20">
        <f>E74/Balance_Sheet!E74</f>
        <v>1</v>
      </c>
      <c r="F75" s="20">
        <f>F74/Balance_Sheet!F74</f>
        <v>1</v>
      </c>
      <c r="G75" s="20">
        <f>G74/Balance_Sheet!G74</f>
        <v>1</v>
      </c>
      <c r="H75" s="28">
        <f>H74/Balance_Sheet!H74</f>
        <v>1</v>
      </c>
      <c r="I75" s="28">
        <f>I74/Balance_Sheet!I74</f>
        <v>1</v>
      </c>
      <c r="J75" s="28">
        <f>J74/Balance_Sheet!J74</f>
        <v>1</v>
      </c>
      <c r="K75" s="28">
        <f>K74/Balance_Sheet!K74</f>
        <v>1</v>
      </c>
      <c r="L75" s="28">
        <f>L74/Balance_Sheet!L74</f>
        <v>1</v>
      </c>
    </row>
    <row r="80" spans="2:12" x14ac:dyDescent="0.25">
      <c r="B80" t="s">
        <v>265</v>
      </c>
      <c r="C80">
        <f>Income_Statement!C5/C74</f>
        <v>0.52764129344274946</v>
      </c>
      <c r="D80">
        <f>Income_Statement!D5/D74</f>
        <v>0.58788598764654543</v>
      </c>
      <c r="E80">
        <f>Income_Statement!E5/E74</f>
        <v>0.49152090957740474</v>
      </c>
      <c r="F80">
        <f>Income_Statement!F5/F74</f>
        <v>0.38842647173132688</v>
      </c>
      <c r="G80">
        <f>Income_Statement!G5/G74</f>
        <v>0.43226713345864981</v>
      </c>
      <c r="H80">
        <f>GROWTH(C80:G80,C4:G4,H4)</f>
        <v>0.3764434639025625</v>
      </c>
      <c r="I80">
        <f t="shared" ref="I80:L80" si="56">GROWTH(D80:H80,D4:H4,I4)</f>
        <v>0.33069394078533104</v>
      </c>
      <c r="J80">
        <f t="shared" si="56"/>
        <v>0.31260335349910517</v>
      </c>
      <c r="K80">
        <f t="shared" si="56"/>
        <v>0.29617556629514752</v>
      </c>
      <c r="L80">
        <f t="shared" si="56"/>
        <v>0.26106616125800586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34D43060-FEE4-4DFB-AEA6-086E1CAE49A5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D857E-6E5A-4701-B7C2-5EFBA1057CBD}">
  <dimension ref="B1:O48"/>
  <sheetViews>
    <sheetView showGridLines="0" topLeftCell="A37" workbookViewId="0">
      <selection activeCell="H48" sqref="H48:L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5" width="17.140625" bestFit="1" customWidth="1"/>
    <col min="6" max="6" width="16.7109375" bestFit="1" customWidth="1"/>
    <col min="7" max="12" width="18.425781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143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129</v>
      </c>
      <c r="C5" s="4"/>
      <c r="D5" s="5">
        <f>Income_Statement!D45</f>
        <v>174374.92383863393</v>
      </c>
      <c r="E5" s="5">
        <f>Income_Statement!E45</f>
        <v>195715.92530572112</v>
      </c>
      <c r="F5" s="5">
        <f>Income_Statement!F45</f>
        <v>146742.89617386018</v>
      </c>
      <c r="G5" s="5">
        <f>Income_Statement!G45</f>
        <v>197991.02071271581</v>
      </c>
      <c r="H5" s="24">
        <f>Income_Statement!H45</f>
        <v>225225.88075249063</v>
      </c>
      <c r="I5" s="24">
        <f>Income_Statement!I45</f>
        <v>215035.91014330916</v>
      </c>
      <c r="J5" s="24">
        <f>Income_Statement!J45</f>
        <v>228701.72626073088</v>
      </c>
      <c r="K5" s="24">
        <f>Income_Statement!K45</f>
        <v>254211.29435603274</v>
      </c>
      <c r="L5" s="24">
        <f>Income_Statement!L45</f>
        <v>244806.27413046759</v>
      </c>
    </row>
    <row r="6" spans="2:15" ht="18.75" x14ac:dyDescent="0.25">
      <c r="B6" s="8" t="s">
        <v>130</v>
      </c>
      <c r="C6" s="4"/>
      <c r="D6" s="4"/>
      <c r="E6" s="4"/>
      <c r="F6" s="4"/>
      <c r="G6" s="4"/>
      <c r="H6" s="26"/>
      <c r="I6" s="26"/>
      <c r="J6" s="26"/>
      <c r="K6" s="26"/>
      <c r="L6" s="26"/>
    </row>
    <row r="7" spans="2:15" ht="18.75" x14ac:dyDescent="0.25">
      <c r="B7" s="8" t="s">
        <v>125</v>
      </c>
      <c r="C7" s="4"/>
      <c r="D7" s="5">
        <f>Income_Statement!D31</f>
        <v>20934</v>
      </c>
      <c r="E7" s="5">
        <f>Income_Statement!E31</f>
        <v>22203</v>
      </c>
      <c r="F7" s="5">
        <f>Income_Statement!F31</f>
        <v>26572</v>
      </c>
      <c r="G7" s="5">
        <f>Income_Statement!G31</f>
        <v>29797</v>
      </c>
      <c r="H7" s="24">
        <f>Income_Statement!H31</f>
        <v>50603.761240194792</v>
      </c>
      <c r="I7" s="24">
        <f>Income_Statement!I31</f>
        <v>57407.995767883527</v>
      </c>
      <c r="J7" s="24">
        <f>Income_Statement!J31</f>
        <v>65966.046031560196</v>
      </c>
      <c r="K7" s="24">
        <f>Income_Statement!K31</f>
        <v>79099.951054991441</v>
      </c>
      <c r="L7" s="24">
        <f>Income_Statement!L31</f>
        <v>91593.632358281306</v>
      </c>
    </row>
    <row r="8" spans="2:15" ht="18.75" x14ac:dyDescent="0.25">
      <c r="B8" s="8" t="s">
        <v>131</v>
      </c>
      <c r="C8" s="4"/>
      <c r="D8" s="5">
        <f>Income_Statement!D35</f>
        <v>16495</v>
      </c>
      <c r="E8" s="5">
        <f>Income_Statement!E35</f>
        <v>22027</v>
      </c>
      <c r="F8" s="5">
        <f>Income_Statement!F35</f>
        <v>21189</v>
      </c>
      <c r="G8" s="5">
        <f>Income_Statement!G35</f>
        <v>14584</v>
      </c>
      <c r="H8" s="24">
        <f>Income_Statement!H35</f>
        <v>17732.875818059245</v>
      </c>
      <c r="I8" s="24">
        <f>Income_Statement!I35</f>
        <v>20117.256813473061</v>
      </c>
      <c r="J8" s="24">
        <f>Income_Statement!J35</f>
        <v>23116.220453807418</v>
      </c>
      <c r="K8" s="24">
        <f>Income_Statement!K35</f>
        <v>27718.682313411344</v>
      </c>
      <c r="L8" s="24">
        <f>Income_Statement!L35</f>
        <v>32096.793583521394</v>
      </c>
    </row>
    <row r="9" spans="2:15" ht="18.75" x14ac:dyDescent="0.25">
      <c r="B9" s="8" t="s">
        <v>59</v>
      </c>
      <c r="C9" s="4"/>
      <c r="D9" s="5">
        <f>Income_Statement!D11</f>
        <v>8386</v>
      </c>
      <c r="E9" s="5">
        <f>Income_Statement!E11</f>
        <v>13164</v>
      </c>
      <c r="F9" s="5">
        <f>Income_Statement!F11</f>
        <v>16327</v>
      </c>
      <c r="G9" s="5">
        <f>Income_Statement!G11</f>
        <v>14947</v>
      </c>
      <c r="H9" s="24">
        <f>Income_Statement!H11</f>
        <v>15827.200053395647</v>
      </c>
      <c r="I9" s="24">
        <f>Income_Statement!I11</f>
        <v>15773.212567201019</v>
      </c>
      <c r="J9" s="24">
        <f>Income_Statement!J11</f>
        <v>17133.087007849146</v>
      </c>
      <c r="K9" s="24">
        <f>Income_Statement!K11</f>
        <v>19464.666834101765</v>
      </c>
      <c r="L9" s="24">
        <f>Income_Statement!L11</f>
        <v>19867.233590541491</v>
      </c>
    </row>
    <row r="10" spans="2:15" ht="18.75" x14ac:dyDescent="0.25">
      <c r="B10" s="9" t="s">
        <v>132</v>
      </c>
      <c r="C10" s="6"/>
      <c r="D10" s="7">
        <f>D7+D8-D9</f>
        <v>29043</v>
      </c>
      <c r="E10" s="7">
        <f t="shared" ref="E10:L10" si="0">E7+E8-E9</f>
        <v>31066</v>
      </c>
      <c r="F10" s="7">
        <f t="shared" si="0"/>
        <v>31434</v>
      </c>
      <c r="G10" s="7">
        <f t="shared" si="0"/>
        <v>29434</v>
      </c>
      <c r="H10" s="27">
        <f t="shared" si="0"/>
        <v>52509.437004858395</v>
      </c>
      <c r="I10" s="27">
        <f t="shared" si="0"/>
        <v>61752.040014155573</v>
      </c>
      <c r="J10" s="27">
        <f t="shared" si="0"/>
        <v>71949.179477518468</v>
      </c>
      <c r="K10" s="27">
        <f t="shared" si="0"/>
        <v>87353.966534301013</v>
      </c>
      <c r="L10" s="27">
        <f t="shared" si="0"/>
        <v>103823.19235126121</v>
      </c>
    </row>
    <row r="11" spans="2:15" ht="18.75" x14ac:dyDescent="0.25">
      <c r="B11" s="8" t="s">
        <v>133</v>
      </c>
      <c r="C11" s="4"/>
      <c r="D11" s="4"/>
      <c r="E11" s="4"/>
      <c r="F11" s="4"/>
      <c r="G11" s="4"/>
      <c r="H11" s="26"/>
      <c r="I11" s="26"/>
      <c r="J11" s="26"/>
      <c r="K11" s="26"/>
      <c r="L11" s="26"/>
    </row>
    <row r="12" spans="2:15" ht="18.75" x14ac:dyDescent="0.25">
      <c r="B12" s="8" t="str">
        <f>Balance_Sheet!B56</f>
        <v>Deferred Tax Assets [Net]</v>
      </c>
      <c r="C12" s="4"/>
      <c r="D12" s="5">
        <f>Balance_Sheet!C56-Balance_Sheet!D56</f>
        <v>299</v>
      </c>
      <c r="E12" s="5">
        <f>Balance_Sheet!D56-Balance_Sheet!E56</f>
        <v>1876</v>
      </c>
      <c r="F12" s="5">
        <f>Balance_Sheet!E56-Balance_Sheet!F56</f>
        <v>1753</v>
      </c>
      <c r="G12" s="5">
        <f>Balance_Sheet!F56-Balance_Sheet!G56</f>
        <v>104</v>
      </c>
      <c r="H12" s="24">
        <f>Balance_Sheet!G56-Balance_Sheet!H56</f>
        <v>-3340.9472248115608</v>
      </c>
      <c r="I12" s="24">
        <f>Balance_Sheet!H56-Balance_Sheet!I56</f>
        <v>-589.47012561034535</v>
      </c>
      <c r="J12" s="24">
        <f>Balance_Sheet!I56-Balance_Sheet!J56</f>
        <v>-741.40815397952883</v>
      </c>
      <c r="K12" s="24">
        <f>Balance_Sheet!J56-Balance_Sheet!K56</f>
        <v>-1137.8273803274315</v>
      </c>
      <c r="L12" s="24">
        <f>Balance_Sheet!K56-Balance_Sheet!L56</f>
        <v>-1082.3630145741236</v>
      </c>
    </row>
    <row r="13" spans="2:15" ht="18.75" x14ac:dyDescent="0.25">
      <c r="B13" s="8" t="str">
        <f>Balance_Sheet!B58</f>
        <v>Long Term Loans And Advances</v>
      </c>
      <c r="C13" s="4"/>
      <c r="D13" s="5">
        <f>Balance_Sheet!C58-Balance_Sheet!D58</f>
        <v>-2784</v>
      </c>
      <c r="E13" s="5">
        <f>Balance_Sheet!D58-Balance_Sheet!E58</f>
        <v>-16280</v>
      </c>
      <c r="F13" s="5">
        <f>Balance_Sheet!E58-Balance_Sheet!F58</f>
        <v>19248</v>
      </c>
      <c r="G13" s="5">
        <f>Balance_Sheet!F58-Balance_Sheet!G58</f>
        <v>896</v>
      </c>
      <c r="H13" s="24">
        <f>Balance_Sheet!G58-Balance_Sheet!H58</f>
        <v>-342.86999999999989</v>
      </c>
      <c r="I13" s="24">
        <f>Balance_Sheet!H58-Balance_Sheet!I58</f>
        <v>-259.63000000000011</v>
      </c>
      <c r="J13" s="24">
        <f>Balance_Sheet!I58-Balance_Sheet!J58</f>
        <v>-326.53999999999996</v>
      </c>
      <c r="K13" s="24">
        <f>Balance_Sheet!J58-Balance_Sheet!K58</f>
        <v>-501.15000000000009</v>
      </c>
      <c r="L13" s="24">
        <f>Balance_Sheet!K58-Balance_Sheet!L58</f>
        <v>-476.7199999999998</v>
      </c>
    </row>
    <row r="14" spans="2:15" ht="18.75" x14ac:dyDescent="0.25">
      <c r="B14" s="8" t="str">
        <f>Balance_Sheet!B60</f>
        <v>Other Non-Current Assets</v>
      </c>
      <c r="C14" s="4"/>
      <c r="D14" s="5">
        <f>Balance_Sheet!C60-Balance_Sheet!D60</f>
        <v>-9023</v>
      </c>
      <c r="E14" s="5">
        <f>Balance_Sheet!D60-Balance_Sheet!E60</f>
        <v>-19731</v>
      </c>
      <c r="F14" s="5">
        <f>Balance_Sheet!E60-Balance_Sheet!F60</f>
        <v>-27570</v>
      </c>
      <c r="G14" s="5">
        <f>Balance_Sheet!F60-Balance_Sheet!G60</f>
        <v>1412</v>
      </c>
      <c r="H14" s="24">
        <f>Balance_Sheet!G60-Balance_Sheet!H60</f>
        <v>63565</v>
      </c>
      <c r="I14" s="24">
        <f>Balance_Sheet!H60-Balance_Sheet!I60</f>
        <v>0</v>
      </c>
      <c r="J14" s="24">
        <f>Balance_Sheet!I60-Balance_Sheet!J60</f>
        <v>0</v>
      </c>
      <c r="K14" s="24">
        <f>Balance_Sheet!J60-Balance_Sheet!K60</f>
        <v>0</v>
      </c>
      <c r="L14" s="24">
        <f>Balance_Sheet!K60-Balance_Sheet!L60</f>
        <v>0</v>
      </c>
    </row>
    <row r="15" spans="2:15" ht="18.75" x14ac:dyDescent="0.25">
      <c r="B15" s="8" t="str">
        <f>Balance_Sheet!B62</f>
        <v>Short Term Loans And Advances</v>
      </c>
      <c r="C15" s="4"/>
      <c r="D15" s="4">
        <f>Balance_Sheet!C62-Balance_Sheet!D62</f>
        <v>1782</v>
      </c>
      <c r="E15" s="4">
        <f>Balance_Sheet!D62-Balance_Sheet!E62</f>
        <v>-124</v>
      </c>
      <c r="F15" s="4">
        <f>Balance_Sheet!E62-Balance_Sheet!F62</f>
        <v>604</v>
      </c>
      <c r="G15" s="4">
        <f>Balance_Sheet!F62-Balance_Sheet!G62</f>
        <v>-65</v>
      </c>
      <c r="H15" s="26">
        <f>Balance_Sheet!G62-Balance_Sheet!H62</f>
        <v>-28.069999999999993</v>
      </c>
      <c r="I15" s="26">
        <f>Balance_Sheet!H62-Balance_Sheet!I62</f>
        <v>-21.25</v>
      </c>
      <c r="J15" s="26">
        <f>Balance_Sheet!I62-Balance_Sheet!J62</f>
        <v>-26.740000000000009</v>
      </c>
      <c r="K15" s="26">
        <f>Balance_Sheet!J62-Balance_Sheet!K62</f>
        <v>-41.02000000000001</v>
      </c>
      <c r="L15" s="26">
        <f>Balance_Sheet!K62-Balance_Sheet!L62</f>
        <v>-39.03</v>
      </c>
    </row>
    <row r="16" spans="2:15" ht="18.75" x14ac:dyDescent="0.25">
      <c r="B16" s="8" t="str">
        <f>Balance_Sheet!B64</f>
        <v>OtherCurrentAssets</v>
      </c>
      <c r="C16" s="4"/>
      <c r="D16" s="5">
        <f>Balance_Sheet!C64-Balance_Sheet!D64</f>
        <v>-10545</v>
      </c>
      <c r="E16" s="5">
        <f>Balance_Sheet!D64-Balance_Sheet!E64</f>
        <v>-8443</v>
      </c>
      <c r="F16" s="5">
        <f>Balance_Sheet!E64-Balance_Sheet!F64</f>
        <v>-42220</v>
      </c>
      <c r="G16" s="5">
        <f>Balance_Sheet!F64-Balance_Sheet!G64</f>
        <v>31242</v>
      </c>
      <c r="H16" s="24">
        <f>Balance_Sheet!G64-Balance_Sheet!H64</f>
        <v>-27606.81658004022</v>
      </c>
      <c r="I16" s="24">
        <f>Balance_Sheet!H64-Balance_Sheet!I64</f>
        <v>-13282.30629645806</v>
      </c>
      <c r="J16" s="24">
        <f>Balance_Sheet!I64-Balance_Sheet!J64</f>
        <v>-16705.868141581028</v>
      </c>
      <c r="K16" s="24">
        <f>Balance_Sheet!J64-Balance_Sheet!K64</f>
        <v>-25638.231899126753</v>
      </c>
      <c r="L16" s="24">
        <f>Balance_Sheet!K64-Balance_Sheet!L64</f>
        <v>-24388.474426326196</v>
      </c>
    </row>
    <row r="17" spans="2:12" ht="18.75" x14ac:dyDescent="0.25">
      <c r="B17" s="8" t="str">
        <f>Balance_Sheet!B66</f>
        <v>Inventories</v>
      </c>
      <c r="C17" s="4"/>
      <c r="D17" s="5">
        <f>Balance_Sheet!C66-Balance_Sheet!D66</f>
        <v>-6724</v>
      </c>
      <c r="E17" s="5">
        <f>Balance_Sheet!D66-Balance_Sheet!E66</f>
        <v>-6342</v>
      </c>
      <c r="F17" s="5">
        <f>Balance_Sheet!E66-Balance_Sheet!F66</f>
        <v>-7769</v>
      </c>
      <c r="G17" s="5">
        <f>Balance_Sheet!F66-Balance_Sheet!G66</f>
        <v>-26106</v>
      </c>
      <c r="H17" s="24">
        <f>Balance_Sheet!G66-Balance_Sheet!H66</f>
        <v>-21174.318853887584</v>
      </c>
      <c r="I17" s="24">
        <f>Balance_Sheet!H66-Balance_Sheet!I66</f>
        <v>-17339.063564072421</v>
      </c>
      <c r="J17" s="24">
        <f>Balance_Sheet!I66-Balance_Sheet!J66</f>
        <v>-21808.26907124772</v>
      </c>
      <c r="K17" s="24">
        <f>Balance_Sheet!J66-Balance_Sheet!K66</f>
        <v>-33468.805992520443</v>
      </c>
      <c r="L17" s="24">
        <f>Balance_Sheet!K66-Balance_Sheet!L66</f>
        <v>-31837.34050927512</v>
      </c>
    </row>
    <row r="18" spans="2:12" ht="18.75" x14ac:dyDescent="0.25">
      <c r="B18" s="8" t="str">
        <f>Balance_Sheet!B68</f>
        <v>Trade Receivables</v>
      </c>
      <c r="C18" s="4"/>
      <c r="D18" s="5">
        <f>Balance_Sheet!C68-Balance_Sheet!D68</f>
        <v>-12534</v>
      </c>
      <c r="E18" s="5">
        <f>Balance_Sheet!D68-Balance_Sheet!E68</f>
        <v>10433</v>
      </c>
      <c r="F18" s="5">
        <f>Balance_Sheet!E68-Balance_Sheet!F68</f>
        <v>642</v>
      </c>
      <c r="G18" s="5">
        <f>Balance_Sheet!F68-Balance_Sheet!G68</f>
        <v>-4626</v>
      </c>
      <c r="H18" s="24">
        <f>Balance_Sheet!G68-Balance_Sheet!H68</f>
        <v>1172.6090570195847</v>
      </c>
      <c r="I18" s="24">
        <f>Balance_Sheet!H68-Balance_Sheet!I68</f>
        <v>-3020.9888673704772</v>
      </c>
      <c r="J18" s="24">
        <f>Balance_Sheet!I68-Balance_Sheet!J68</f>
        <v>-3799.659528174976</v>
      </c>
      <c r="K18" s="24">
        <f>Balance_Sheet!J68-Balance_Sheet!K68</f>
        <v>-5831.2774466719311</v>
      </c>
      <c r="L18" s="24">
        <f>Balance_Sheet!K68-Balance_Sheet!L68</f>
        <v>-5547.0268558501921</v>
      </c>
    </row>
    <row r="19" spans="2:12" ht="18.75" x14ac:dyDescent="0.25">
      <c r="B19" s="8" t="s">
        <v>134</v>
      </c>
      <c r="C19" s="4"/>
      <c r="D19" s="4"/>
      <c r="E19" s="4"/>
      <c r="F19" s="4"/>
      <c r="G19" s="4"/>
      <c r="H19" s="26"/>
      <c r="I19" s="26"/>
      <c r="J19" s="26"/>
      <c r="K19" s="26"/>
      <c r="L19" s="26"/>
    </row>
    <row r="20" spans="2:12" ht="18.75" x14ac:dyDescent="0.25">
      <c r="B20" s="8" t="str">
        <f>Balance_Sheet!B23</f>
        <v>Long Term Provisions</v>
      </c>
      <c r="C20" s="4"/>
      <c r="D20" s="5">
        <f>Balance_Sheet!D23-Balance_Sheet!C23</f>
        <v>-50</v>
      </c>
      <c r="E20" s="5">
        <f>Balance_Sheet!E23-Balance_Sheet!D23</f>
        <v>-1066</v>
      </c>
      <c r="F20" s="5">
        <f>Balance_Sheet!F23-Balance_Sheet!E23</f>
        <v>835</v>
      </c>
      <c r="G20" s="5">
        <f>Balance_Sheet!G23-Balance_Sheet!F23</f>
        <v>-772</v>
      </c>
      <c r="H20" s="24">
        <f>Balance_Sheet!H23-Balance_Sheet!G23</f>
        <v>1985.1763196636948</v>
      </c>
      <c r="I20" s="24">
        <f>Balance_Sheet!I23-Balance_Sheet!H23</f>
        <v>516.08519930667353</v>
      </c>
      <c r="J20" s="24">
        <f>Balance_Sheet!J23-Balance_Sheet!I23</f>
        <v>649.10800105083854</v>
      </c>
      <c r="K20" s="24">
        <f>Balance_Sheet!K23-Balance_Sheet!J23</f>
        <v>996.17579388753711</v>
      </c>
      <c r="L20" s="24">
        <f>Balance_Sheet!L23-Balance_Sheet!K23</f>
        <v>947.616355485844</v>
      </c>
    </row>
    <row r="21" spans="2:12" ht="18.75" x14ac:dyDescent="0.25">
      <c r="B21" s="8" t="str">
        <f>Balance_Sheet!B25</f>
        <v>Short Term Provisions</v>
      </c>
      <c r="C21" s="4"/>
      <c r="D21" s="5">
        <f>Balance_Sheet!D25-Balance_Sheet!C25</f>
        <v>94</v>
      </c>
      <c r="E21" s="5">
        <f>Balance_Sheet!E25-Balance_Sheet!D25</f>
        <v>564</v>
      </c>
      <c r="F21" s="5">
        <f>Balance_Sheet!F25-Balance_Sheet!E25</f>
        <v>614</v>
      </c>
      <c r="G21" s="5">
        <f>Balance_Sheet!G25-Balance_Sheet!F25</f>
        <v>-568</v>
      </c>
      <c r="H21" s="24">
        <f>Balance_Sheet!H25-Balance_Sheet!G25</f>
        <v>921.1242258254656</v>
      </c>
      <c r="I21" s="24">
        <f>Balance_Sheet!I25-Balance_Sheet!H25</f>
        <v>384.17190944950107</v>
      </c>
      <c r="J21" s="24">
        <f>Balance_Sheet!J25-Balance_Sheet!I25</f>
        <v>483.19359000734812</v>
      </c>
      <c r="K21" s="24">
        <f>Balance_Sheet!K25-Balance_Sheet!J25</f>
        <v>741.54956855822184</v>
      </c>
      <c r="L21" s="24">
        <f>Balance_Sheet!L25-Balance_Sheet!K25</f>
        <v>705.40210260175718</v>
      </c>
    </row>
    <row r="22" spans="2:12" ht="18.75" x14ac:dyDescent="0.25">
      <c r="B22" s="8" t="str">
        <f>Balance_Sheet!B27</f>
        <v>Other Long Term Liabilities</v>
      </c>
      <c r="C22" s="4"/>
      <c r="D22" s="5">
        <f>Balance_Sheet!D27-Balance_Sheet!C27</f>
        <v>655</v>
      </c>
      <c r="E22" s="5">
        <f>Balance_Sheet!E27-Balance_Sheet!D27</f>
        <v>8701</v>
      </c>
      <c r="F22" s="5">
        <f>Balance_Sheet!F27-Balance_Sheet!E27</f>
        <v>2795</v>
      </c>
      <c r="G22" s="5">
        <f>Balance_Sheet!G27-Balance_Sheet!F27</f>
        <v>21920</v>
      </c>
      <c r="H22" s="24">
        <f>Balance_Sheet!H27-Balance_Sheet!G27</f>
        <v>13564.300000000003</v>
      </c>
      <c r="I22" s="24">
        <f>Balance_Sheet!I27-Balance_Sheet!H27</f>
        <v>10271.119999999995</v>
      </c>
      <c r="J22" s="24">
        <f>Balance_Sheet!J27-Balance_Sheet!I27</f>
        <v>12918.529999999999</v>
      </c>
      <c r="K22" s="24">
        <f>Balance_Sheet!K27-Balance_Sheet!J27</f>
        <v>19825.87000000001</v>
      </c>
      <c r="L22" s="24">
        <f>Balance_Sheet!L27-Balance_Sheet!K27</f>
        <v>18859.449999999983</v>
      </c>
    </row>
    <row r="23" spans="2:12" ht="18.75" x14ac:dyDescent="0.25">
      <c r="B23" s="8" t="str">
        <f>Balance_Sheet!B29</f>
        <v>Trade Payables</v>
      </c>
      <c r="C23" s="4"/>
      <c r="D23" s="5">
        <f>Balance_Sheet!D29-Balance_Sheet!C29</f>
        <v>1448</v>
      </c>
      <c r="E23" s="5">
        <f>Balance_Sheet!E29-Balance_Sheet!D29</f>
        <v>-11510</v>
      </c>
      <c r="F23" s="5">
        <f>Balance_Sheet!F29-Balance_Sheet!E29</f>
        <v>12098</v>
      </c>
      <c r="G23" s="5">
        <f>Balance_Sheet!G29-Balance_Sheet!F29</f>
        <v>50433</v>
      </c>
      <c r="H23" s="24">
        <f>Balance_Sheet!H29-Balance_Sheet!G29</f>
        <v>34401.42303239007</v>
      </c>
      <c r="I23" s="24">
        <f>Balance_Sheet!I29-Balance_Sheet!H29</f>
        <v>26049.329614017595</v>
      </c>
      <c r="J23" s="24">
        <f>Balance_Sheet!J29-Balance_Sheet!I29</f>
        <v>32763.637277692236</v>
      </c>
      <c r="K23" s="24">
        <f>Balance_Sheet!K29-Balance_Sheet!J29</f>
        <v>50281.836493942945</v>
      </c>
      <c r="L23" s="24">
        <f>Balance_Sheet!L29-Balance_Sheet!K29</f>
        <v>47830.805504298827</v>
      </c>
    </row>
    <row r="24" spans="2:12" ht="18.75" x14ac:dyDescent="0.25">
      <c r="B24" s="8" t="str">
        <f>Balance_Sheet!B31</f>
        <v>Other Current Liabilities</v>
      </c>
      <c r="C24" s="4"/>
      <c r="D24" s="5">
        <f>Balance_Sheet!D31-Balance_Sheet!C31</f>
        <v>-25079</v>
      </c>
      <c r="E24" s="5">
        <f>Balance_Sheet!E31-Balance_Sheet!D31</f>
        <v>77189</v>
      </c>
      <c r="F24" s="5">
        <f>Balance_Sheet!F31-Balance_Sheet!E31</f>
        <v>-114354</v>
      </c>
      <c r="G24" s="5">
        <f>Balance_Sheet!G31-Balance_Sheet!F31</f>
        <v>-37296</v>
      </c>
      <c r="H24" s="24">
        <f>Balance_Sheet!H31-Balance_Sheet!G31</f>
        <v>204630.29614923178</v>
      </c>
      <c r="I24" s="24">
        <f>Balance_Sheet!I31-Balance_Sheet!H31</f>
        <v>36764.378777947917</v>
      </c>
      <c r="J24" s="24">
        <f>Balance_Sheet!J31-Balance_Sheet!I31</f>
        <v>46240.528599714453</v>
      </c>
      <c r="K24" s="24">
        <f>Balance_Sheet!K31-Balance_Sheet!J31</f>
        <v>70964.608683035243</v>
      </c>
      <c r="L24" s="24">
        <f>Balance_Sheet!L31-Balance_Sheet!K31</f>
        <v>67505.378329127328</v>
      </c>
    </row>
    <row r="25" spans="2:12" ht="18.75" x14ac:dyDescent="0.25">
      <c r="B25" s="8" t="s">
        <v>103</v>
      </c>
      <c r="C25" s="4"/>
      <c r="D25" s="4"/>
      <c r="E25" s="4"/>
      <c r="F25" s="4"/>
      <c r="G25" s="4"/>
      <c r="H25" s="26"/>
      <c r="I25" s="26"/>
      <c r="J25" s="26"/>
      <c r="K25" s="26"/>
      <c r="L25" s="26"/>
    </row>
    <row r="26" spans="2:12" ht="18.75" x14ac:dyDescent="0.25">
      <c r="B26" s="8" t="str">
        <f>Income_Statement!B47</f>
        <v>Total Tax Expenses</v>
      </c>
      <c r="C26" s="4"/>
      <c r="D26" s="5">
        <f>Income_Statement!D47</f>
        <v>15390</v>
      </c>
      <c r="E26" s="5">
        <f>Income_Statement!E47</f>
        <v>13726</v>
      </c>
      <c r="F26" s="5">
        <f>Income_Statement!F47</f>
        <v>1722</v>
      </c>
      <c r="G26" s="5">
        <f>Income_Statement!G47</f>
        <v>16297</v>
      </c>
      <c r="H26" s="24">
        <f>Income_Statement!H47</f>
        <v>18538.750724201931</v>
      </c>
      <c r="I26" s="24">
        <f>Income_Statement!I47</f>
        <v>17699.995762385799</v>
      </c>
      <c r="J26" s="24">
        <f>Income_Statement!J47</f>
        <v>18824.85387192995</v>
      </c>
      <c r="K26" s="24">
        <f>Income_Statement!K47</f>
        <v>20924.592687117714</v>
      </c>
      <c r="L26" s="24">
        <f>Income_Statement!L47</f>
        <v>20150.448414997241</v>
      </c>
    </row>
    <row r="27" spans="2:12" ht="18.75" x14ac:dyDescent="0.25">
      <c r="B27" s="9" t="s">
        <v>135</v>
      </c>
      <c r="C27" s="6"/>
      <c r="D27" s="7">
        <f>D12+D13+D14+D15+D16+D17+D18+D20+D21+D22+D23+D24-D26+D10+D5</f>
        <v>125566.92383863393</v>
      </c>
      <c r="E27" s="7">
        <f t="shared" ref="E27:L27" si="1">E12+E13+E14+E15+E16+E17+E18+E20+E21+E22+E23+E24-E26+E10+E5</f>
        <v>248322.92530572112</v>
      </c>
      <c r="F27" s="7">
        <f t="shared" si="1"/>
        <v>23130.896173860179</v>
      </c>
      <c r="G27" s="7">
        <f t="shared" si="1"/>
        <v>247702.02071271581</v>
      </c>
      <c r="H27" s="27">
        <f t="shared" si="1"/>
        <v>526943.47315853834</v>
      </c>
      <c r="I27" s="27">
        <f t="shared" si="1"/>
        <v>298560.33104228933</v>
      </c>
      <c r="J27" s="27">
        <f t="shared" si="1"/>
        <v>331472.56443980103</v>
      </c>
      <c r="K27" s="27">
        <f t="shared" si="1"/>
        <v>396832.39602399344</v>
      </c>
      <c r="L27" s="27">
        <f t="shared" si="1"/>
        <v>400956.71555221966</v>
      </c>
    </row>
    <row r="28" spans="2:12" ht="18.75" x14ac:dyDescent="0.25">
      <c r="B28" s="8" t="s">
        <v>136</v>
      </c>
      <c r="C28" s="4"/>
      <c r="D28" s="4"/>
      <c r="E28" s="4"/>
      <c r="F28" s="4"/>
      <c r="G28" s="4"/>
      <c r="H28" s="26"/>
      <c r="I28" s="26"/>
      <c r="J28" s="26"/>
      <c r="K28" s="26"/>
      <c r="L28" s="26"/>
    </row>
    <row r="29" spans="2:12" ht="18.75" x14ac:dyDescent="0.25">
      <c r="B29" s="8" t="str">
        <f>Balance_Sheet!B40</f>
        <v>Tangible Assets</v>
      </c>
      <c r="C29" s="4"/>
      <c r="D29" s="5">
        <f>Balance_Sheet!C40-Balance_Sheet!D40</f>
        <v>13916</v>
      </c>
      <c r="E29" s="5">
        <f>Balance_Sheet!D40-Balance_Sheet!E40</f>
        <v>-133805</v>
      </c>
      <c r="F29" s="5">
        <f>Balance_Sheet!E40-Balance_Sheet!F40</f>
        <v>-15146</v>
      </c>
      <c r="G29" s="5">
        <f>Balance_Sheet!F40-Balance_Sheet!G40</f>
        <v>-336229</v>
      </c>
      <c r="H29" s="24">
        <f>Balance_Sheet!G40-Balance_Sheet!H40</f>
        <v>-169987.25</v>
      </c>
      <c r="I29" s="24">
        <f>Balance_Sheet!H40-Balance_Sheet!I40</f>
        <v>-128717.16999999993</v>
      </c>
      <c r="J29" s="24">
        <f>Balance_Sheet!I40-Balance_Sheet!J40</f>
        <v>-161894.47999999998</v>
      </c>
      <c r="K29" s="24">
        <f>Balance_Sheet!J40-Balance_Sheet!K40</f>
        <v>-248456.91000000015</v>
      </c>
      <c r="L29" s="24">
        <f>Balance_Sheet!K40-Balance_Sheet!L40</f>
        <v>-236345.65999999992</v>
      </c>
    </row>
    <row r="30" spans="2:12" ht="18.75" x14ac:dyDescent="0.25">
      <c r="B30" s="8" t="str">
        <f>Balance_Sheet!B42</f>
        <v>Intangible Assets</v>
      </c>
      <c r="C30" s="4"/>
      <c r="D30" s="5">
        <f>Balance_Sheet!C42-Balance_Sheet!D42</f>
        <v>-2221</v>
      </c>
      <c r="E30" s="5">
        <f>Balance_Sheet!D42-Balance_Sheet!E42</f>
        <v>-2217</v>
      </c>
      <c r="F30" s="5">
        <f>Balance_Sheet!E42-Balance_Sheet!F42</f>
        <v>6499</v>
      </c>
      <c r="G30" s="5">
        <f>Balance_Sheet!F42-Balance_Sheet!G42</f>
        <v>79980</v>
      </c>
      <c r="H30" s="24">
        <f>Balance_Sheet!G42-Balance_Sheet!H42</f>
        <v>0</v>
      </c>
      <c r="I30" s="24">
        <f>Balance_Sheet!H42-Balance_Sheet!I42</f>
        <v>0</v>
      </c>
      <c r="J30" s="24">
        <f>Balance_Sheet!I42-Balance_Sheet!J42</f>
        <v>0</v>
      </c>
      <c r="K30" s="24">
        <f>Balance_Sheet!J42-Balance_Sheet!K42</f>
        <v>0</v>
      </c>
      <c r="L30" s="24">
        <f>Balance_Sheet!K42-Balance_Sheet!L42</f>
        <v>0</v>
      </c>
    </row>
    <row r="31" spans="2:12" ht="18.75" x14ac:dyDescent="0.25">
      <c r="B31" s="8" t="str">
        <f>Balance_Sheet!B48</f>
        <v>Non-Current Investments</v>
      </c>
      <c r="C31" s="4"/>
      <c r="D31" s="5">
        <f>Balance_Sheet!C48-Balance_Sheet!D48</f>
        <v>-139353</v>
      </c>
      <c r="E31" s="5">
        <f>Balance_Sheet!D48-Balance_Sheet!E48</f>
        <v>-39240</v>
      </c>
      <c r="F31" s="5">
        <f>Balance_Sheet!E48-Balance_Sheet!F48</f>
        <v>-8530</v>
      </c>
      <c r="G31" s="5">
        <f>Balance_Sheet!F48-Balance_Sheet!G48</f>
        <v>-73764</v>
      </c>
      <c r="H31" s="24">
        <f>Balance_Sheet!G48-Balance_Sheet!H48</f>
        <v>-24390.976427738962</v>
      </c>
      <c r="I31" s="24">
        <f>Balance_Sheet!H48-Balance_Sheet!I48</f>
        <v>-41755.126399676199</v>
      </c>
      <c r="J31" s="24">
        <f>Balance_Sheet!I48-Balance_Sheet!J48</f>
        <v>-52517.659230163437</v>
      </c>
      <c r="K31" s="24">
        <f>Balance_Sheet!J48-Balance_Sheet!K48</f>
        <v>-80598.021888542105</v>
      </c>
      <c r="L31" s="24">
        <f>Balance_Sheet!K48-Balance_Sheet!L48</f>
        <v>-76669.202594588452</v>
      </c>
    </row>
    <row r="32" spans="2:12" ht="18.75" x14ac:dyDescent="0.25">
      <c r="B32" s="8" t="str">
        <f>Balance_Sheet!B50</f>
        <v>Current Investments</v>
      </c>
      <c r="C32" s="4"/>
      <c r="D32" s="5">
        <f>Balance_Sheet!C50-Balance_Sheet!D50</f>
        <v>-13420</v>
      </c>
      <c r="E32" s="5">
        <f>Balance_Sheet!D50-Balance_Sheet!E50</f>
        <v>-1892</v>
      </c>
      <c r="F32" s="5">
        <f>Balance_Sheet!E50-Balance_Sheet!F50</f>
        <v>-79531</v>
      </c>
      <c r="G32" s="5">
        <f>Balance_Sheet!F50-Balance_Sheet!G50</f>
        <v>44328</v>
      </c>
      <c r="H32" s="24">
        <f>Balance_Sheet!G50-Balance_Sheet!H50</f>
        <v>-27442.168469378143</v>
      </c>
      <c r="I32" s="24">
        <f>Balance_Sheet!H50-Balance_Sheet!I50</f>
        <v>-18227.561929384043</v>
      </c>
      <c r="J32" s="24">
        <f>Balance_Sheet!I50-Balance_Sheet!J50</f>
        <v>-22925.78106077807</v>
      </c>
      <c r="K32" s="24">
        <f>Balance_Sheet!J50-Balance_Sheet!K50</f>
        <v>-35183.833987163875</v>
      </c>
      <c r="L32" s="24">
        <f>Balance_Sheet!K50-Balance_Sheet!L50</f>
        <v>-33468.768002105469</v>
      </c>
    </row>
    <row r="33" spans="2:12" ht="18.75" x14ac:dyDescent="0.25">
      <c r="B33" s="8" t="str">
        <f>Balance_Sheet!B52</f>
        <v>Capital Work-In-Progress</v>
      </c>
      <c r="C33" s="4"/>
      <c r="D33" s="5">
        <f>Balance_Sheet!C52-Balance_Sheet!D52</f>
        <v>42642</v>
      </c>
      <c r="E33" s="5">
        <f>Balance_Sheet!D52-Balance_Sheet!E52</f>
        <v>91082</v>
      </c>
      <c r="F33" s="5">
        <f>Balance_Sheet!E52-Balance_Sheet!F52</f>
        <v>-12075</v>
      </c>
      <c r="G33" s="5">
        <f>Balance_Sheet!F52-Balance_Sheet!G52</f>
        <v>71171</v>
      </c>
      <c r="H33" s="24">
        <f>Balance_Sheet!G52-Balance_Sheet!H52</f>
        <v>-104063.56070353706</v>
      </c>
      <c r="I33" s="24">
        <f>Balance_Sheet!H52-Balance_Sheet!I52</f>
        <v>-13992.495131373435</v>
      </c>
      <c r="J33" s="24">
        <f>Balance_Sheet!I52-Balance_Sheet!J52</f>
        <v>-17599.110682967308</v>
      </c>
      <c r="K33" s="24">
        <f>Balance_Sheet!J52-Balance_Sheet!K52</f>
        <v>-27009.077114959975</v>
      </c>
      <c r="L33" s="24">
        <f>Balance_Sheet!K52-Balance_Sheet!L52</f>
        <v>-25692.496623345913</v>
      </c>
    </row>
    <row r="34" spans="2:12" ht="18.75" x14ac:dyDescent="0.25">
      <c r="B34" s="8" t="s">
        <v>59</v>
      </c>
      <c r="C34" s="4"/>
      <c r="D34" s="5">
        <f>Income_Statement!D11</f>
        <v>8386</v>
      </c>
      <c r="E34" s="5">
        <f>Income_Statement!E11</f>
        <v>13164</v>
      </c>
      <c r="F34" s="5">
        <f>Income_Statement!F11</f>
        <v>16327</v>
      </c>
      <c r="G34" s="5">
        <f>Income_Statement!G11</f>
        <v>14947</v>
      </c>
      <c r="H34" s="24">
        <f>Income_Statement!H11</f>
        <v>15827.200053395647</v>
      </c>
      <c r="I34" s="24">
        <f>Income_Statement!I11</f>
        <v>15773.212567201019</v>
      </c>
      <c r="J34" s="24">
        <f>Income_Statement!J11</f>
        <v>17133.087007849146</v>
      </c>
      <c r="K34" s="24">
        <f>Income_Statement!K11</f>
        <v>19464.666834101765</v>
      </c>
      <c r="L34" s="24">
        <f>Income_Statement!L11</f>
        <v>19867.233590541491</v>
      </c>
    </row>
    <row r="35" spans="2:12" ht="18.75" x14ac:dyDescent="0.25">
      <c r="B35" s="9" t="s">
        <v>137</v>
      </c>
      <c r="C35" s="6"/>
      <c r="D35" s="7">
        <f>D29+D30+D31+D32+D33+D34</f>
        <v>-90050</v>
      </c>
      <c r="E35" s="7">
        <f t="shared" ref="E35:L35" si="2">E29+E30+E31+E32+E33+E34</f>
        <v>-72908</v>
      </c>
      <c r="F35" s="7">
        <f t="shared" si="2"/>
        <v>-92456</v>
      </c>
      <c r="G35" s="7">
        <f t="shared" si="2"/>
        <v>-199567</v>
      </c>
      <c r="H35" s="27">
        <f t="shared" si="2"/>
        <v>-310056.75554725854</v>
      </c>
      <c r="I35" s="27">
        <f t="shared" si="2"/>
        <v>-186919.14089323257</v>
      </c>
      <c r="J35" s="27">
        <f t="shared" si="2"/>
        <v>-237803.94396605963</v>
      </c>
      <c r="K35" s="27">
        <f t="shared" si="2"/>
        <v>-371783.17615656427</v>
      </c>
      <c r="L35" s="27">
        <f t="shared" si="2"/>
        <v>-352308.89362949826</v>
      </c>
    </row>
    <row r="36" spans="2:12" ht="18.75" x14ac:dyDescent="0.25">
      <c r="B36" s="8" t="s">
        <v>138</v>
      </c>
      <c r="C36" s="4"/>
      <c r="D36" s="4"/>
      <c r="E36" s="4"/>
      <c r="F36" s="4"/>
      <c r="G36" s="4"/>
      <c r="H36" s="26"/>
      <c r="I36" s="26"/>
      <c r="J36" s="26"/>
      <c r="K36" s="26"/>
      <c r="L36" s="26"/>
    </row>
    <row r="37" spans="2:12" ht="18.75" x14ac:dyDescent="0.25">
      <c r="B37" s="8" t="str">
        <f>Balance_Sheet!B5</f>
        <v>Equity Share Capital</v>
      </c>
      <c r="C37" s="4"/>
      <c r="D37" s="5">
        <f>Balance_Sheet!D5-Balance_Sheet!C5</f>
        <v>4</v>
      </c>
      <c r="E37" s="5">
        <f>Balance_Sheet!E5-Balance_Sheet!D5</f>
        <v>413</v>
      </c>
      <c r="F37" s="5">
        <f>Balance_Sheet!F5-Balance_Sheet!E5</f>
        <v>106</v>
      </c>
      <c r="G37" s="5">
        <f>Balance_Sheet!G5-Balance_Sheet!F5</f>
        <v>320</v>
      </c>
      <c r="H37" s="24">
        <f>Balance_Sheet!H5-Balance_Sheet!G5</f>
        <v>0</v>
      </c>
      <c r="I37" s="24">
        <f>Balance_Sheet!I5-Balance_Sheet!H5</f>
        <v>0</v>
      </c>
      <c r="J37" s="24">
        <f>Balance_Sheet!J5-Balance_Sheet!I5</f>
        <v>0</v>
      </c>
      <c r="K37" s="24">
        <f>Balance_Sheet!K5-Balance_Sheet!J5</f>
        <v>0</v>
      </c>
      <c r="L37" s="24">
        <f>Balance_Sheet!L5-Balance_Sheet!K5</f>
        <v>0</v>
      </c>
    </row>
    <row r="38" spans="2:12" ht="18.75" x14ac:dyDescent="0.25">
      <c r="B38" s="8" t="str">
        <f>Balance_Sheet!B7</f>
        <v>Preference Share Capital</v>
      </c>
      <c r="C38" s="4"/>
      <c r="D38" s="4">
        <f>Balance_Sheet!D7-Balance_Sheet!C7</f>
        <v>0</v>
      </c>
      <c r="E38" s="4">
        <f>Balance_Sheet!E7-Balance_Sheet!D7</f>
        <v>0</v>
      </c>
      <c r="F38" s="4">
        <f>Balance_Sheet!F7-Balance_Sheet!E7</f>
        <v>0</v>
      </c>
      <c r="G38" s="4">
        <f>Balance_Sheet!G7-Balance_Sheet!F7</f>
        <v>0</v>
      </c>
      <c r="H38" s="26">
        <f>Balance_Sheet!H7-Balance_Sheet!G7</f>
        <v>0</v>
      </c>
      <c r="I38" s="26">
        <f>Balance_Sheet!I7-Balance_Sheet!H7</f>
        <v>0</v>
      </c>
      <c r="J38" s="26">
        <f>Balance_Sheet!J7-Balance_Sheet!I7</f>
        <v>0</v>
      </c>
      <c r="K38" s="26">
        <f>Balance_Sheet!K7-Balance_Sheet!J7</f>
        <v>0</v>
      </c>
      <c r="L38" s="26">
        <f>Balance_Sheet!L7-Balance_Sheet!K7</f>
        <v>0</v>
      </c>
    </row>
    <row r="39" spans="2:12" ht="18.75" x14ac:dyDescent="0.25">
      <c r="B39" s="8" t="str">
        <f>Balance_Sheet!B15</f>
        <v>Long Term Borrowings</v>
      </c>
      <c r="C39" s="4"/>
      <c r="D39" s="5">
        <f>Balance_Sheet!D15-Balance_Sheet!C15</f>
        <v>63331</v>
      </c>
      <c r="E39" s="5">
        <f>Balance_Sheet!E15-Balance_Sheet!D15</f>
        <v>-9875</v>
      </c>
      <c r="F39" s="5">
        <f>Balance_Sheet!F15-Balance_Sheet!E15</f>
        <v>-33948</v>
      </c>
      <c r="G39" s="5">
        <f>Balance_Sheet!G15-Balance_Sheet!F15</f>
        <v>24016</v>
      </c>
      <c r="H39" s="24">
        <f>Balance_Sheet!H15-Balance_Sheet!G15</f>
        <v>40526.660000000003</v>
      </c>
      <c r="I39" s="24">
        <f>Balance_Sheet!I15-Balance_Sheet!H15</f>
        <v>30687.459999999992</v>
      </c>
      <c r="J39" s="24">
        <f>Balance_Sheet!J15-Balance_Sheet!I15</f>
        <v>38597.260000000009</v>
      </c>
      <c r="K39" s="24">
        <f>Balance_Sheet!K15-Balance_Sheet!J15</f>
        <v>59234.609999999986</v>
      </c>
      <c r="L39" s="24">
        <f>Balance_Sheet!L15-Balance_Sheet!K15</f>
        <v>56347.169999999984</v>
      </c>
    </row>
    <row r="40" spans="2:12" ht="18.75" x14ac:dyDescent="0.25">
      <c r="B40" s="8" t="str">
        <f>Balance_Sheet!B17</f>
        <v>Deferred Tax Liabilities [Net]</v>
      </c>
      <c r="C40" s="4"/>
      <c r="D40" s="5">
        <f>Balance_Sheet!D17-Balance_Sheet!C17</f>
        <v>20305</v>
      </c>
      <c r="E40" s="5">
        <f>Balance_Sheet!E17-Balance_Sheet!D17</f>
        <v>4200</v>
      </c>
      <c r="F40" s="5">
        <f>Balance_Sheet!F17-Balance_Sheet!E17</f>
        <v>-17122</v>
      </c>
      <c r="G40" s="5">
        <f>Balance_Sheet!G17-Balance_Sheet!F17</f>
        <v>12643</v>
      </c>
      <c r="H40" s="24">
        <f>Balance_Sheet!H17-Balance_Sheet!G17</f>
        <v>24003.101463895742</v>
      </c>
      <c r="I40" s="24">
        <f>Balance_Sheet!I17-Balance_Sheet!H17</f>
        <v>9902.6662330832623</v>
      </c>
      <c r="J40" s="24">
        <f>Balance_Sheet!J17-Balance_Sheet!I17</f>
        <v>12455.113791803684</v>
      </c>
      <c r="K40" s="24">
        <f>Balance_Sheet!K17-Balance_Sheet!J17</f>
        <v>19114.666356635935</v>
      </c>
      <c r="L40" s="24">
        <f>Balance_Sheet!L17-Balance_Sheet!K17</f>
        <v>18182.905648125103</v>
      </c>
    </row>
    <row r="41" spans="2:12" ht="18.75" x14ac:dyDescent="0.25">
      <c r="B41" s="8" t="str">
        <f>Balance_Sheet!B19</f>
        <v>Short Term Borrowings</v>
      </c>
      <c r="C41" s="4"/>
      <c r="D41" s="5">
        <f>Balance_Sheet!D19-Balance_Sheet!C19</f>
        <v>27007</v>
      </c>
      <c r="E41" s="5">
        <f>Balance_Sheet!E19-Balance_Sheet!D19</f>
        <v>29350</v>
      </c>
      <c r="F41" s="5">
        <f>Balance_Sheet!F19-Balance_Sheet!E19</f>
        <v>-33705</v>
      </c>
      <c r="G41" s="5">
        <f>Balance_Sheet!G19-Balance_Sheet!F19</f>
        <v>18525</v>
      </c>
      <c r="H41" s="24">
        <f>Balance_Sheet!H19-Balance_Sheet!G19</f>
        <v>16972.059999999998</v>
      </c>
      <c r="I41" s="24">
        <f>Balance_Sheet!I19-Balance_Sheet!H19</f>
        <v>12851.529999999999</v>
      </c>
      <c r="J41" s="24">
        <f>Balance_Sheet!J19-Balance_Sheet!I19</f>
        <v>16164.050000000003</v>
      </c>
      <c r="K41" s="24">
        <f>Balance_Sheet!K19-Balance_Sheet!J19</f>
        <v>24806.710000000006</v>
      </c>
      <c r="L41" s="24">
        <f>Balance_Sheet!L19-Balance_Sheet!K19</f>
        <v>23597.5</v>
      </c>
    </row>
    <row r="42" spans="2:12" ht="18.75" x14ac:dyDescent="0.25">
      <c r="B42" s="8" t="str">
        <f>Balance_Sheet!B35:G35</f>
        <v>Minority Interest</v>
      </c>
      <c r="C42" s="4"/>
      <c r="D42" s="5">
        <f>Balance_Sheet!D35-Balance_Sheet!C35</f>
        <v>4741</v>
      </c>
      <c r="E42" s="5">
        <f>Balance_Sheet!E35-Balance_Sheet!D35</f>
        <v>3901</v>
      </c>
      <c r="F42" s="5">
        <f>Balance_Sheet!F35-Balance_Sheet!E35</f>
        <v>87079</v>
      </c>
      <c r="G42" s="5">
        <f>Balance_Sheet!G35-Balance_Sheet!F35</f>
        <v>10239</v>
      </c>
      <c r="H42" s="24">
        <f>Balance_Sheet!H35-Balance_Sheet!G35</f>
        <v>-91084.909949851863</v>
      </c>
      <c r="I42" s="24">
        <f>Balance_Sheet!I35-Balance_Sheet!H35</f>
        <v>2475.9777931240096</v>
      </c>
      <c r="J42" s="24">
        <f>Balance_Sheet!J35-Balance_Sheet!I35</f>
        <v>3114.1699046981485</v>
      </c>
      <c r="K42" s="24">
        <f>Balance_Sheet!K35-Balance_Sheet!J35</f>
        <v>4779.2673516442883</v>
      </c>
      <c r="L42" s="24">
        <f>Balance_Sheet!L35-Balance_Sheet!K35</f>
        <v>4546.2978898370384</v>
      </c>
    </row>
    <row r="43" spans="2:12" ht="18.75" x14ac:dyDescent="0.25">
      <c r="B43" s="8" t="s">
        <v>139</v>
      </c>
      <c r="C43" s="4"/>
      <c r="D43" s="4"/>
      <c r="E43" s="4"/>
      <c r="F43" s="4"/>
      <c r="G43" s="4"/>
      <c r="H43" s="26"/>
      <c r="I43" s="26"/>
      <c r="J43" s="26"/>
      <c r="K43" s="26"/>
      <c r="L43" s="26"/>
    </row>
    <row r="44" spans="2:12" ht="18.75" x14ac:dyDescent="0.25">
      <c r="B44" s="8" t="str">
        <f>Income_Statement!B51</f>
        <v>Equity Share Dividend</v>
      </c>
      <c r="C44" s="4"/>
      <c r="D44" s="5">
        <f>Income_Statement!D51</f>
        <v>3554</v>
      </c>
      <c r="E44" s="5">
        <f>Income_Statement!E51</f>
        <v>3852</v>
      </c>
      <c r="F44" s="5">
        <f>Income_Statement!F51</f>
        <v>3921</v>
      </c>
      <c r="G44" s="5">
        <f>Income_Statement!G51</f>
        <v>0</v>
      </c>
      <c r="H44" s="24">
        <f>Income_Statement!H51</f>
        <v>0</v>
      </c>
      <c r="I44" s="24">
        <f>Income_Statement!I51</f>
        <v>0</v>
      </c>
      <c r="J44" s="24">
        <f>Income_Statement!J51</f>
        <v>0</v>
      </c>
      <c r="K44" s="24">
        <f>Income_Statement!K51</f>
        <v>0</v>
      </c>
      <c r="L44" s="24">
        <f>Income_Statement!L51</f>
        <v>0</v>
      </c>
    </row>
    <row r="45" spans="2:12" ht="18.75" x14ac:dyDescent="0.25">
      <c r="B45" s="8" t="str">
        <f>Income_Statement!B53</f>
        <v>Tax On Dividend</v>
      </c>
      <c r="C45" s="4"/>
      <c r="D45" s="4">
        <f>Income_Statement!D53</f>
        <v>728</v>
      </c>
      <c r="E45" s="4">
        <f>Income_Statement!E53</f>
        <v>732</v>
      </c>
      <c r="F45" s="4">
        <f>Income_Statement!F53</f>
        <v>0</v>
      </c>
      <c r="G45" s="4">
        <f>Income_Statement!G53</f>
        <v>0</v>
      </c>
      <c r="H45" s="26">
        <f>Income_Statement!H53</f>
        <v>0</v>
      </c>
      <c r="I45" s="26">
        <f>Income_Statement!I53</f>
        <v>0</v>
      </c>
      <c r="J45" s="26">
        <f>Income_Statement!J53</f>
        <v>0</v>
      </c>
      <c r="K45" s="26">
        <f>Income_Statement!K53</f>
        <v>0</v>
      </c>
      <c r="L45" s="26">
        <f>Income_Statement!L53</f>
        <v>0</v>
      </c>
    </row>
    <row r="46" spans="2:12" ht="18.75" x14ac:dyDescent="0.25">
      <c r="B46" s="8" t="s">
        <v>140</v>
      </c>
      <c r="C46" s="4"/>
      <c r="D46" s="5">
        <f>Income_Statement!D35</f>
        <v>16495</v>
      </c>
      <c r="E46" s="5">
        <f>Income_Statement!E35</f>
        <v>22027</v>
      </c>
      <c r="F46" s="5">
        <f>Income_Statement!F35</f>
        <v>21189</v>
      </c>
      <c r="G46" s="5">
        <f>Income_Statement!G35</f>
        <v>14584</v>
      </c>
      <c r="H46" s="24">
        <f>Income_Statement!H35</f>
        <v>17732.875818059245</v>
      </c>
      <c r="I46" s="24">
        <f>Income_Statement!I35</f>
        <v>20117.256813473061</v>
      </c>
      <c r="J46" s="24">
        <f>Income_Statement!J35</f>
        <v>23116.220453807418</v>
      </c>
      <c r="K46" s="24">
        <f>Income_Statement!K35</f>
        <v>27718.682313411344</v>
      </c>
      <c r="L46" s="24">
        <f>Income_Statement!L35</f>
        <v>32096.793583521394</v>
      </c>
    </row>
    <row r="47" spans="2:12" ht="18.75" x14ac:dyDescent="0.25">
      <c r="B47" s="9" t="s">
        <v>141</v>
      </c>
      <c r="C47" s="6"/>
      <c r="D47" s="7">
        <f>D37+D38+D39+D40+D41+D42-D44-D45-D46</f>
        <v>94611</v>
      </c>
      <c r="E47" s="7">
        <f t="shared" ref="E47:L47" si="3">E37+E38+E39+E40+E41+E42-E44-E45-E46</f>
        <v>1378</v>
      </c>
      <c r="F47" s="7">
        <f t="shared" si="3"/>
        <v>-22700</v>
      </c>
      <c r="G47" s="7">
        <f t="shared" si="3"/>
        <v>51159</v>
      </c>
      <c r="H47" s="27">
        <f t="shared" si="3"/>
        <v>-27315.964304015364</v>
      </c>
      <c r="I47" s="27">
        <f t="shared" si="3"/>
        <v>35800.377212734202</v>
      </c>
      <c r="J47" s="27">
        <f t="shared" si="3"/>
        <v>47214.373242694433</v>
      </c>
      <c r="K47" s="27">
        <f t="shared" si="3"/>
        <v>80216.571394868864</v>
      </c>
      <c r="L47" s="27">
        <f t="shared" si="3"/>
        <v>70577.079954440735</v>
      </c>
    </row>
    <row r="48" spans="2:12" ht="18.75" x14ac:dyDescent="0.25">
      <c r="B48" s="9" t="s">
        <v>142</v>
      </c>
      <c r="C48" s="6"/>
      <c r="D48" s="7">
        <f>D27+D35+D47</f>
        <v>130127.92383863393</v>
      </c>
      <c r="E48" s="7">
        <f t="shared" ref="E48:L48" si="4">E27+E35+E47</f>
        <v>176792.92530572112</v>
      </c>
      <c r="F48" s="7">
        <f t="shared" si="4"/>
        <v>-92025.103826139821</v>
      </c>
      <c r="G48" s="7">
        <f t="shared" si="4"/>
        <v>99294.020712715806</v>
      </c>
      <c r="H48" s="27">
        <f t="shared" si="4"/>
        <v>189570.75330726444</v>
      </c>
      <c r="I48" s="27">
        <f t="shared" si="4"/>
        <v>147441.56736179095</v>
      </c>
      <c r="J48" s="27">
        <f t="shared" si="4"/>
        <v>140882.99371643586</v>
      </c>
      <c r="K48" s="27">
        <f t="shared" si="4"/>
        <v>105265.79126229804</v>
      </c>
      <c r="L48" s="27">
        <f t="shared" si="4"/>
        <v>119224.90187716213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C98E0939-C5C7-4F21-81EC-F17DB08E3017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32150-145C-4CEF-8A0D-5EC5E9CF7B9F}">
  <dimension ref="B1:O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3" width="14.85546875" bestFit="1" customWidth="1"/>
    <col min="4" max="7" width="16.425781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9.5" thickBot="1" x14ac:dyDescent="0.3">
      <c r="B5" s="43" t="s">
        <v>145</v>
      </c>
      <c r="C5" s="43"/>
      <c r="D5" s="43"/>
      <c r="E5" s="43"/>
      <c r="F5" s="43"/>
      <c r="G5" s="43"/>
    </row>
    <row r="6" spans="2:15" ht="19.5" thickTop="1" x14ac:dyDescent="0.25">
      <c r="B6" s="12" t="str">
        <f>Income_Statement!B49</f>
        <v>Reported Net Profit(PAT)</v>
      </c>
      <c r="C6" s="13">
        <f>Income_Statement!C49</f>
        <v>96039.932428824482</v>
      </c>
      <c r="D6" s="13">
        <f>Income_Statement!D49</f>
        <v>158984.92383863393</v>
      </c>
      <c r="E6" s="13">
        <f>Income_Statement!E49</f>
        <v>181989.92530572112</v>
      </c>
      <c r="F6" s="13">
        <f>Income_Statement!F49</f>
        <v>145020.89617386018</v>
      </c>
      <c r="G6" s="13">
        <f>Income_Statement!G49</f>
        <v>181694.02071271581</v>
      </c>
      <c r="I6" s="34"/>
      <c r="J6" s="35"/>
      <c r="K6" s="35"/>
      <c r="L6" s="36"/>
    </row>
    <row r="7" spans="2:15" ht="18.75" x14ac:dyDescent="0.25">
      <c r="B7" s="12" t="str">
        <f>Income_Statement!B61</f>
        <v>Total Shares Outstanding(cr)</v>
      </c>
      <c r="C7" s="13">
        <f>Income_Statement!C61</f>
        <v>1574.4251217840078</v>
      </c>
      <c r="D7" s="13">
        <f>Income_Statement!D61</f>
        <v>2372.9093110243871</v>
      </c>
      <c r="E7" s="13">
        <f>Income_Statement!E61</f>
        <v>2888.7289731066844</v>
      </c>
      <c r="F7" s="13">
        <f>Income_Statement!F61</f>
        <v>1908.1696864981602</v>
      </c>
      <c r="G7" s="13">
        <f>Income_Statement!G61</f>
        <v>1974.935007746911</v>
      </c>
      <c r="I7" s="37"/>
      <c r="J7" s="38"/>
      <c r="K7" s="38"/>
      <c r="L7" s="39"/>
    </row>
    <row r="8" spans="2:15" ht="19.5" thickBot="1" x14ac:dyDescent="0.3">
      <c r="B8" s="14" t="s">
        <v>146</v>
      </c>
      <c r="C8" s="14">
        <f>ROUND(C6/C7, 2)</f>
        <v>61</v>
      </c>
      <c r="D8" s="14">
        <f t="shared" ref="D8:G8" si="0">ROUND(D6/D7, 2)</f>
        <v>67</v>
      </c>
      <c r="E8" s="14">
        <f t="shared" si="0"/>
        <v>63</v>
      </c>
      <c r="F8" s="14">
        <f t="shared" si="0"/>
        <v>76</v>
      </c>
      <c r="G8" s="14">
        <f t="shared" si="0"/>
        <v>92</v>
      </c>
      <c r="I8" s="40"/>
      <c r="J8" s="41"/>
      <c r="K8" s="41"/>
      <c r="L8" s="42"/>
    </row>
    <row r="9" spans="2:15" ht="15.75" thickTop="1" x14ac:dyDescent="0.25"/>
    <row r="10" spans="2:15" ht="19.5" thickBot="1" x14ac:dyDescent="0.3">
      <c r="B10" s="43" t="s">
        <v>147</v>
      </c>
      <c r="C10" s="43"/>
      <c r="D10" s="43"/>
      <c r="E10" s="43"/>
      <c r="F10" s="43"/>
      <c r="G10" s="43"/>
    </row>
    <row r="11" spans="2:15" ht="19.5" thickTop="1" x14ac:dyDescent="0.25">
      <c r="B11" s="12" t="str">
        <f>Income_Statement!B51</f>
        <v>Equity Share Dividend</v>
      </c>
      <c r="C11" s="13">
        <f>Income_Statement!C51</f>
        <v>3255</v>
      </c>
      <c r="D11" s="13">
        <f>Income_Statement!D51</f>
        <v>3554</v>
      </c>
      <c r="E11" s="13">
        <f>Income_Statement!E51</f>
        <v>3852</v>
      </c>
      <c r="F11" s="13">
        <f>Income_Statement!F51</f>
        <v>3921</v>
      </c>
      <c r="G11" s="13">
        <f>Income_Statement!G51</f>
        <v>0</v>
      </c>
      <c r="I11" s="34"/>
      <c r="J11" s="35"/>
      <c r="K11" s="35"/>
      <c r="L11" s="36"/>
    </row>
    <row r="12" spans="2:15" ht="18.75" x14ac:dyDescent="0.25">
      <c r="B12" s="12" t="str">
        <f>Income_Statement!B61</f>
        <v>Total Shares Outstanding(cr)</v>
      </c>
      <c r="C12" s="13">
        <f>Income_Statement!C61</f>
        <v>1574.4251217840078</v>
      </c>
      <c r="D12" s="13">
        <f>Income_Statement!D61</f>
        <v>2372.9093110243871</v>
      </c>
      <c r="E12" s="13">
        <f>Income_Statement!E61</f>
        <v>2888.7289731066844</v>
      </c>
      <c r="F12" s="13">
        <f>Income_Statement!F61</f>
        <v>1908.1696864981602</v>
      </c>
      <c r="G12" s="13">
        <f>Income_Statement!G61</f>
        <v>1974.935007746911</v>
      </c>
      <c r="I12" s="37"/>
      <c r="J12" s="38"/>
      <c r="K12" s="38"/>
      <c r="L12" s="39"/>
    </row>
    <row r="13" spans="2:15" ht="19.5" thickBot="1" x14ac:dyDescent="0.3">
      <c r="B13" s="14" t="s">
        <v>148</v>
      </c>
      <c r="C13" s="14">
        <f>ROUND(C11/C12, 2)</f>
        <v>2.0699999999999998</v>
      </c>
      <c r="D13" s="14">
        <f t="shared" ref="D13:G13" si="1">ROUND(D11/D12, 2)</f>
        <v>1.5</v>
      </c>
      <c r="E13" s="14">
        <f t="shared" si="1"/>
        <v>1.33</v>
      </c>
      <c r="F13" s="14">
        <f t="shared" si="1"/>
        <v>2.0499999999999998</v>
      </c>
      <c r="G13" s="14">
        <f t="shared" si="1"/>
        <v>0</v>
      </c>
      <c r="I13" s="40"/>
      <c r="J13" s="41"/>
      <c r="K13" s="41"/>
      <c r="L13" s="42"/>
    </row>
    <row r="14" spans="2:15" ht="15.75" thickTop="1" x14ac:dyDescent="0.25"/>
    <row r="15" spans="2:15" ht="19.5" thickBot="1" x14ac:dyDescent="0.3">
      <c r="B15" s="43" t="s">
        <v>149</v>
      </c>
      <c r="C15" s="43"/>
      <c r="D15" s="43"/>
      <c r="E15" s="43"/>
      <c r="F15" s="43"/>
      <c r="G15" s="43"/>
    </row>
    <row r="16" spans="2:15" ht="19.5" thickTop="1" x14ac:dyDescent="0.25">
      <c r="B16" s="12" t="str">
        <f>Balance_Sheet!B13</f>
        <v>Net Worth</v>
      </c>
      <c r="C16" s="13">
        <f>Balance_Sheet!C13</f>
        <v>293491</v>
      </c>
      <c r="D16" s="13">
        <f>Balance_Sheet!D13</f>
        <v>448197.92383863393</v>
      </c>
      <c r="E16" s="13">
        <f>Balance_Sheet!E13</f>
        <v>626016.84914435504</v>
      </c>
      <c r="F16" s="13">
        <f>Balance_Sheet!F13</f>
        <v>767222.74531821522</v>
      </c>
      <c r="G16" s="13">
        <f>Balance_Sheet!G13</f>
        <v>949236.76603093103</v>
      </c>
      <c r="I16" s="34"/>
      <c r="J16" s="35"/>
      <c r="K16" s="35"/>
      <c r="L16" s="36"/>
    </row>
    <row r="17" spans="2:12" ht="18.75" x14ac:dyDescent="0.25">
      <c r="B17" s="12" t="str">
        <f>Income_Statement!B61</f>
        <v>Total Shares Outstanding(cr)</v>
      </c>
      <c r="C17" s="13">
        <f>Income_Statement!C61</f>
        <v>1574.4251217840078</v>
      </c>
      <c r="D17" s="13">
        <f>Income_Statement!D61</f>
        <v>2372.9093110243871</v>
      </c>
      <c r="E17" s="13">
        <f>Income_Statement!E61</f>
        <v>2888.7289731066844</v>
      </c>
      <c r="F17" s="13">
        <f>Income_Statement!F61</f>
        <v>1908.1696864981602</v>
      </c>
      <c r="G17" s="13">
        <f>Income_Statement!G61</f>
        <v>1974.935007746911</v>
      </c>
      <c r="I17" s="37"/>
      <c r="J17" s="38"/>
      <c r="K17" s="38"/>
      <c r="L17" s="39"/>
    </row>
    <row r="18" spans="2:12" ht="19.5" thickBot="1" x14ac:dyDescent="0.3">
      <c r="B18" s="14" t="s">
        <v>150</v>
      </c>
      <c r="C18" s="14">
        <f>ROUND(C16/C17, 2)</f>
        <v>186.41</v>
      </c>
      <c r="D18" s="14">
        <f t="shared" ref="D18:G18" si="2">ROUND(D16/D17, 2)</f>
        <v>188.88</v>
      </c>
      <c r="E18" s="14">
        <f t="shared" si="2"/>
        <v>216.71</v>
      </c>
      <c r="F18" s="14">
        <f t="shared" si="2"/>
        <v>402.07</v>
      </c>
      <c r="G18" s="14">
        <f t="shared" si="2"/>
        <v>480.64</v>
      </c>
      <c r="I18" s="40"/>
      <c r="J18" s="41"/>
      <c r="K18" s="41"/>
      <c r="L18" s="42"/>
    </row>
    <row r="19" spans="2:12" ht="15.75" thickTop="1" x14ac:dyDescent="0.25"/>
    <row r="20" spans="2:12" ht="18.75" x14ac:dyDescent="0.25">
      <c r="B20" s="43" t="s">
        <v>151</v>
      </c>
      <c r="C20" s="43"/>
      <c r="D20" s="43"/>
      <c r="E20" s="43"/>
      <c r="F20" s="43"/>
      <c r="G20" s="43"/>
    </row>
    <row r="21" spans="2:12" ht="18.75" x14ac:dyDescent="0.25">
      <c r="B21" s="12" t="str">
        <f>Income_Statement!B51</f>
        <v>Equity Share Dividend</v>
      </c>
      <c r="C21" s="13">
        <f>Income_Statement!C51</f>
        <v>3255</v>
      </c>
      <c r="D21" s="13">
        <f>Income_Statement!D51</f>
        <v>3554</v>
      </c>
      <c r="E21" s="13">
        <f>Income_Statement!E51</f>
        <v>3852</v>
      </c>
      <c r="F21" s="13">
        <f>Income_Statement!F51</f>
        <v>3921</v>
      </c>
      <c r="G21" s="13">
        <f>Income_Statement!G51</f>
        <v>0</v>
      </c>
    </row>
    <row r="22" spans="2:12" ht="18.75" x14ac:dyDescent="0.25">
      <c r="B22" s="12" t="str">
        <f>Income_Statement!B61</f>
        <v>Total Shares Outstanding(cr)</v>
      </c>
      <c r="C22" s="13">
        <f>Income_Statement!C61</f>
        <v>1574.4251217840078</v>
      </c>
      <c r="D22" s="13">
        <f>Income_Statement!D61</f>
        <v>2372.9093110243871</v>
      </c>
      <c r="E22" s="13">
        <f>Income_Statement!E61</f>
        <v>2888.7289731066844</v>
      </c>
      <c r="F22" s="13">
        <f>Income_Statement!F61</f>
        <v>1908.1696864981602</v>
      </c>
      <c r="G22" s="13">
        <f>Income_Statement!G61</f>
        <v>1974.935007746911</v>
      </c>
    </row>
    <row r="23" spans="2:12" ht="18.75" x14ac:dyDescent="0.25">
      <c r="B23" s="12" t="s">
        <v>148</v>
      </c>
      <c r="C23" s="13">
        <f>ROUND(C21/C22, 2)</f>
        <v>2.0699999999999998</v>
      </c>
      <c r="D23" s="13">
        <f t="shared" ref="D23:G23" si="3">ROUND(D21/D22, 2)</f>
        <v>1.5</v>
      </c>
      <c r="E23" s="13">
        <f t="shared" si="3"/>
        <v>1.33</v>
      </c>
      <c r="F23" s="13">
        <f t="shared" si="3"/>
        <v>2.0499999999999998</v>
      </c>
      <c r="G23" s="13">
        <f t="shared" si="3"/>
        <v>0</v>
      </c>
    </row>
    <row r="24" spans="2:12" ht="19.5" thickBot="1" x14ac:dyDescent="0.3">
      <c r="B24" s="12" t="str">
        <f>Income_Statement!B49</f>
        <v>Reported Net Profit(PAT)</v>
      </c>
      <c r="C24" s="13">
        <f>Income_Statement!C49</f>
        <v>96039.932428824482</v>
      </c>
      <c r="D24" s="13">
        <f>Income_Statement!D49</f>
        <v>158984.92383863393</v>
      </c>
      <c r="E24" s="13">
        <f>Income_Statement!E49</f>
        <v>181989.92530572112</v>
      </c>
      <c r="F24" s="13">
        <f>Income_Statement!F49</f>
        <v>145020.89617386018</v>
      </c>
      <c r="G24" s="13">
        <f>Income_Statement!G49</f>
        <v>181694.02071271581</v>
      </c>
    </row>
    <row r="25" spans="2:12" ht="19.5" thickTop="1" x14ac:dyDescent="0.25">
      <c r="B25" s="12" t="str">
        <f>Income_Statement!B61</f>
        <v>Total Shares Outstanding(cr)</v>
      </c>
      <c r="C25" s="13">
        <f>Income_Statement!C61</f>
        <v>1574.4251217840078</v>
      </c>
      <c r="D25" s="13">
        <f>Income_Statement!D61</f>
        <v>2372.9093110243871</v>
      </c>
      <c r="E25" s="13">
        <f>Income_Statement!E61</f>
        <v>2888.7289731066844</v>
      </c>
      <c r="F25" s="13">
        <f>Income_Statement!F61</f>
        <v>1908.1696864981602</v>
      </c>
      <c r="G25" s="13">
        <f>Income_Statement!G61</f>
        <v>1974.935007746911</v>
      </c>
      <c r="I25" s="34"/>
      <c r="J25" s="35"/>
      <c r="K25" s="35"/>
      <c r="L25" s="36"/>
    </row>
    <row r="26" spans="2:12" ht="18.75" x14ac:dyDescent="0.25">
      <c r="B26" s="12" t="s">
        <v>146</v>
      </c>
      <c r="C26" s="13">
        <f>C24/C25</f>
        <v>61</v>
      </c>
      <c r="D26" s="13">
        <f t="shared" ref="D26:G26" si="4">D24/D25</f>
        <v>67</v>
      </c>
      <c r="E26" s="13">
        <f t="shared" si="4"/>
        <v>63</v>
      </c>
      <c r="F26" s="13">
        <f t="shared" si="4"/>
        <v>76</v>
      </c>
      <c r="G26" s="13">
        <f t="shared" si="4"/>
        <v>92</v>
      </c>
      <c r="I26" s="37"/>
      <c r="J26" s="38"/>
      <c r="K26" s="38"/>
      <c r="L26" s="39"/>
    </row>
    <row r="27" spans="2:12" ht="19.5" thickBot="1" x14ac:dyDescent="0.3">
      <c r="B27" s="14" t="s">
        <v>152</v>
      </c>
      <c r="C27" s="14">
        <f>ROUND(C23/C26, 2)</f>
        <v>0.03</v>
      </c>
      <c r="D27" s="14">
        <f t="shared" ref="D27:G27" si="5">ROUND(D23/D26, 2)</f>
        <v>0.02</v>
      </c>
      <c r="E27" s="14">
        <f t="shared" si="5"/>
        <v>0.02</v>
      </c>
      <c r="F27" s="14">
        <f t="shared" si="5"/>
        <v>0.03</v>
      </c>
      <c r="G27" s="14">
        <f t="shared" si="5"/>
        <v>0</v>
      </c>
      <c r="I27" s="40"/>
      <c r="J27" s="41"/>
      <c r="K27" s="41"/>
      <c r="L27" s="42"/>
    </row>
    <row r="28" spans="2:12" ht="15.75" thickTop="1" x14ac:dyDescent="0.25"/>
    <row r="29" spans="2:12" ht="18.75" x14ac:dyDescent="0.25">
      <c r="B29" s="43" t="s">
        <v>153</v>
      </c>
      <c r="C29" s="43"/>
      <c r="D29" s="43"/>
      <c r="E29" s="43"/>
      <c r="F29" s="43"/>
      <c r="G29" s="43"/>
    </row>
    <row r="30" spans="2:12" ht="19.5" thickBot="1" x14ac:dyDescent="0.3">
      <c r="B30" s="12" t="str">
        <f>Income_Statement!B51</f>
        <v>Equity Share Dividend</v>
      </c>
      <c r="C30" s="13">
        <f>Income_Statement!C51</f>
        <v>3255</v>
      </c>
      <c r="D30" s="13">
        <f>Income_Statement!D51</f>
        <v>3554</v>
      </c>
      <c r="E30" s="13">
        <f>Income_Statement!E51</f>
        <v>3852</v>
      </c>
      <c r="F30" s="13">
        <f>Income_Statement!F51</f>
        <v>3921</v>
      </c>
      <c r="G30" s="13">
        <f>Income_Statement!G51</f>
        <v>0</v>
      </c>
    </row>
    <row r="31" spans="2:12" ht="19.5" thickTop="1" x14ac:dyDescent="0.25">
      <c r="B31" s="12" t="str">
        <f>Income_Statement!B61</f>
        <v>Total Shares Outstanding(cr)</v>
      </c>
      <c r="C31" s="13">
        <f>Income_Statement!C61</f>
        <v>1574.4251217840078</v>
      </c>
      <c r="D31" s="13">
        <f>Income_Statement!D61</f>
        <v>2372.9093110243871</v>
      </c>
      <c r="E31" s="13">
        <f>Income_Statement!E61</f>
        <v>2888.7289731066844</v>
      </c>
      <c r="F31" s="13">
        <f>Income_Statement!F61</f>
        <v>1908.1696864981602</v>
      </c>
      <c r="G31" s="13">
        <f>Income_Statement!G61</f>
        <v>1974.935007746911</v>
      </c>
      <c r="I31" s="34"/>
      <c r="J31" s="35"/>
      <c r="K31" s="35"/>
      <c r="L31" s="36"/>
    </row>
    <row r="32" spans="2:12" ht="18.75" x14ac:dyDescent="0.25">
      <c r="B32" s="12" t="s">
        <v>154</v>
      </c>
      <c r="C32" s="13">
        <f>ROUND(C30/C31, 2)</f>
        <v>2.0699999999999998</v>
      </c>
      <c r="D32" s="13">
        <f t="shared" ref="D32:G32" si="6">ROUND(D30/D31, 2)</f>
        <v>1.5</v>
      </c>
      <c r="E32" s="13">
        <f t="shared" si="6"/>
        <v>1.33</v>
      </c>
      <c r="F32" s="13">
        <f t="shared" si="6"/>
        <v>2.0499999999999998</v>
      </c>
      <c r="G32" s="13">
        <f t="shared" si="6"/>
        <v>0</v>
      </c>
      <c r="I32" s="37"/>
      <c r="J32" s="38"/>
      <c r="K32" s="38"/>
      <c r="L32" s="39"/>
    </row>
    <row r="33" spans="2:12" ht="19.5" thickBot="1" x14ac:dyDescent="0.3">
      <c r="B33" s="14" t="s">
        <v>155</v>
      </c>
      <c r="C33" s="15">
        <f>1-C32</f>
        <v>-1.0699999999999998</v>
      </c>
      <c r="D33" s="15">
        <f t="shared" ref="D33:G33" si="7">1-D32</f>
        <v>-0.5</v>
      </c>
      <c r="E33" s="15">
        <f t="shared" si="7"/>
        <v>-0.33000000000000007</v>
      </c>
      <c r="F33" s="15">
        <f t="shared" si="7"/>
        <v>-1.0499999999999998</v>
      </c>
      <c r="G33" s="15">
        <f t="shared" si="7"/>
        <v>1</v>
      </c>
      <c r="I33" s="40"/>
      <c r="J33" s="41"/>
      <c r="K33" s="41"/>
      <c r="L33" s="42"/>
    </row>
    <row r="34" spans="2:12" ht="15.75" thickTop="1" x14ac:dyDescent="0.25"/>
    <row r="35" spans="2:12" ht="19.5" thickBot="1" x14ac:dyDescent="0.3">
      <c r="B35" s="43" t="s">
        <v>156</v>
      </c>
      <c r="C35" s="43"/>
      <c r="D35" s="43"/>
      <c r="E35" s="43"/>
      <c r="F35" s="43"/>
      <c r="G35" s="43"/>
    </row>
    <row r="36" spans="2:12" ht="19.5" thickTop="1" x14ac:dyDescent="0.25">
      <c r="B36" s="12" t="str">
        <f>Income_Statement!B5</f>
        <v>Gross Sales</v>
      </c>
      <c r="C36" s="13">
        <f>Income_Statement!C5</f>
        <v>430731</v>
      </c>
      <c r="D36" s="13">
        <f>Income_Statement!D5</f>
        <v>625212</v>
      </c>
      <c r="E36" s="13">
        <f>Income_Statement!E5</f>
        <v>659997</v>
      </c>
      <c r="F36" s="13">
        <f>Income_Statement!F5</f>
        <v>539238</v>
      </c>
      <c r="G36" s="13">
        <f>Income_Statement!G5</f>
        <v>721634</v>
      </c>
      <c r="I36" s="34"/>
      <c r="J36" s="35"/>
      <c r="K36" s="35"/>
      <c r="L36" s="36"/>
    </row>
    <row r="37" spans="2:12" ht="18.75" x14ac:dyDescent="0.25">
      <c r="B37" s="12" t="str">
        <f>Income_Statement!B17</f>
        <v>Cost Of Materials Consumed</v>
      </c>
      <c r="C37" s="13">
        <f>Income_Statement!C17</f>
        <v>207448</v>
      </c>
      <c r="D37" s="13">
        <f>Income_Statement!D17</f>
        <v>275237</v>
      </c>
      <c r="E37" s="13">
        <f>Income_Statement!E17</f>
        <v>260621</v>
      </c>
      <c r="F37" s="13">
        <f>Income_Statement!F17</f>
        <v>199915</v>
      </c>
      <c r="G37" s="13">
        <f>Income_Statement!G17</f>
        <v>360784</v>
      </c>
      <c r="I37" s="37"/>
      <c r="J37" s="38"/>
      <c r="K37" s="38"/>
      <c r="L37" s="39"/>
    </row>
    <row r="38" spans="2:12" ht="19.5" thickBot="1" x14ac:dyDescent="0.3">
      <c r="B38" s="14" t="s">
        <v>157</v>
      </c>
      <c r="C38" s="16">
        <f>ROUND(C36- C37, 2)</f>
        <v>223283</v>
      </c>
      <c r="D38" s="16">
        <f t="shared" ref="D38:G38" si="8">ROUND(D36- D37, 2)</f>
        <v>349975</v>
      </c>
      <c r="E38" s="16">
        <f t="shared" si="8"/>
        <v>399376</v>
      </c>
      <c r="F38" s="16">
        <f t="shared" si="8"/>
        <v>339323</v>
      </c>
      <c r="G38" s="16">
        <f t="shared" si="8"/>
        <v>360850</v>
      </c>
      <c r="I38" s="40"/>
      <c r="J38" s="41"/>
      <c r="K38" s="41"/>
      <c r="L38" s="42"/>
    </row>
    <row r="39" spans="2:12" ht="15.75" thickTop="1" x14ac:dyDescent="0.25"/>
    <row r="40" spans="2:12" ht="19.5" thickBot="1" x14ac:dyDescent="0.3">
      <c r="B40" s="43" t="s">
        <v>158</v>
      </c>
      <c r="C40" s="43"/>
      <c r="D40" s="43"/>
      <c r="E40" s="43"/>
      <c r="F40" s="43"/>
      <c r="G40" s="43"/>
    </row>
    <row r="41" spans="2:12" ht="19.5" thickTop="1" x14ac:dyDescent="0.25">
      <c r="B41" s="12" t="str">
        <f>Income_Statement!B5</f>
        <v>Gross Sales</v>
      </c>
      <c r="C41" s="13">
        <f>Income_Statement!C5</f>
        <v>430731</v>
      </c>
      <c r="D41" s="13">
        <f>Income_Statement!D5</f>
        <v>625212</v>
      </c>
      <c r="E41" s="13">
        <f>Income_Statement!E5</f>
        <v>659997</v>
      </c>
      <c r="F41" s="13">
        <f>Income_Statement!F5</f>
        <v>539238</v>
      </c>
      <c r="G41" s="13">
        <f>Income_Statement!G5</f>
        <v>721634</v>
      </c>
      <c r="I41" s="34"/>
      <c r="J41" s="35"/>
      <c r="K41" s="35"/>
      <c r="L41" s="36"/>
    </row>
    <row r="42" spans="2:12" ht="18.75" x14ac:dyDescent="0.25">
      <c r="B42" s="12" t="str">
        <f>Income_Statement!B25</f>
        <v>Total Expenditure</v>
      </c>
      <c r="C42" s="13">
        <f>Income_Statement!C25</f>
        <v>267483</v>
      </c>
      <c r="D42" s="13">
        <f>Income_Statement!D25</f>
        <v>365792</v>
      </c>
      <c r="E42" s="13">
        <f>Income_Statement!E25</f>
        <v>366310</v>
      </c>
      <c r="F42" s="13">
        <f>Income_Statement!F25</f>
        <v>294390</v>
      </c>
      <c r="G42" s="13">
        <f>Income_Statement!G25</f>
        <v>497046</v>
      </c>
      <c r="I42" s="37"/>
      <c r="J42" s="38"/>
      <c r="K42" s="38"/>
      <c r="L42" s="39"/>
    </row>
    <row r="43" spans="2:12" ht="19.5" thickBot="1" x14ac:dyDescent="0.3">
      <c r="B43" s="14" t="s">
        <v>159</v>
      </c>
      <c r="C43" s="16">
        <f>ROUND(C41- C42, 2)</f>
        <v>163248</v>
      </c>
      <c r="D43" s="16">
        <f t="shared" ref="D43:G43" si="9">ROUND(D41- D42, 2)</f>
        <v>259420</v>
      </c>
      <c r="E43" s="16">
        <f t="shared" si="9"/>
        <v>293687</v>
      </c>
      <c r="F43" s="16">
        <f t="shared" si="9"/>
        <v>244848</v>
      </c>
      <c r="G43" s="16">
        <f t="shared" si="9"/>
        <v>224588</v>
      </c>
      <c r="I43" s="40"/>
      <c r="J43" s="41"/>
      <c r="K43" s="41"/>
      <c r="L43" s="42"/>
    </row>
    <row r="44" spans="2:12" ht="15.75" thickTop="1" x14ac:dyDescent="0.25"/>
    <row r="45" spans="2:12" ht="19.5" thickBot="1" x14ac:dyDescent="0.3">
      <c r="B45" s="43" t="s">
        <v>160</v>
      </c>
      <c r="C45" s="43"/>
      <c r="D45" s="43"/>
      <c r="E45" s="43"/>
      <c r="F45" s="43"/>
      <c r="G45" s="43"/>
    </row>
    <row r="46" spans="2:12" ht="19.5" thickTop="1" x14ac:dyDescent="0.25">
      <c r="B46" s="12" t="str">
        <f>Income_Statement!B49</f>
        <v>Reported Net Profit(PAT)</v>
      </c>
      <c r="C46" s="13">
        <f>Income_Statement!C49</f>
        <v>96039.932428824482</v>
      </c>
      <c r="D46" s="13">
        <f>Income_Statement!D49</f>
        <v>158984.92383863393</v>
      </c>
      <c r="E46" s="13">
        <f>Income_Statement!E49</f>
        <v>181989.92530572112</v>
      </c>
      <c r="F46" s="13">
        <f>Income_Statement!F49</f>
        <v>145020.89617386018</v>
      </c>
      <c r="G46" s="13">
        <f>Income_Statement!G49</f>
        <v>181694.02071271581</v>
      </c>
      <c r="I46" s="34"/>
      <c r="J46" s="35"/>
      <c r="K46" s="35"/>
      <c r="L46" s="36"/>
    </row>
    <row r="47" spans="2:12" ht="18.75" x14ac:dyDescent="0.25">
      <c r="B47" s="12" t="str">
        <f>Balance_Sheet!B74</f>
        <v>Total Assets</v>
      </c>
      <c r="C47" s="13">
        <f>Balance_Sheet!C74</f>
        <v>816333</v>
      </c>
      <c r="D47" s="13">
        <f>Balance_Sheet!D74</f>
        <v>1063491.923838634</v>
      </c>
      <c r="E47" s="13">
        <f>Balance_Sheet!E74</f>
        <v>1342764.8491443549</v>
      </c>
      <c r="F47" s="13">
        <f>Balance_Sheet!F74</f>
        <v>1388262.7453182153</v>
      </c>
      <c r="G47" s="13">
        <f>Balance_Sheet!G74</f>
        <v>1669416.7660309309</v>
      </c>
      <c r="I47" s="37"/>
      <c r="J47" s="38"/>
      <c r="K47" s="38"/>
      <c r="L47" s="39"/>
    </row>
    <row r="48" spans="2:12" ht="19.5" thickBot="1" x14ac:dyDescent="0.3">
      <c r="B48" s="14" t="s">
        <v>161</v>
      </c>
      <c r="C48" s="15">
        <f>ROUND(C46/ C47, 2)</f>
        <v>0.12</v>
      </c>
      <c r="D48" s="15">
        <f t="shared" ref="D48:G48" si="10">ROUND(D46/ D47, 2)</f>
        <v>0.15</v>
      </c>
      <c r="E48" s="15">
        <f t="shared" si="10"/>
        <v>0.14000000000000001</v>
      </c>
      <c r="F48" s="15">
        <f t="shared" si="10"/>
        <v>0.1</v>
      </c>
      <c r="G48" s="15">
        <f t="shared" si="10"/>
        <v>0.11</v>
      </c>
      <c r="I48" s="40"/>
      <c r="J48" s="41"/>
      <c r="K48" s="41"/>
      <c r="L48" s="42"/>
    </row>
    <row r="49" spans="2:12" ht="15.75" thickTop="1" x14ac:dyDescent="0.25"/>
    <row r="50" spans="2:12" ht="18.75" x14ac:dyDescent="0.25">
      <c r="B50" s="43" t="s">
        <v>162</v>
      </c>
      <c r="C50" s="43"/>
      <c r="D50" s="43"/>
      <c r="E50" s="43"/>
      <c r="F50" s="43"/>
      <c r="G50" s="43"/>
    </row>
    <row r="51" spans="2:12" ht="19.5" thickBot="1" x14ac:dyDescent="0.3">
      <c r="B51" s="12" t="str">
        <f>Income_Statement!B33</f>
        <v>PBIT</v>
      </c>
      <c r="C51" s="13">
        <f>Income_Statement!C33</f>
        <v>117437.93242882448</v>
      </c>
      <c r="D51" s="13">
        <f>Income_Statement!D33</f>
        <v>190869.92383863393</v>
      </c>
      <c r="E51" s="13">
        <f>Income_Statement!E33</f>
        <v>222186.92530572112</v>
      </c>
      <c r="F51" s="13">
        <f>Income_Statement!F33</f>
        <v>162289.89617386018</v>
      </c>
      <c r="G51" s="13">
        <f>Income_Statement!G33</f>
        <v>209739.02071271581</v>
      </c>
    </row>
    <row r="52" spans="2:12" ht="19.5" thickTop="1" x14ac:dyDescent="0.25">
      <c r="B52" s="12" t="str">
        <f>Balance_Sheet!B21</f>
        <v>Total Debt</v>
      </c>
      <c r="C52" s="13">
        <f>Balance_Sheet!C21</f>
        <v>211222</v>
      </c>
      <c r="D52" s="13">
        <f>Balance_Sheet!D21</f>
        <v>321865</v>
      </c>
      <c r="E52" s="13">
        <f>Balance_Sheet!E21</f>
        <v>345540</v>
      </c>
      <c r="F52" s="13">
        <f>Balance_Sheet!F21</f>
        <v>260765</v>
      </c>
      <c r="G52" s="13">
        <f>Balance_Sheet!G21</f>
        <v>315949</v>
      </c>
      <c r="I52" s="34"/>
      <c r="J52" s="35"/>
      <c r="K52" s="35"/>
      <c r="L52" s="36"/>
    </row>
    <row r="53" spans="2:12" ht="18.75" x14ac:dyDescent="0.25">
      <c r="B53" s="12" t="str">
        <f>Balance_Sheet!B13</f>
        <v>Net Worth</v>
      </c>
      <c r="C53" s="13">
        <f>Balance_Sheet!C13</f>
        <v>293491</v>
      </c>
      <c r="D53" s="13">
        <f>Balance_Sheet!D13</f>
        <v>448197.92383863393</v>
      </c>
      <c r="E53" s="13">
        <f>Balance_Sheet!E13</f>
        <v>626016.84914435504</v>
      </c>
      <c r="F53" s="13">
        <f>Balance_Sheet!F13</f>
        <v>767222.74531821522</v>
      </c>
      <c r="G53" s="13">
        <f>Balance_Sheet!G13</f>
        <v>949236.76603093103</v>
      </c>
      <c r="I53" s="37"/>
      <c r="J53" s="38"/>
      <c r="K53" s="38"/>
      <c r="L53" s="39"/>
    </row>
    <row r="54" spans="2:12" ht="19.5" thickBot="1" x14ac:dyDescent="0.3">
      <c r="B54" s="14" t="s">
        <v>163</v>
      </c>
      <c r="C54" s="15">
        <f>ROUND(C51/ (C52+ C52), 2)</f>
        <v>0.28000000000000003</v>
      </c>
      <c r="D54" s="15">
        <f t="shared" ref="D54:G54" si="11">ROUND(D51/ (D52+ D52), 2)</f>
        <v>0.3</v>
      </c>
      <c r="E54" s="15">
        <f t="shared" si="11"/>
        <v>0.32</v>
      </c>
      <c r="F54" s="15">
        <f t="shared" si="11"/>
        <v>0.31</v>
      </c>
      <c r="G54" s="15">
        <f t="shared" si="11"/>
        <v>0.33</v>
      </c>
      <c r="I54" s="40"/>
      <c r="J54" s="41"/>
      <c r="K54" s="41"/>
      <c r="L54" s="42"/>
    </row>
    <row r="55" spans="2:12" ht="15.75" thickTop="1" x14ac:dyDescent="0.25"/>
    <row r="56" spans="2:12" ht="19.5" thickBot="1" x14ac:dyDescent="0.3">
      <c r="B56" s="43" t="s">
        <v>164</v>
      </c>
      <c r="C56" s="43"/>
      <c r="D56" s="43"/>
      <c r="E56" s="43"/>
      <c r="F56" s="43"/>
      <c r="G56" s="43"/>
    </row>
    <row r="57" spans="2:12" ht="19.5" thickTop="1" x14ac:dyDescent="0.25">
      <c r="B57" s="12" t="str">
        <f>Income_Statement!B49</f>
        <v>Reported Net Profit(PAT)</v>
      </c>
      <c r="C57" s="13">
        <f>Income_Statement!C49</f>
        <v>96039.932428824482</v>
      </c>
      <c r="D57" s="13">
        <f>Income_Statement!D49</f>
        <v>158984.92383863393</v>
      </c>
      <c r="E57" s="13">
        <f>Income_Statement!E49</f>
        <v>181989.92530572112</v>
      </c>
      <c r="F57" s="13">
        <f>Income_Statement!F49</f>
        <v>145020.89617386018</v>
      </c>
      <c r="G57" s="13">
        <f>Income_Statement!G49</f>
        <v>181694.02071271581</v>
      </c>
      <c r="I57" s="34"/>
      <c r="J57" s="35"/>
      <c r="K57" s="35"/>
      <c r="L57" s="36"/>
    </row>
    <row r="58" spans="2:12" ht="18.75" x14ac:dyDescent="0.25">
      <c r="B58" s="12" t="str">
        <f>Balance_Sheet!B13</f>
        <v>Net Worth</v>
      </c>
      <c r="C58" s="13">
        <f>Balance_Sheet!C13</f>
        <v>293491</v>
      </c>
      <c r="D58" s="13">
        <f>Balance_Sheet!D13</f>
        <v>448197.92383863393</v>
      </c>
      <c r="E58" s="13">
        <f>Balance_Sheet!E13</f>
        <v>626016.84914435504</v>
      </c>
      <c r="F58" s="13">
        <f>Balance_Sheet!F13</f>
        <v>767222.74531821522</v>
      </c>
      <c r="G58" s="13">
        <f>Balance_Sheet!G13</f>
        <v>949236.76603093103</v>
      </c>
      <c r="I58" s="37"/>
      <c r="J58" s="38"/>
      <c r="K58" s="38"/>
      <c r="L58" s="39"/>
    </row>
    <row r="59" spans="2:12" ht="19.5" thickBot="1" x14ac:dyDescent="0.3">
      <c r="B59" s="14" t="s">
        <v>165</v>
      </c>
      <c r="C59" s="15">
        <f>ROUND(C57/ (C58+ C58), 2)</f>
        <v>0.16</v>
      </c>
      <c r="D59" s="15">
        <f t="shared" ref="D59:G59" si="12">ROUND(D57/ (D58+ D58), 2)</f>
        <v>0.18</v>
      </c>
      <c r="E59" s="15">
        <f t="shared" si="12"/>
        <v>0.15</v>
      </c>
      <c r="F59" s="15">
        <f t="shared" si="12"/>
        <v>0.09</v>
      </c>
      <c r="G59" s="15">
        <f t="shared" si="12"/>
        <v>0.1</v>
      </c>
      <c r="I59" s="40"/>
      <c r="J59" s="41"/>
      <c r="K59" s="41"/>
      <c r="L59" s="42"/>
    </row>
    <row r="60" spans="2:12" ht="15.75" thickTop="1" x14ac:dyDescent="0.25"/>
    <row r="61" spans="2:12" ht="19.5" thickBot="1" x14ac:dyDescent="0.3">
      <c r="B61" s="43" t="s">
        <v>166</v>
      </c>
      <c r="C61" s="43"/>
      <c r="D61" s="43"/>
      <c r="E61" s="43"/>
      <c r="F61" s="43"/>
      <c r="G61" s="43"/>
    </row>
    <row r="62" spans="2:12" ht="19.5" thickTop="1" x14ac:dyDescent="0.25">
      <c r="B62" s="12" t="str">
        <f>Balance_Sheet!B21</f>
        <v>Total Debt</v>
      </c>
      <c r="C62" s="13">
        <f>Balance_Sheet!C21</f>
        <v>211222</v>
      </c>
      <c r="D62" s="13">
        <f>Balance_Sheet!D21</f>
        <v>321865</v>
      </c>
      <c r="E62" s="13">
        <f>Balance_Sheet!E21</f>
        <v>345540</v>
      </c>
      <c r="F62" s="13">
        <f>Balance_Sheet!F21</f>
        <v>260765</v>
      </c>
      <c r="G62" s="13">
        <f>Balance_Sheet!G21</f>
        <v>315949</v>
      </c>
      <c r="I62" s="34"/>
      <c r="J62" s="35"/>
      <c r="K62" s="35"/>
      <c r="L62" s="36"/>
    </row>
    <row r="63" spans="2:12" ht="18.75" x14ac:dyDescent="0.25">
      <c r="B63" s="12" t="str">
        <f>Balance_Sheet!B13</f>
        <v>Net Worth</v>
      </c>
      <c r="C63" s="13">
        <f>Balance_Sheet!C13</f>
        <v>293491</v>
      </c>
      <c r="D63" s="13">
        <f>Balance_Sheet!D13</f>
        <v>448197.92383863393</v>
      </c>
      <c r="E63" s="13">
        <f>Balance_Sheet!E13</f>
        <v>626016.84914435504</v>
      </c>
      <c r="F63" s="13">
        <f>Balance_Sheet!F13</f>
        <v>767222.74531821522</v>
      </c>
      <c r="G63" s="13">
        <f>Balance_Sheet!G13</f>
        <v>949236.76603093103</v>
      </c>
      <c r="I63" s="37"/>
      <c r="J63" s="38"/>
      <c r="K63" s="38"/>
      <c r="L63" s="39"/>
    </row>
    <row r="64" spans="2:12" ht="19.5" thickBot="1" x14ac:dyDescent="0.3">
      <c r="B64" s="14" t="s">
        <v>167</v>
      </c>
      <c r="C64" s="14">
        <f>ROUND(C62/ C63, 2)</f>
        <v>0.72</v>
      </c>
      <c r="D64" s="14">
        <f t="shared" ref="D64:G64" si="13">ROUND(D62/ D63, 2)</f>
        <v>0.72</v>
      </c>
      <c r="E64" s="14">
        <f t="shared" si="13"/>
        <v>0.55000000000000004</v>
      </c>
      <c r="F64" s="14">
        <f t="shared" si="13"/>
        <v>0.34</v>
      </c>
      <c r="G64" s="14">
        <f t="shared" si="13"/>
        <v>0.33</v>
      </c>
      <c r="I64" s="40"/>
      <c r="J64" s="41"/>
      <c r="K64" s="41"/>
      <c r="L64" s="42"/>
    </row>
    <row r="65" spans="2:12" ht="15.75" thickTop="1" x14ac:dyDescent="0.25"/>
    <row r="66" spans="2:12" ht="19.5" thickBot="1" x14ac:dyDescent="0.3">
      <c r="B66" s="43" t="s">
        <v>168</v>
      </c>
      <c r="C66" s="43"/>
      <c r="D66" s="43"/>
      <c r="E66" s="43"/>
      <c r="F66" s="43"/>
      <c r="G66" s="43"/>
    </row>
    <row r="67" spans="2:12" ht="19.5" thickTop="1" x14ac:dyDescent="0.25">
      <c r="B67" s="12" t="str">
        <f>Balance_Sheet!B72</f>
        <v>Total Current Assets</v>
      </c>
      <c r="C67" s="13">
        <f>Balance_Sheet!C72</f>
        <v>142579</v>
      </c>
      <c r="D67" s="13">
        <f>Balance_Sheet!D72</f>
        <v>312235.92383863393</v>
      </c>
      <c r="E67" s="13">
        <f>Balance_Sheet!E72</f>
        <v>527639.84914435504</v>
      </c>
      <c r="F67" s="13">
        <f>Balance_Sheet!F72</f>
        <v>490926.74531821522</v>
      </c>
      <c r="G67" s="13">
        <f>Balance_Sheet!G72</f>
        <v>587363.76603093103</v>
      </c>
      <c r="I67" s="34"/>
      <c r="J67" s="35"/>
      <c r="K67" s="35"/>
      <c r="L67" s="36"/>
    </row>
    <row r="68" spans="2:12" ht="18.75" x14ac:dyDescent="0.25">
      <c r="B68" s="12" t="str">
        <f>Balance_Sheet!B33</f>
        <v>Total Current Liabilities</v>
      </c>
      <c r="C68" s="13">
        <f>Balance_Sheet!C33</f>
        <v>308081</v>
      </c>
      <c r="D68" s="13">
        <f>Balance_Sheet!D33</f>
        <v>285149</v>
      </c>
      <c r="E68" s="13">
        <f>Balance_Sheet!E33</f>
        <v>359027</v>
      </c>
      <c r="F68" s="13">
        <f>Balance_Sheet!F33</f>
        <v>261015</v>
      </c>
      <c r="G68" s="13">
        <f>Balance_Sheet!G33</f>
        <v>294732</v>
      </c>
      <c r="I68" s="37"/>
      <c r="J68" s="38"/>
      <c r="K68" s="38"/>
      <c r="L68" s="39"/>
    </row>
    <row r="69" spans="2:12" ht="19.5" thickBot="1" x14ac:dyDescent="0.3">
      <c r="B69" s="14" t="s">
        <v>169</v>
      </c>
      <c r="C69" s="14">
        <f>ROUND(C67/ C68, 2)</f>
        <v>0.46</v>
      </c>
      <c r="D69" s="14">
        <f t="shared" ref="D69:G69" si="14">ROUND(D67/ D68, 2)</f>
        <v>1.0900000000000001</v>
      </c>
      <c r="E69" s="14">
        <f t="shared" si="14"/>
        <v>1.47</v>
      </c>
      <c r="F69" s="14">
        <f t="shared" si="14"/>
        <v>1.88</v>
      </c>
      <c r="G69" s="14">
        <f t="shared" si="14"/>
        <v>1.99</v>
      </c>
      <c r="I69" s="40"/>
      <c r="J69" s="41"/>
      <c r="K69" s="41"/>
      <c r="L69" s="42"/>
    </row>
    <row r="70" spans="2:12" ht="15.75" thickTop="1" x14ac:dyDescent="0.25"/>
    <row r="71" spans="2:12" ht="18.75" x14ac:dyDescent="0.25">
      <c r="B71" s="43" t="s">
        <v>170</v>
      </c>
      <c r="C71" s="43"/>
      <c r="D71" s="43"/>
      <c r="E71" s="43"/>
      <c r="F71" s="43"/>
      <c r="G71" s="43"/>
    </row>
    <row r="72" spans="2:12" ht="19.5" thickBot="1" x14ac:dyDescent="0.3">
      <c r="B72" s="12" t="str">
        <f>Balance_Sheet!B72</f>
        <v>Total Current Assets</v>
      </c>
      <c r="C72" s="13">
        <f>Balance_Sheet!C72</f>
        <v>142579</v>
      </c>
      <c r="D72" s="13">
        <f>Balance_Sheet!D72</f>
        <v>312235.92383863393</v>
      </c>
      <c r="E72" s="13">
        <f>Balance_Sheet!E72</f>
        <v>527639.84914435504</v>
      </c>
      <c r="F72" s="13">
        <f>Balance_Sheet!F72</f>
        <v>490926.74531821522</v>
      </c>
      <c r="G72" s="13">
        <f>Balance_Sheet!G72</f>
        <v>587363.76603093103</v>
      </c>
    </row>
    <row r="73" spans="2:12" ht="19.5" thickTop="1" x14ac:dyDescent="0.25">
      <c r="B73" s="12" t="str">
        <f>Balance_Sheet!B66</f>
        <v>Inventories</v>
      </c>
      <c r="C73" s="13">
        <f>Balance_Sheet!C66</f>
        <v>60837</v>
      </c>
      <c r="D73" s="13">
        <f>Balance_Sheet!D66</f>
        <v>67561</v>
      </c>
      <c r="E73" s="13">
        <f>Balance_Sheet!E66</f>
        <v>73903</v>
      </c>
      <c r="F73" s="13">
        <f>Balance_Sheet!F66</f>
        <v>81672</v>
      </c>
      <c r="G73" s="13">
        <f>Balance_Sheet!G66</f>
        <v>107778</v>
      </c>
      <c r="I73" s="34"/>
      <c r="J73" s="35"/>
      <c r="K73" s="35"/>
      <c r="L73" s="36"/>
    </row>
    <row r="74" spans="2:12" ht="18.75" x14ac:dyDescent="0.25">
      <c r="B74" s="12" t="str">
        <f>Balance_Sheet!B33</f>
        <v>Total Current Liabilities</v>
      </c>
      <c r="C74" s="13">
        <f>Balance_Sheet!C33</f>
        <v>308081</v>
      </c>
      <c r="D74" s="13">
        <f>Balance_Sheet!D33</f>
        <v>285149</v>
      </c>
      <c r="E74" s="13">
        <f>Balance_Sheet!E33</f>
        <v>359027</v>
      </c>
      <c r="F74" s="13">
        <f>Balance_Sheet!F33</f>
        <v>261015</v>
      </c>
      <c r="G74" s="13">
        <f>Balance_Sheet!G33</f>
        <v>294732</v>
      </c>
      <c r="I74" s="37"/>
      <c r="J74" s="38"/>
      <c r="K74" s="38"/>
      <c r="L74" s="39"/>
    </row>
    <row r="75" spans="2:12" ht="19.5" thickBot="1" x14ac:dyDescent="0.3">
      <c r="B75" s="14" t="s">
        <v>171</v>
      </c>
      <c r="C75" s="14">
        <f>ROUND((C72-C73)/ C74, 2)</f>
        <v>0.27</v>
      </c>
      <c r="D75" s="14">
        <f t="shared" ref="D75:G75" si="15">ROUND((D72-D73)/ D74, 2)</f>
        <v>0.86</v>
      </c>
      <c r="E75" s="14">
        <f t="shared" si="15"/>
        <v>1.26</v>
      </c>
      <c r="F75" s="14">
        <f t="shared" si="15"/>
        <v>1.57</v>
      </c>
      <c r="G75" s="14">
        <f t="shared" si="15"/>
        <v>1.63</v>
      </c>
      <c r="I75" s="40"/>
      <c r="J75" s="41"/>
      <c r="K75" s="41"/>
      <c r="L75" s="42"/>
    </row>
    <row r="76" spans="2:12" ht="15.75" thickTop="1" x14ac:dyDescent="0.25"/>
    <row r="77" spans="2:12" ht="19.5" thickBot="1" x14ac:dyDescent="0.3">
      <c r="B77" s="43" t="s">
        <v>172</v>
      </c>
      <c r="C77" s="43"/>
      <c r="D77" s="43"/>
      <c r="E77" s="43"/>
      <c r="F77" s="43"/>
      <c r="G77" s="43"/>
    </row>
    <row r="78" spans="2:12" ht="19.5" thickTop="1" x14ac:dyDescent="0.25">
      <c r="B78" s="12" t="str">
        <f>Income_Statement!B33</f>
        <v>PBIT</v>
      </c>
      <c r="C78" s="13">
        <f>Income_Statement!C33</f>
        <v>117437.93242882448</v>
      </c>
      <c r="D78" s="13">
        <f>Income_Statement!D33</f>
        <v>190869.92383863393</v>
      </c>
      <c r="E78" s="13">
        <f>Income_Statement!E33</f>
        <v>222186.92530572112</v>
      </c>
      <c r="F78" s="13">
        <f>Income_Statement!F33</f>
        <v>162289.89617386018</v>
      </c>
      <c r="G78" s="13">
        <f>Income_Statement!G33</f>
        <v>209739.02071271581</v>
      </c>
      <c r="I78" s="34"/>
      <c r="J78" s="35"/>
      <c r="K78" s="35"/>
      <c r="L78" s="36"/>
    </row>
    <row r="79" spans="2:12" ht="18.75" x14ac:dyDescent="0.25">
      <c r="B79" s="12" t="str">
        <f>Income_Statement!B35</f>
        <v>Finance Costs</v>
      </c>
      <c r="C79" s="13">
        <f>Income_Statement!C35</f>
        <v>8052</v>
      </c>
      <c r="D79" s="13">
        <f>Income_Statement!D35</f>
        <v>16495</v>
      </c>
      <c r="E79" s="13">
        <f>Income_Statement!E35</f>
        <v>22027</v>
      </c>
      <c r="F79" s="13">
        <f>Income_Statement!F35</f>
        <v>21189</v>
      </c>
      <c r="G79" s="13">
        <f>Income_Statement!G35</f>
        <v>14584</v>
      </c>
      <c r="I79" s="37"/>
      <c r="J79" s="38"/>
      <c r="K79" s="38"/>
      <c r="L79" s="39"/>
    </row>
    <row r="80" spans="2:12" ht="19.5" thickBot="1" x14ac:dyDescent="0.3">
      <c r="B80" s="14" t="s">
        <v>173</v>
      </c>
      <c r="C80" s="14">
        <f>ROUND(C78/C79, 2)</f>
        <v>14.58</v>
      </c>
      <c r="D80" s="14">
        <f t="shared" ref="D80:G80" si="16">ROUND(D78/D79, 2)</f>
        <v>11.57</v>
      </c>
      <c r="E80" s="14">
        <f t="shared" si="16"/>
        <v>10.09</v>
      </c>
      <c r="F80" s="14">
        <f t="shared" si="16"/>
        <v>7.66</v>
      </c>
      <c r="G80" s="14">
        <f t="shared" si="16"/>
        <v>14.38</v>
      </c>
      <c r="I80" s="40"/>
      <c r="J80" s="41"/>
      <c r="K80" s="41"/>
      <c r="L80" s="42"/>
    </row>
    <row r="81" spans="2:12" ht="15.75" thickTop="1" x14ac:dyDescent="0.25"/>
    <row r="82" spans="2:12" ht="19.5" thickBot="1" x14ac:dyDescent="0.3">
      <c r="B82" s="43" t="s">
        <v>174</v>
      </c>
      <c r="C82" s="43"/>
      <c r="D82" s="43"/>
      <c r="E82" s="43"/>
      <c r="F82" s="43"/>
      <c r="G82" s="43"/>
    </row>
    <row r="83" spans="2:12" ht="19.5" thickTop="1" x14ac:dyDescent="0.25">
      <c r="B83" s="12" t="str">
        <f>Income_Statement!B17</f>
        <v>Cost Of Materials Consumed</v>
      </c>
      <c r="C83" s="13">
        <f>Income_Statement!C17</f>
        <v>207448</v>
      </c>
      <c r="D83" s="13">
        <f>Income_Statement!D17</f>
        <v>275237</v>
      </c>
      <c r="E83" s="13">
        <f>Income_Statement!E17</f>
        <v>260621</v>
      </c>
      <c r="F83" s="13">
        <f>Income_Statement!F17</f>
        <v>199915</v>
      </c>
      <c r="G83" s="13">
        <f>Income_Statement!G17</f>
        <v>360784</v>
      </c>
      <c r="I83" s="34"/>
      <c r="J83" s="35"/>
      <c r="K83" s="35"/>
      <c r="L83" s="36"/>
    </row>
    <row r="84" spans="2:12" ht="18.75" x14ac:dyDescent="0.25">
      <c r="B84" s="12" t="str">
        <f>Income_Statement!B9</f>
        <v>Net Sales</v>
      </c>
      <c r="C84" s="13">
        <f>Income_Statement!C9</f>
        <v>391677</v>
      </c>
      <c r="D84" s="13">
        <f>Income_Statement!D9</f>
        <v>569209</v>
      </c>
      <c r="E84" s="13">
        <f>Income_Statement!E9</f>
        <v>597535</v>
      </c>
      <c r="F84" s="13">
        <f>Income_Statement!F9</f>
        <v>466924</v>
      </c>
      <c r="G84" s="13">
        <f>Income_Statement!G9</f>
        <v>721634</v>
      </c>
      <c r="I84" s="37"/>
      <c r="J84" s="38"/>
      <c r="K84" s="38"/>
      <c r="L84" s="39"/>
    </row>
    <row r="85" spans="2:12" ht="19.5" thickBot="1" x14ac:dyDescent="0.3">
      <c r="B85" s="14" t="s">
        <v>175</v>
      </c>
      <c r="C85" s="14">
        <f>ROUND(C83/C84, 2)</f>
        <v>0.53</v>
      </c>
      <c r="D85" s="14">
        <f t="shared" ref="D85:G85" si="17">ROUND(D83/D84, 2)</f>
        <v>0.48</v>
      </c>
      <c r="E85" s="14">
        <f t="shared" si="17"/>
        <v>0.44</v>
      </c>
      <c r="F85" s="14">
        <f t="shared" si="17"/>
        <v>0.43</v>
      </c>
      <c r="G85" s="14">
        <f t="shared" si="17"/>
        <v>0.5</v>
      </c>
      <c r="I85" s="40"/>
      <c r="J85" s="41"/>
      <c r="K85" s="41"/>
      <c r="L85" s="42"/>
    </row>
    <row r="86" spans="2:12" ht="15.75" thickTop="1" x14ac:dyDescent="0.25"/>
    <row r="87" spans="2:12" ht="19.5" thickBot="1" x14ac:dyDescent="0.3">
      <c r="B87" s="43" t="s">
        <v>176</v>
      </c>
      <c r="C87" s="43"/>
      <c r="D87" s="43"/>
      <c r="E87" s="43"/>
      <c r="F87" s="43"/>
      <c r="G87" s="43"/>
    </row>
    <row r="88" spans="2:12" ht="19.5" thickTop="1" x14ac:dyDescent="0.25">
      <c r="B88" s="12" t="str">
        <f>Balance_Sheet!B70</f>
        <v>Cash And Cash Equivalents</v>
      </c>
      <c r="C88" s="13">
        <f>Balance_Sheet!C70</f>
        <v>4255</v>
      </c>
      <c r="D88" s="13">
        <f>Balance_Sheet!D70</f>
        <v>134382.92383863393</v>
      </c>
      <c r="E88" s="13">
        <f>Balance_Sheet!E70</f>
        <v>311175.84914435504</v>
      </c>
      <c r="F88" s="13">
        <f>Balance_Sheet!F70</f>
        <v>219150.74531821522</v>
      </c>
      <c r="G88" s="13">
        <f>Balance_Sheet!G70</f>
        <v>318444.76603093103</v>
      </c>
      <c r="I88" s="34"/>
      <c r="J88" s="35"/>
      <c r="K88" s="35"/>
      <c r="L88" s="36"/>
    </row>
    <row r="89" spans="2:12" ht="18.75" x14ac:dyDescent="0.25">
      <c r="B89" s="12" t="str">
        <f>Income_Statement!B17</f>
        <v>Cost Of Materials Consumed</v>
      </c>
      <c r="C89" s="13">
        <f>Income_Statement!C17</f>
        <v>207448</v>
      </c>
      <c r="D89" s="13">
        <f>Income_Statement!D17</f>
        <v>275237</v>
      </c>
      <c r="E89" s="13">
        <f>Income_Statement!E17</f>
        <v>260621</v>
      </c>
      <c r="F89" s="13">
        <f>Income_Statement!F17</f>
        <v>199915</v>
      </c>
      <c r="G89" s="13">
        <f>Income_Statement!G17</f>
        <v>360784</v>
      </c>
      <c r="I89" s="37"/>
      <c r="J89" s="38"/>
      <c r="K89" s="38"/>
      <c r="L89" s="39"/>
    </row>
    <row r="90" spans="2:12" ht="19.5" thickBot="1" x14ac:dyDescent="0.3">
      <c r="B90" s="14" t="s">
        <v>177</v>
      </c>
      <c r="C90" s="14">
        <f>ROUND(C88/C89*365, 2)</f>
        <v>7.49</v>
      </c>
      <c r="D90" s="14">
        <f t="shared" ref="D90:G90" si="18">ROUND(D88/D89*365, 2)</f>
        <v>178.21</v>
      </c>
      <c r="E90" s="14">
        <f t="shared" si="18"/>
        <v>435.8</v>
      </c>
      <c r="F90" s="14">
        <f t="shared" si="18"/>
        <v>400.12</v>
      </c>
      <c r="G90" s="14">
        <f t="shared" si="18"/>
        <v>322.17</v>
      </c>
      <c r="I90" s="40"/>
      <c r="J90" s="41"/>
      <c r="K90" s="41"/>
      <c r="L90" s="42"/>
    </row>
    <row r="91" spans="2:12" ht="15.75" thickTop="1" x14ac:dyDescent="0.25"/>
    <row r="92" spans="2:12" ht="19.5" thickBot="1" x14ac:dyDescent="0.3">
      <c r="B92" s="43" t="s">
        <v>178</v>
      </c>
      <c r="C92" s="43"/>
      <c r="D92" s="43"/>
      <c r="E92" s="43"/>
      <c r="F92" s="43"/>
      <c r="G92" s="43"/>
    </row>
    <row r="93" spans="2:12" ht="19.5" thickTop="1" x14ac:dyDescent="0.25">
      <c r="B93" s="12" t="str">
        <f>Balance_Sheet!B70</f>
        <v>Cash And Cash Equivalents</v>
      </c>
      <c r="C93" s="13">
        <f>Balance_Sheet!C70</f>
        <v>4255</v>
      </c>
      <c r="D93" s="13">
        <f>Balance_Sheet!D70</f>
        <v>134382.92383863393</v>
      </c>
      <c r="E93" s="13">
        <f>Balance_Sheet!E70</f>
        <v>311175.84914435504</v>
      </c>
      <c r="F93" s="13">
        <f>Balance_Sheet!F70</f>
        <v>219150.74531821522</v>
      </c>
      <c r="G93" s="13">
        <f>Balance_Sheet!G70</f>
        <v>318444.76603093103</v>
      </c>
      <c r="I93" s="34"/>
      <c r="J93" s="35"/>
      <c r="K93" s="35"/>
      <c r="L93" s="36"/>
    </row>
    <row r="94" spans="2:12" ht="18.75" x14ac:dyDescent="0.25">
      <c r="B94" s="12" t="s">
        <v>179</v>
      </c>
      <c r="C94" s="13">
        <v>365</v>
      </c>
      <c r="D94" s="13">
        <v>365</v>
      </c>
      <c r="E94" s="13">
        <v>365</v>
      </c>
      <c r="F94" s="13">
        <v>365</v>
      </c>
      <c r="G94" s="13">
        <v>365</v>
      </c>
      <c r="I94" s="37"/>
      <c r="J94" s="38"/>
      <c r="K94" s="38"/>
      <c r="L94" s="39"/>
    </row>
    <row r="95" spans="2:12" ht="19.5" thickBot="1" x14ac:dyDescent="0.3">
      <c r="B95" s="14" t="s">
        <v>180</v>
      </c>
      <c r="C95" s="14">
        <f>ROUND(C93/C94*365, 2)</f>
        <v>4255</v>
      </c>
      <c r="D95" s="14">
        <f t="shared" ref="D95:G95" si="19">ROUND(D93/D94*365, 2)</f>
        <v>134382.92000000001</v>
      </c>
      <c r="E95" s="14">
        <f t="shared" si="19"/>
        <v>311175.84999999998</v>
      </c>
      <c r="F95" s="14">
        <f t="shared" si="19"/>
        <v>219150.75</v>
      </c>
      <c r="G95" s="14">
        <f t="shared" si="19"/>
        <v>318444.77</v>
      </c>
      <c r="I95" s="40"/>
      <c r="J95" s="41"/>
      <c r="K95" s="41"/>
      <c r="L95" s="42"/>
    </row>
    <row r="96" spans="2:12" ht="15.75" thickTop="1" x14ac:dyDescent="0.25"/>
    <row r="97" spans="2:12" ht="19.5" thickBot="1" x14ac:dyDescent="0.3">
      <c r="B97" s="43" t="s">
        <v>181</v>
      </c>
      <c r="C97" s="43"/>
      <c r="D97" s="43"/>
      <c r="E97" s="43"/>
      <c r="F97" s="43"/>
      <c r="G97" s="43"/>
    </row>
    <row r="98" spans="2:12" ht="19.5" thickTop="1" x14ac:dyDescent="0.25">
      <c r="B98" s="12" t="str">
        <f>Income_Statement!B5</f>
        <v>Gross Sales</v>
      </c>
      <c r="C98" s="13">
        <f>Income_Statement!C5</f>
        <v>430731</v>
      </c>
      <c r="D98" s="13">
        <f>Income_Statement!D5</f>
        <v>625212</v>
      </c>
      <c r="E98" s="13">
        <f>Income_Statement!E5</f>
        <v>659997</v>
      </c>
      <c r="F98" s="13">
        <f>Income_Statement!F5</f>
        <v>539238</v>
      </c>
      <c r="G98" s="13">
        <f>Income_Statement!G5</f>
        <v>721634</v>
      </c>
      <c r="I98" s="34"/>
      <c r="J98" s="35"/>
      <c r="K98" s="35"/>
      <c r="L98" s="36"/>
    </row>
    <row r="99" spans="2:12" ht="18.75" x14ac:dyDescent="0.25">
      <c r="B99" s="12" t="str">
        <f>Balance_Sheet!B74</f>
        <v>Total Assets</v>
      </c>
      <c r="C99" s="13">
        <f>Balance_Sheet!C74</f>
        <v>816333</v>
      </c>
      <c r="D99" s="13">
        <f>Balance_Sheet!D74</f>
        <v>1063491.923838634</v>
      </c>
      <c r="E99" s="13">
        <f>Balance_Sheet!E74</f>
        <v>1342764.8491443549</v>
      </c>
      <c r="F99" s="13">
        <f>Balance_Sheet!F74</f>
        <v>1388262.7453182153</v>
      </c>
      <c r="G99" s="13">
        <f>Balance_Sheet!G74</f>
        <v>1669416.7660309309</v>
      </c>
      <c r="I99" s="37"/>
      <c r="J99" s="38"/>
      <c r="K99" s="38"/>
      <c r="L99" s="39"/>
    </row>
    <row r="100" spans="2:12" ht="19.5" thickBot="1" x14ac:dyDescent="0.3">
      <c r="B100" s="14" t="s">
        <v>182</v>
      </c>
      <c r="C100" s="14">
        <f>ROUND(C98/C99, 2)</f>
        <v>0.53</v>
      </c>
      <c r="D100" s="14">
        <f t="shared" ref="D100:G100" si="20">ROUND(D98/D99, 2)</f>
        <v>0.59</v>
      </c>
      <c r="E100" s="14">
        <f t="shared" si="20"/>
        <v>0.49</v>
      </c>
      <c r="F100" s="14">
        <f t="shared" si="20"/>
        <v>0.39</v>
      </c>
      <c r="G100" s="14">
        <f t="shared" si="20"/>
        <v>0.43</v>
      </c>
      <c r="I100" s="40"/>
      <c r="J100" s="41"/>
      <c r="K100" s="41"/>
      <c r="L100" s="42"/>
    </row>
    <row r="101" spans="2:12" ht="15.75" thickTop="1" x14ac:dyDescent="0.25"/>
    <row r="102" spans="2:12" ht="19.5" thickBot="1" x14ac:dyDescent="0.3">
      <c r="B102" s="43" t="s">
        <v>183</v>
      </c>
      <c r="C102" s="43"/>
      <c r="D102" s="43"/>
      <c r="E102" s="43"/>
      <c r="F102" s="43"/>
      <c r="G102" s="43"/>
    </row>
    <row r="103" spans="2:12" ht="19.5" thickTop="1" x14ac:dyDescent="0.25">
      <c r="B103" s="12" t="str">
        <f>Income_Statement!B5</f>
        <v>Gross Sales</v>
      </c>
      <c r="C103" s="13">
        <f>Income_Statement!C5</f>
        <v>430731</v>
      </c>
      <c r="D103" s="13">
        <f>Income_Statement!D5</f>
        <v>625212</v>
      </c>
      <c r="E103" s="13">
        <f>Income_Statement!E5</f>
        <v>659997</v>
      </c>
      <c r="F103" s="13">
        <f>Income_Statement!F5</f>
        <v>539238</v>
      </c>
      <c r="G103" s="13">
        <f>Income_Statement!G5</f>
        <v>721634</v>
      </c>
      <c r="I103" s="34"/>
      <c r="J103" s="35"/>
      <c r="K103" s="35"/>
      <c r="L103" s="36"/>
    </row>
    <row r="104" spans="2:12" ht="18.75" x14ac:dyDescent="0.25">
      <c r="B104" s="12" t="str">
        <f>Balance_Sheet!B66</f>
        <v>Inventories</v>
      </c>
      <c r="C104" s="13">
        <f>Balance_Sheet!C66</f>
        <v>60837</v>
      </c>
      <c r="D104" s="13">
        <f>Balance_Sheet!D66</f>
        <v>67561</v>
      </c>
      <c r="E104" s="13">
        <f>Balance_Sheet!E66</f>
        <v>73903</v>
      </c>
      <c r="F104" s="13">
        <f>Balance_Sheet!F66</f>
        <v>81672</v>
      </c>
      <c r="G104" s="13">
        <f>Balance_Sheet!G66</f>
        <v>107778</v>
      </c>
      <c r="I104" s="37"/>
      <c r="J104" s="38"/>
      <c r="K104" s="38"/>
      <c r="L104" s="39"/>
    </row>
    <row r="105" spans="2:12" ht="19.5" thickBot="1" x14ac:dyDescent="0.3">
      <c r="B105" s="14" t="s">
        <v>184</v>
      </c>
      <c r="C105" s="14">
        <f>ROUND(C103/C104, 2)</f>
        <v>7.08</v>
      </c>
      <c r="D105" s="14">
        <f t="shared" ref="D105:G105" si="21">ROUND(D103/D104, 2)</f>
        <v>9.25</v>
      </c>
      <c r="E105" s="14">
        <f t="shared" si="21"/>
        <v>8.93</v>
      </c>
      <c r="F105" s="14">
        <f t="shared" si="21"/>
        <v>6.6</v>
      </c>
      <c r="G105" s="14">
        <f t="shared" si="21"/>
        <v>6.7</v>
      </c>
      <c r="I105" s="40"/>
      <c r="J105" s="41"/>
      <c r="K105" s="41"/>
      <c r="L105" s="42"/>
    </row>
    <row r="106" spans="2:12" ht="15.75" thickTop="1" x14ac:dyDescent="0.25"/>
    <row r="107" spans="2:12" ht="19.5" thickBot="1" x14ac:dyDescent="0.3">
      <c r="B107" s="43" t="s">
        <v>185</v>
      </c>
      <c r="C107" s="43"/>
      <c r="D107" s="43"/>
      <c r="E107" s="43"/>
      <c r="F107" s="43"/>
      <c r="G107" s="43"/>
    </row>
    <row r="108" spans="2:12" ht="19.5" thickTop="1" x14ac:dyDescent="0.25">
      <c r="B108" s="12" t="str">
        <f>Income_Statement!B5</f>
        <v>Gross Sales</v>
      </c>
      <c r="C108" s="13">
        <f>Income_Statement!C5</f>
        <v>430731</v>
      </c>
      <c r="D108" s="13">
        <f>Income_Statement!D5</f>
        <v>625212</v>
      </c>
      <c r="E108" s="13">
        <f>Income_Statement!E5</f>
        <v>659997</v>
      </c>
      <c r="F108" s="13">
        <f>Income_Statement!F5</f>
        <v>539238</v>
      </c>
      <c r="G108" s="13">
        <f>Income_Statement!G5</f>
        <v>721634</v>
      </c>
      <c r="I108" s="34"/>
      <c r="J108" s="35"/>
      <c r="K108" s="35"/>
      <c r="L108" s="36"/>
    </row>
    <row r="109" spans="2:12" ht="18.75" x14ac:dyDescent="0.25">
      <c r="B109" s="12" t="str">
        <f>Balance_Sheet!B68</f>
        <v>Trade Receivables</v>
      </c>
      <c r="C109" s="13">
        <f>Balance_Sheet!C68</f>
        <v>17555</v>
      </c>
      <c r="D109" s="13">
        <f>Balance_Sheet!D68</f>
        <v>30089</v>
      </c>
      <c r="E109" s="13">
        <f>Balance_Sheet!E68</f>
        <v>19656</v>
      </c>
      <c r="F109" s="13">
        <f>Balance_Sheet!F68</f>
        <v>19014</v>
      </c>
      <c r="G109" s="13">
        <f>Balance_Sheet!G68</f>
        <v>23640</v>
      </c>
      <c r="I109" s="37"/>
      <c r="J109" s="38"/>
      <c r="K109" s="38"/>
      <c r="L109" s="39"/>
    </row>
    <row r="110" spans="2:12" ht="19.5" thickBot="1" x14ac:dyDescent="0.3">
      <c r="B110" s="14" t="s">
        <v>186</v>
      </c>
      <c r="C110" s="14">
        <f>ROUND(C108/C109, 2)</f>
        <v>24.54</v>
      </c>
      <c r="D110" s="14">
        <f t="shared" ref="D110:G110" si="22">ROUND(D108/D109, 2)</f>
        <v>20.78</v>
      </c>
      <c r="E110" s="14">
        <f t="shared" si="22"/>
        <v>33.58</v>
      </c>
      <c r="F110" s="14">
        <f t="shared" si="22"/>
        <v>28.36</v>
      </c>
      <c r="G110" s="14">
        <f t="shared" si="22"/>
        <v>30.53</v>
      </c>
      <c r="I110" s="40"/>
      <c r="J110" s="41"/>
      <c r="K110" s="41"/>
      <c r="L110" s="42"/>
    </row>
    <row r="111" spans="2:12" ht="15.75" thickTop="1" x14ac:dyDescent="0.25"/>
    <row r="112" spans="2:12" ht="19.5" thickBot="1" x14ac:dyDescent="0.3">
      <c r="B112" s="43" t="s">
        <v>187</v>
      </c>
      <c r="C112" s="43"/>
      <c r="D112" s="43"/>
      <c r="E112" s="43"/>
      <c r="F112" s="43"/>
      <c r="G112" s="43"/>
    </row>
    <row r="113" spans="2:12" ht="19.5" thickTop="1" x14ac:dyDescent="0.25">
      <c r="B113" s="12" t="str">
        <f>Income_Statement!B5</f>
        <v>Gross Sales</v>
      </c>
      <c r="C113" s="13">
        <f>Income_Statement!C5</f>
        <v>430731</v>
      </c>
      <c r="D113" s="13">
        <f>Income_Statement!D5</f>
        <v>625212</v>
      </c>
      <c r="E113" s="13">
        <f>Income_Statement!E5</f>
        <v>659997</v>
      </c>
      <c r="F113" s="13">
        <f>Income_Statement!F5</f>
        <v>539238</v>
      </c>
      <c r="G113" s="13">
        <f>Income_Statement!G5</f>
        <v>721634</v>
      </c>
      <c r="I113" s="34"/>
      <c r="J113" s="35"/>
      <c r="K113" s="35"/>
      <c r="L113" s="36"/>
    </row>
    <row r="114" spans="2:12" ht="18.75" x14ac:dyDescent="0.25">
      <c r="B114" s="12" t="str">
        <f>Balance_Sheet!B40</f>
        <v>Tangible Assets</v>
      </c>
      <c r="C114" s="13">
        <f>Balance_Sheet!C40</f>
        <v>316031</v>
      </c>
      <c r="D114" s="13">
        <f>Balance_Sheet!D40</f>
        <v>302115</v>
      </c>
      <c r="E114" s="13">
        <f>Balance_Sheet!E40</f>
        <v>435920</v>
      </c>
      <c r="F114" s="13">
        <f>Balance_Sheet!F40</f>
        <v>451066</v>
      </c>
      <c r="G114" s="13">
        <f>Balance_Sheet!G40</f>
        <v>787295</v>
      </c>
      <c r="I114" s="37"/>
      <c r="J114" s="38"/>
      <c r="K114" s="38"/>
      <c r="L114" s="39"/>
    </row>
    <row r="115" spans="2:12" ht="19.5" thickBot="1" x14ac:dyDescent="0.3">
      <c r="B115" s="14" t="s">
        <v>188</v>
      </c>
      <c r="C115" s="14">
        <f>ROUND(C113/C114, 2)</f>
        <v>1.36</v>
      </c>
      <c r="D115" s="14">
        <f t="shared" ref="D115:G115" si="23">ROUND(D113/D114, 2)</f>
        <v>2.0699999999999998</v>
      </c>
      <c r="E115" s="14">
        <f t="shared" si="23"/>
        <v>1.51</v>
      </c>
      <c r="F115" s="14">
        <f t="shared" si="23"/>
        <v>1.2</v>
      </c>
      <c r="G115" s="14">
        <f t="shared" si="23"/>
        <v>0.92</v>
      </c>
      <c r="I115" s="40"/>
      <c r="J115" s="41"/>
      <c r="K115" s="41"/>
      <c r="L115" s="42"/>
    </row>
    <row r="116" spans="2:12" ht="15.75" thickTop="1" x14ac:dyDescent="0.25"/>
    <row r="117" spans="2:12" ht="19.5" thickBot="1" x14ac:dyDescent="0.3">
      <c r="B117" s="43" t="s">
        <v>189</v>
      </c>
      <c r="C117" s="43"/>
      <c r="D117" s="43"/>
      <c r="E117" s="43"/>
      <c r="F117" s="43"/>
      <c r="G117" s="43"/>
    </row>
    <row r="118" spans="2:12" ht="19.5" thickTop="1" x14ac:dyDescent="0.25">
      <c r="B118" s="12" t="str">
        <f>Income_Statement!B17</f>
        <v>Cost Of Materials Consumed</v>
      </c>
      <c r="C118" s="13">
        <f>Income_Statement!C17</f>
        <v>207448</v>
      </c>
      <c r="D118" s="13">
        <f>Income_Statement!D17</f>
        <v>275237</v>
      </c>
      <c r="E118" s="13">
        <f>Income_Statement!E17</f>
        <v>260621</v>
      </c>
      <c r="F118" s="13">
        <f>Income_Statement!F17</f>
        <v>199915</v>
      </c>
      <c r="G118" s="13">
        <f>Income_Statement!G17</f>
        <v>360784</v>
      </c>
      <c r="I118" s="34"/>
      <c r="J118" s="35"/>
      <c r="K118" s="35"/>
      <c r="L118" s="36"/>
    </row>
    <row r="119" spans="2:12" ht="18.75" x14ac:dyDescent="0.25">
      <c r="B119" s="12" t="str">
        <f>Balance_Sheet!B33</f>
        <v>Total Current Liabilities</v>
      </c>
      <c r="C119" s="13">
        <f>Balance_Sheet!C33</f>
        <v>308081</v>
      </c>
      <c r="D119" s="13">
        <f>Balance_Sheet!D33</f>
        <v>285149</v>
      </c>
      <c r="E119" s="13">
        <f>Balance_Sheet!E33</f>
        <v>359027</v>
      </c>
      <c r="F119" s="13">
        <f>Balance_Sheet!F33</f>
        <v>261015</v>
      </c>
      <c r="G119" s="13">
        <f>Balance_Sheet!G33</f>
        <v>294732</v>
      </c>
      <c r="I119" s="37"/>
      <c r="J119" s="38"/>
      <c r="K119" s="38"/>
      <c r="L119" s="39"/>
    </row>
    <row r="120" spans="2:12" ht="19.5" thickBot="1" x14ac:dyDescent="0.3">
      <c r="B120" s="14" t="s">
        <v>190</v>
      </c>
      <c r="C120" s="14">
        <f>ROUND(C118/C119, 2)</f>
        <v>0.67</v>
      </c>
      <c r="D120" s="14">
        <f t="shared" ref="D120:G120" si="24">ROUND(D118/D119, 2)</f>
        <v>0.97</v>
      </c>
      <c r="E120" s="14">
        <f t="shared" si="24"/>
        <v>0.73</v>
      </c>
      <c r="F120" s="14">
        <f t="shared" si="24"/>
        <v>0.77</v>
      </c>
      <c r="G120" s="14">
        <f t="shared" si="24"/>
        <v>1.22</v>
      </c>
      <c r="I120" s="40"/>
      <c r="J120" s="41"/>
      <c r="K120" s="41"/>
      <c r="L120" s="42"/>
    </row>
    <row r="121" spans="2:12" ht="15.75" thickTop="1" x14ac:dyDescent="0.25"/>
    <row r="122" spans="2:12" ht="19.5" thickBot="1" x14ac:dyDescent="0.3">
      <c r="B122" s="43" t="s">
        <v>191</v>
      </c>
      <c r="C122" s="43"/>
      <c r="D122" s="43"/>
      <c r="E122" s="43"/>
      <c r="F122" s="43"/>
      <c r="G122" s="43"/>
    </row>
    <row r="123" spans="2:12" ht="19.5" thickTop="1" x14ac:dyDescent="0.25">
      <c r="B123" s="12" t="str">
        <f>Income_Statement!B5</f>
        <v>Gross Sales</v>
      </c>
      <c r="C123" s="13">
        <f>Income_Statement!C5</f>
        <v>430731</v>
      </c>
      <c r="D123" s="13">
        <f>Income_Statement!D5</f>
        <v>625212</v>
      </c>
      <c r="E123" s="13">
        <f>Income_Statement!E5</f>
        <v>659997</v>
      </c>
      <c r="F123" s="13">
        <f>Income_Statement!F5</f>
        <v>539238</v>
      </c>
      <c r="G123" s="13">
        <f>Income_Statement!G5</f>
        <v>721634</v>
      </c>
      <c r="I123" s="34"/>
      <c r="J123" s="35"/>
      <c r="K123" s="35"/>
      <c r="L123" s="36"/>
    </row>
    <row r="124" spans="2:12" ht="18.75" x14ac:dyDescent="0.25">
      <c r="B124" s="12" t="str">
        <f>Balance_Sheet!B66</f>
        <v>Inventories</v>
      </c>
      <c r="C124" s="13">
        <f>Balance_Sheet!C66</f>
        <v>60837</v>
      </c>
      <c r="D124" s="13">
        <f>Balance_Sheet!D66</f>
        <v>67561</v>
      </c>
      <c r="E124" s="13">
        <f>Balance_Sheet!E66</f>
        <v>73903</v>
      </c>
      <c r="F124" s="13">
        <f>Balance_Sheet!F66</f>
        <v>81672</v>
      </c>
      <c r="G124" s="13">
        <f>Balance_Sheet!G66</f>
        <v>107778</v>
      </c>
      <c r="I124" s="37"/>
      <c r="J124" s="38"/>
      <c r="K124" s="38"/>
      <c r="L124" s="39"/>
    </row>
    <row r="125" spans="2:12" ht="19.5" thickBot="1" x14ac:dyDescent="0.3">
      <c r="B125" s="14" t="s">
        <v>192</v>
      </c>
      <c r="C125" s="14">
        <f>ROUND(365/C123*C124, 2)</f>
        <v>51.55</v>
      </c>
      <c r="D125" s="14">
        <f t="shared" ref="D125:G125" si="25">ROUND(365/D123*D124, 2)</f>
        <v>39.44</v>
      </c>
      <c r="E125" s="14">
        <f t="shared" si="25"/>
        <v>40.869999999999997</v>
      </c>
      <c r="F125" s="14">
        <f t="shared" si="25"/>
        <v>55.28</v>
      </c>
      <c r="G125" s="14">
        <f t="shared" si="25"/>
        <v>54.51</v>
      </c>
      <c r="I125" s="40"/>
      <c r="J125" s="41"/>
      <c r="K125" s="41"/>
      <c r="L125" s="42"/>
    </row>
    <row r="126" spans="2:12" ht="15.75" thickTop="1" x14ac:dyDescent="0.25"/>
    <row r="127" spans="2:12" ht="19.5" thickBot="1" x14ac:dyDescent="0.3">
      <c r="B127" s="43" t="s">
        <v>193</v>
      </c>
      <c r="C127" s="43"/>
      <c r="D127" s="43"/>
      <c r="E127" s="43"/>
      <c r="F127" s="43"/>
      <c r="G127" s="43"/>
    </row>
    <row r="128" spans="2:12" ht="19.5" thickTop="1" x14ac:dyDescent="0.25">
      <c r="B128" s="12" t="str">
        <f>Income_Statement!B17</f>
        <v>Cost Of Materials Consumed</v>
      </c>
      <c r="C128" s="13">
        <f>Income_Statement!C17</f>
        <v>207448</v>
      </c>
      <c r="D128" s="13">
        <f>Income_Statement!D17</f>
        <v>275237</v>
      </c>
      <c r="E128" s="13">
        <f>Income_Statement!E17</f>
        <v>260621</v>
      </c>
      <c r="F128" s="13">
        <f>Income_Statement!F17</f>
        <v>199915</v>
      </c>
      <c r="G128" s="13">
        <f>Income_Statement!G17</f>
        <v>360784</v>
      </c>
      <c r="I128" s="34"/>
      <c r="J128" s="35"/>
      <c r="K128" s="35"/>
      <c r="L128" s="36"/>
    </row>
    <row r="129" spans="2:12" ht="18.75" x14ac:dyDescent="0.25">
      <c r="B129" s="12" t="str">
        <f>Balance_Sheet!B33</f>
        <v>Total Current Liabilities</v>
      </c>
      <c r="C129" s="13">
        <f>Balance_Sheet!C33</f>
        <v>308081</v>
      </c>
      <c r="D129" s="13">
        <f>Balance_Sheet!D33</f>
        <v>285149</v>
      </c>
      <c r="E129" s="13">
        <f>Balance_Sheet!E33</f>
        <v>359027</v>
      </c>
      <c r="F129" s="13">
        <f>Balance_Sheet!F33</f>
        <v>261015</v>
      </c>
      <c r="G129" s="13">
        <f>Balance_Sheet!G33</f>
        <v>294732</v>
      </c>
      <c r="I129" s="37"/>
      <c r="J129" s="38"/>
      <c r="K129" s="38"/>
      <c r="L129" s="39"/>
    </row>
    <row r="130" spans="2:12" ht="19.5" thickBot="1" x14ac:dyDescent="0.3">
      <c r="B130" s="14" t="s">
        <v>194</v>
      </c>
      <c r="C130" s="14">
        <f>ROUND(365/C128*C129, 2)</f>
        <v>542.05999999999995</v>
      </c>
      <c r="D130" s="14">
        <f t="shared" ref="D130:G130" si="26">ROUND(365/D128*D129, 2)</f>
        <v>378.14</v>
      </c>
      <c r="E130" s="14">
        <f t="shared" si="26"/>
        <v>502.82</v>
      </c>
      <c r="F130" s="14">
        <f t="shared" si="26"/>
        <v>476.55</v>
      </c>
      <c r="G130" s="14">
        <f t="shared" si="26"/>
        <v>298.18</v>
      </c>
      <c r="I130" s="40"/>
      <c r="J130" s="41"/>
      <c r="K130" s="41"/>
      <c r="L130" s="42"/>
    </row>
    <row r="131" spans="2:12" ht="15.75" thickTop="1" x14ac:dyDescent="0.25"/>
    <row r="132" spans="2:12" ht="19.5" thickBot="1" x14ac:dyDescent="0.3">
      <c r="B132" s="43" t="s">
        <v>195</v>
      </c>
      <c r="C132" s="43"/>
      <c r="D132" s="43"/>
      <c r="E132" s="43"/>
      <c r="F132" s="43"/>
      <c r="G132" s="43"/>
    </row>
    <row r="133" spans="2:12" ht="19.5" thickTop="1" x14ac:dyDescent="0.25">
      <c r="B133" s="12" t="str">
        <f>Income_Statement!B5</f>
        <v>Gross Sales</v>
      </c>
      <c r="C133" s="13">
        <f>Income_Statement!C5</f>
        <v>430731</v>
      </c>
      <c r="D133" s="13">
        <f>Income_Statement!D5</f>
        <v>625212</v>
      </c>
      <c r="E133" s="13">
        <f>Income_Statement!E5</f>
        <v>659997</v>
      </c>
      <c r="F133" s="13">
        <f>Income_Statement!F5</f>
        <v>539238</v>
      </c>
      <c r="G133" s="13">
        <f>Income_Statement!G5</f>
        <v>721634</v>
      </c>
      <c r="I133" s="34"/>
      <c r="J133" s="35"/>
      <c r="K133" s="35"/>
      <c r="L133" s="36"/>
    </row>
    <row r="134" spans="2:12" ht="18.75" x14ac:dyDescent="0.25">
      <c r="B134" s="12" t="str">
        <f>Balance_Sheet!B68</f>
        <v>Trade Receivables</v>
      </c>
      <c r="C134" s="13">
        <f>Balance_Sheet!C68</f>
        <v>17555</v>
      </c>
      <c r="D134" s="13">
        <f>Balance_Sheet!D68</f>
        <v>30089</v>
      </c>
      <c r="E134" s="13">
        <f>Balance_Sheet!E68</f>
        <v>19656</v>
      </c>
      <c r="F134" s="13">
        <f>Balance_Sheet!F68</f>
        <v>19014</v>
      </c>
      <c r="G134" s="13">
        <f>Balance_Sheet!G68</f>
        <v>23640</v>
      </c>
      <c r="I134" s="37"/>
      <c r="J134" s="38"/>
      <c r="K134" s="38"/>
      <c r="L134" s="39"/>
    </row>
    <row r="135" spans="2:12" ht="19.5" thickBot="1" x14ac:dyDescent="0.3">
      <c r="B135" s="14" t="s">
        <v>196</v>
      </c>
      <c r="C135" s="14">
        <f>ROUND(365/C133*C134, 2)</f>
        <v>14.88</v>
      </c>
      <c r="D135" s="14">
        <f t="shared" ref="D135:G135" si="27">ROUND(365/D133*D134, 2)</f>
        <v>17.57</v>
      </c>
      <c r="E135" s="14">
        <f t="shared" si="27"/>
        <v>10.87</v>
      </c>
      <c r="F135" s="14">
        <f t="shared" si="27"/>
        <v>12.87</v>
      </c>
      <c r="G135" s="14">
        <f t="shared" si="27"/>
        <v>11.96</v>
      </c>
      <c r="I135" s="40"/>
      <c r="J135" s="41"/>
      <c r="K135" s="41"/>
      <c r="L135" s="42"/>
    </row>
    <row r="136" spans="2:12" ht="15.75" thickTop="1" x14ac:dyDescent="0.25"/>
    <row r="137" spans="2:12" ht="18.75" x14ac:dyDescent="0.25">
      <c r="B137" s="43" t="s">
        <v>197</v>
      </c>
      <c r="C137" s="43"/>
      <c r="D137" s="43"/>
      <c r="E137" s="43"/>
      <c r="F137" s="43"/>
      <c r="G137" s="43"/>
    </row>
    <row r="138" spans="2:12" ht="18.75" x14ac:dyDescent="0.25">
      <c r="B138" s="12" t="str">
        <f>Income_Statement!B5</f>
        <v>Gross Sales</v>
      </c>
      <c r="C138" s="13">
        <f>Income_Statement!C5</f>
        <v>430731</v>
      </c>
      <c r="D138" s="13">
        <f>Income_Statement!D5</f>
        <v>625212</v>
      </c>
      <c r="E138" s="13">
        <f>Income_Statement!E5</f>
        <v>659997</v>
      </c>
      <c r="F138" s="13">
        <f>Income_Statement!F5</f>
        <v>539238</v>
      </c>
      <c r="G138" s="13">
        <f>Income_Statement!G5</f>
        <v>721634</v>
      </c>
    </row>
    <row r="139" spans="2:12" ht="18.75" x14ac:dyDescent="0.25">
      <c r="B139" s="12" t="str">
        <f>Balance_Sheet!B66</f>
        <v>Inventories</v>
      </c>
      <c r="C139" s="13">
        <f>Balance_Sheet!C66</f>
        <v>60837</v>
      </c>
      <c r="D139" s="13">
        <f>Balance_Sheet!D66</f>
        <v>67561</v>
      </c>
      <c r="E139" s="13">
        <f>Balance_Sheet!E66</f>
        <v>73903</v>
      </c>
      <c r="F139" s="13">
        <f>Balance_Sheet!F66</f>
        <v>81672</v>
      </c>
      <c r="G139" s="13">
        <f>Balance_Sheet!G66</f>
        <v>107778</v>
      </c>
    </row>
    <row r="140" spans="2:12" ht="18.75" x14ac:dyDescent="0.25">
      <c r="B140" s="12" t="s">
        <v>192</v>
      </c>
      <c r="C140" s="13">
        <f>ROUND(365/C138*C139, 2)</f>
        <v>51.55</v>
      </c>
      <c r="D140" s="13">
        <f t="shared" ref="D140:G140" si="28">ROUND(365/D138*D139, 2)</f>
        <v>39.44</v>
      </c>
      <c r="E140" s="13">
        <f t="shared" si="28"/>
        <v>40.869999999999997</v>
      </c>
      <c r="F140" s="13">
        <f t="shared" si="28"/>
        <v>55.28</v>
      </c>
      <c r="G140" s="13">
        <f t="shared" si="28"/>
        <v>54.51</v>
      </c>
    </row>
    <row r="141" spans="2:12" ht="19.5" thickBot="1" x14ac:dyDescent="0.3">
      <c r="B141" s="12" t="str">
        <f>Income_Statement!B17</f>
        <v>Cost Of Materials Consumed</v>
      </c>
      <c r="C141" s="13">
        <f>Income_Statement!C17</f>
        <v>207448</v>
      </c>
      <c r="D141" s="13">
        <f>Income_Statement!D17</f>
        <v>275237</v>
      </c>
      <c r="E141" s="13">
        <f>Income_Statement!E17</f>
        <v>260621</v>
      </c>
      <c r="F141" s="13">
        <f>Income_Statement!F17</f>
        <v>199915</v>
      </c>
      <c r="G141" s="13">
        <f>Income_Statement!G17</f>
        <v>360784</v>
      </c>
    </row>
    <row r="142" spans="2:12" ht="19.5" thickTop="1" x14ac:dyDescent="0.25">
      <c r="B142" s="12" t="str">
        <f>Balance_Sheet!B33</f>
        <v>Total Current Liabilities</v>
      </c>
      <c r="C142" s="13">
        <f>Balance_Sheet!C33</f>
        <v>308081</v>
      </c>
      <c r="D142" s="13">
        <f>Balance_Sheet!D33</f>
        <v>285149</v>
      </c>
      <c r="E142" s="13">
        <f>Balance_Sheet!E33</f>
        <v>359027</v>
      </c>
      <c r="F142" s="13">
        <f>Balance_Sheet!F33</f>
        <v>261015</v>
      </c>
      <c r="G142" s="13">
        <f>Balance_Sheet!G33</f>
        <v>294732</v>
      </c>
      <c r="I142" s="34"/>
      <c r="J142" s="35"/>
      <c r="K142" s="35"/>
      <c r="L142" s="36"/>
    </row>
    <row r="143" spans="2:12" ht="18.75" x14ac:dyDescent="0.25">
      <c r="B143" s="12" t="s">
        <v>194</v>
      </c>
      <c r="C143" s="13">
        <f>ROUND(365/C141*C142, 2)</f>
        <v>542.05999999999995</v>
      </c>
      <c r="D143" s="13">
        <f t="shared" ref="D143:G143" si="29">ROUND(365/D141*D142, 2)</f>
        <v>378.14</v>
      </c>
      <c r="E143" s="13">
        <f t="shared" si="29"/>
        <v>502.82</v>
      </c>
      <c r="F143" s="13">
        <f t="shared" si="29"/>
        <v>476.55</v>
      </c>
      <c r="G143" s="13">
        <f t="shared" si="29"/>
        <v>298.18</v>
      </c>
      <c r="I143" s="37"/>
      <c r="J143" s="38"/>
      <c r="K143" s="38"/>
      <c r="L143" s="39"/>
    </row>
    <row r="144" spans="2:12" ht="19.5" thickBot="1" x14ac:dyDescent="0.3">
      <c r="B144" s="14" t="s">
        <v>198</v>
      </c>
      <c r="C144" s="16">
        <f>ROUND(C143+C140, 2)</f>
        <v>593.61</v>
      </c>
      <c r="D144" s="16">
        <f t="shared" ref="D144:G144" si="30">ROUND(D143+D140, 2)</f>
        <v>417.58</v>
      </c>
      <c r="E144" s="16">
        <f t="shared" si="30"/>
        <v>543.69000000000005</v>
      </c>
      <c r="F144" s="16">
        <f t="shared" si="30"/>
        <v>531.83000000000004</v>
      </c>
      <c r="G144" s="16">
        <f t="shared" si="30"/>
        <v>352.69</v>
      </c>
      <c r="I144" s="40"/>
      <c r="J144" s="41"/>
      <c r="K144" s="41"/>
      <c r="L144" s="42"/>
    </row>
    <row r="145" spans="2:12" ht="15.75" thickTop="1" x14ac:dyDescent="0.25"/>
    <row r="146" spans="2:12" ht="18.75" x14ac:dyDescent="0.25">
      <c r="B146" s="43" t="s">
        <v>199</v>
      </c>
      <c r="C146" s="43"/>
      <c r="D146" s="43"/>
      <c r="E146" s="43"/>
      <c r="F146" s="43"/>
      <c r="G146" s="43"/>
    </row>
    <row r="147" spans="2:12" ht="18.75" x14ac:dyDescent="0.25">
      <c r="B147" s="12" t="str">
        <f>Income_Statement!B5</f>
        <v>Gross Sales</v>
      </c>
      <c r="C147" s="13">
        <f>Income_Statement!C5</f>
        <v>430731</v>
      </c>
      <c r="D147" s="13">
        <f>Income_Statement!D5</f>
        <v>625212</v>
      </c>
      <c r="E147" s="13">
        <f>Income_Statement!E5</f>
        <v>659997</v>
      </c>
      <c r="F147" s="13">
        <f>Income_Statement!F5</f>
        <v>539238</v>
      </c>
      <c r="G147" s="13">
        <f>Income_Statement!G5</f>
        <v>721634</v>
      </c>
    </row>
    <row r="148" spans="2:12" ht="18.75" x14ac:dyDescent="0.25">
      <c r="B148" s="12" t="str">
        <f>Balance_Sheet!B66</f>
        <v>Inventories</v>
      </c>
      <c r="C148" s="13">
        <f>Balance_Sheet!C66</f>
        <v>60837</v>
      </c>
      <c r="D148" s="13">
        <f>Balance_Sheet!D66</f>
        <v>67561</v>
      </c>
      <c r="E148" s="13">
        <f>Balance_Sheet!E66</f>
        <v>73903</v>
      </c>
      <c r="F148" s="13">
        <f>Balance_Sheet!F66</f>
        <v>81672</v>
      </c>
      <c r="G148" s="13">
        <f>Balance_Sheet!G66</f>
        <v>107778</v>
      </c>
    </row>
    <row r="149" spans="2:12" ht="18.75" x14ac:dyDescent="0.25">
      <c r="B149" s="12" t="s">
        <v>192</v>
      </c>
      <c r="C149" s="13">
        <f>ROUND(365/C147*C148, 2)</f>
        <v>51.55</v>
      </c>
      <c r="D149" s="13">
        <f t="shared" ref="D149:G149" si="31">ROUND(365/D147*D148, 2)</f>
        <v>39.44</v>
      </c>
      <c r="E149" s="13">
        <f t="shared" si="31"/>
        <v>40.869999999999997</v>
      </c>
      <c r="F149" s="13">
        <f t="shared" si="31"/>
        <v>55.28</v>
      </c>
      <c r="G149" s="13">
        <f t="shared" si="31"/>
        <v>54.51</v>
      </c>
    </row>
    <row r="150" spans="2:12" ht="18.75" x14ac:dyDescent="0.25">
      <c r="B150" s="12" t="str">
        <f>Income_Statement!B17</f>
        <v>Cost Of Materials Consumed</v>
      </c>
      <c r="C150" s="13">
        <f>Income_Statement!C17</f>
        <v>207448</v>
      </c>
      <c r="D150" s="13">
        <f>Income_Statement!D17</f>
        <v>275237</v>
      </c>
      <c r="E150" s="13">
        <f>Income_Statement!E17</f>
        <v>260621</v>
      </c>
      <c r="F150" s="13">
        <f>Income_Statement!F17</f>
        <v>199915</v>
      </c>
      <c r="G150" s="13">
        <f>Income_Statement!G17</f>
        <v>360784</v>
      </c>
    </row>
    <row r="151" spans="2:12" ht="18.75" x14ac:dyDescent="0.25">
      <c r="B151" s="12" t="str">
        <f>Balance_Sheet!B33</f>
        <v>Total Current Liabilities</v>
      </c>
      <c r="C151" s="13">
        <f>Balance_Sheet!C33</f>
        <v>308081</v>
      </c>
      <c r="D151" s="13">
        <f>Balance_Sheet!D33</f>
        <v>285149</v>
      </c>
      <c r="E151" s="13">
        <f>Balance_Sheet!E33</f>
        <v>359027</v>
      </c>
      <c r="F151" s="13">
        <f>Balance_Sheet!F33</f>
        <v>261015</v>
      </c>
      <c r="G151" s="13">
        <f>Balance_Sheet!G33</f>
        <v>294732</v>
      </c>
    </row>
    <row r="152" spans="2:12" ht="18.75" x14ac:dyDescent="0.25">
      <c r="B152" s="12" t="s">
        <v>194</v>
      </c>
      <c r="C152" s="13">
        <f>ROUND(365/C150*C151, 2)</f>
        <v>542.05999999999995</v>
      </c>
      <c r="D152" s="13">
        <f t="shared" ref="D152:G152" si="32">ROUND(365/D150*D151, 2)</f>
        <v>378.14</v>
      </c>
      <c r="E152" s="13">
        <f t="shared" si="32"/>
        <v>502.82</v>
      </c>
      <c r="F152" s="13">
        <f t="shared" si="32"/>
        <v>476.55</v>
      </c>
      <c r="G152" s="13">
        <f t="shared" si="32"/>
        <v>298.18</v>
      </c>
    </row>
    <row r="153" spans="2:12" ht="18.75" x14ac:dyDescent="0.25">
      <c r="B153" s="12" t="s">
        <v>200</v>
      </c>
      <c r="C153" s="13">
        <f>ROUND(C152+C149, 2)</f>
        <v>593.61</v>
      </c>
      <c r="D153" s="13">
        <f t="shared" ref="D153:G153" si="33">ROUND(D152+D149, 2)</f>
        <v>417.58</v>
      </c>
      <c r="E153" s="13">
        <f t="shared" si="33"/>
        <v>543.69000000000005</v>
      </c>
      <c r="F153" s="13">
        <f t="shared" si="33"/>
        <v>531.83000000000004</v>
      </c>
      <c r="G153" s="13">
        <f t="shared" si="33"/>
        <v>352.69</v>
      </c>
    </row>
    <row r="154" spans="2:12" ht="19.5" thickBot="1" x14ac:dyDescent="0.3">
      <c r="B154" s="12" t="str">
        <f>Income_Statement!B17</f>
        <v>Cost Of Materials Consumed</v>
      </c>
      <c r="C154" s="13">
        <f>Income_Statement!C17</f>
        <v>207448</v>
      </c>
      <c r="D154" s="13">
        <f>Income_Statement!D17</f>
        <v>275237</v>
      </c>
      <c r="E154" s="13">
        <f>Income_Statement!E17</f>
        <v>260621</v>
      </c>
      <c r="F154" s="13">
        <f>Income_Statement!F17</f>
        <v>199915</v>
      </c>
      <c r="G154" s="13">
        <f>Income_Statement!G17</f>
        <v>360784</v>
      </c>
    </row>
    <row r="155" spans="2:12" ht="19.5" thickTop="1" x14ac:dyDescent="0.25">
      <c r="B155" s="12" t="str">
        <f>Balance_Sheet!B33</f>
        <v>Total Current Liabilities</v>
      </c>
      <c r="C155" s="13">
        <f>Balance_Sheet!C33</f>
        <v>308081</v>
      </c>
      <c r="D155" s="13">
        <f>Balance_Sheet!D33</f>
        <v>285149</v>
      </c>
      <c r="E155" s="13">
        <f>Balance_Sheet!E33</f>
        <v>359027</v>
      </c>
      <c r="F155" s="13">
        <f>Balance_Sheet!F33</f>
        <v>261015</v>
      </c>
      <c r="G155" s="13">
        <f>Balance_Sheet!G33</f>
        <v>294732</v>
      </c>
      <c r="I155" s="34"/>
      <c r="J155" s="35"/>
      <c r="K155" s="35"/>
      <c r="L155" s="36"/>
    </row>
    <row r="156" spans="2:12" ht="18.75" x14ac:dyDescent="0.25">
      <c r="B156" s="12" t="s">
        <v>194</v>
      </c>
      <c r="C156" s="13">
        <f>ROUND(365/C154*C155, 2)</f>
        <v>542.05999999999995</v>
      </c>
      <c r="D156" s="13">
        <f t="shared" ref="D156:G156" si="34">ROUND(365/D154*D155, 2)</f>
        <v>378.14</v>
      </c>
      <c r="E156" s="13">
        <f t="shared" si="34"/>
        <v>502.82</v>
      </c>
      <c r="F156" s="13">
        <f t="shared" si="34"/>
        <v>476.55</v>
      </c>
      <c r="G156" s="13">
        <f t="shared" si="34"/>
        <v>298.18</v>
      </c>
      <c r="I156" s="37"/>
      <c r="J156" s="38"/>
      <c r="K156" s="38"/>
      <c r="L156" s="39"/>
    </row>
    <row r="157" spans="2:12" ht="19.5" thickBot="1" x14ac:dyDescent="0.3">
      <c r="B157" s="14" t="s">
        <v>201</v>
      </c>
      <c r="C157" s="16">
        <f>ROUND(C156-C153, 2)</f>
        <v>-51.55</v>
      </c>
      <c r="D157" s="16">
        <f t="shared" ref="D157:G157" si="35">ROUND(D156-D153, 2)</f>
        <v>-39.44</v>
      </c>
      <c r="E157" s="16">
        <f t="shared" si="35"/>
        <v>-40.869999999999997</v>
      </c>
      <c r="F157" s="16">
        <f t="shared" si="35"/>
        <v>-55.28</v>
      </c>
      <c r="G157" s="16">
        <f t="shared" si="35"/>
        <v>-54.51</v>
      </c>
      <c r="I157" s="40"/>
      <c r="J157" s="41"/>
      <c r="K157" s="41"/>
      <c r="L157" s="42"/>
    </row>
    <row r="158" spans="2:12" ht="15.75" thickTop="1" x14ac:dyDescent="0.25"/>
  </sheetData>
  <mergeCells count="54">
    <mergeCell ref="I16:L18"/>
    <mergeCell ref="B5:G5"/>
    <mergeCell ref="I6:L8"/>
    <mergeCell ref="B10:G10"/>
    <mergeCell ref="I11:L13"/>
    <mergeCell ref="B15:G15"/>
    <mergeCell ref="I52:L54"/>
    <mergeCell ref="B20:G20"/>
    <mergeCell ref="I25:L27"/>
    <mergeCell ref="B29:G29"/>
    <mergeCell ref="I31:L33"/>
    <mergeCell ref="B35:G35"/>
    <mergeCell ref="I36:L38"/>
    <mergeCell ref="B40:G40"/>
    <mergeCell ref="I41:L43"/>
    <mergeCell ref="B45:G45"/>
    <mergeCell ref="I46:L48"/>
    <mergeCell ref="B50:G50"/>
    <mergeCell ref="I83:L85"/>
    <mergeCell ref="B56:G56"/>
    <mergeCell ref="I57:L59"/>
    <mergeCell ref="B61:G61"/>
    <mergeCell ref="I62:L64"/>
    <mergeCell ref="B66:G66"/>
    <mergeCell ref="I67:L69"/>
    <mergeCell ref="B71:G71"/>
    <mergeCell ref="I73:L75"/>
    <mergeCell ref="B77:G77"/>
    <mergeCell ref="I78:L80"/>
    <mergeCell ref="B82:G82"/>
    <mergeCell ref="I113:L115"/>
    <mergeCell ref="B87:G87"/>
    <mergeCell ref="I88:L90"/>
    <mergeCell ref="B92:G92"/>
    <mergeCell ref="I93:L95"/>
    <mergeCell ref="B97:G97"/>
    <mergeCell ref="I98:L100"/>
    <mergeCell ref="B102:G102"/>
    <mergeCell ref="I103:L105"/>
    <mergeCell ref="B107:G107"/>
    <mergeCell ref="I108:L110"/>
    <mergeCell ref="B112:G112"/>
    <mergeCell ref="I155:L157"/>
    <mergeCell ref="B117:G117"/>
    <mergeCell ref="I118:L120"/>
    <mergeCell ref="B122:G122"/>
    <mergeCell ref="I123:L125"/>
    <mergeCell ref="B127:G127"/>
    <mergeCell ref="I128:L130"/>
    <mergeCell ref="B132:G132"/>
    <mergeCell ref="I133:L135"/>
    <mergeCell ref="B137:G137"/>
    <mergeCell ref="I142:L144"/>
    <mergeCell ref="B146:G146"/>
  </mergeCells>
  <hyperlinks>
    <hyperlink ref="F1" location="Index_Data!A1" tooltip="Hi click here To return Index page" display="Index_Data!A1" xr:uid="{960CD785-715D-4FC7-B8EA-4293F579B694}"/>
  </hyperlink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04435467-FC4A-4EC2-8279-88A20F65505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  <x14:sparklineGroup type="column" displayEmptyCellsAs="gap" high="1" xr2:uid="{912CBF4A-258E-4056-9C9E-FBDF66DF0E9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3CD4CBF8-16FB-40C1-9B07-9CD295DBDE7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E6A13D93-1FDE-47A4-8180-91C4BD2075F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10495979-2A6E-4461-B926-0D0B1845110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54EF7EAB-3DB9-4E4B-8D59-625131AF0BF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90426489-6E5B-40F4-93E5-44F845AEDFE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BAB82469-5779-41BF-B83B-FABB7BAB45B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CCE6E624-8CC3-4144-8BF1-03EE51B3B2B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ABB36E38-17CD-4C0C-8972-B5E34C7831D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D7A7A692-5895-42EA-A14A-6ABADF8EF61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2C90D18F-16A7-4EBE-8F62-00250A8C346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BE34980F-7066-45BF-9A69-B5D38E1CD8B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54BB6765-CCA0-4839-A61D-5553D702AF6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B8A42A97-4B1C-4963-8DB1-F78114D949E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23C784BD-87E9-4757-ACDB-AAF56694112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9CA11512-15F6-49E6-99E7-02D8392035C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BB659C73-2182-449D-AF3C-7A0B92595EE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803487C1-BF36-4098-BC32-19CB58EE026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85DCE10C-6FB5-47D6-A8D3-E279F842DBB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89F49D4F-0B08-4BB3-BF3D-04CAEDE7CB1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CAC37D0A-0719-4F70-B3FF-E65C154AFBA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1B61B05B-98BA-4F1E-B859-CE750B6B3DF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FDBF6BB7-2C8F-488E-B7CA-04353B5CFB7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41A404D2-E04B-432C-9349-1E4CE0A3C4B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950A34B7-C522-4EBE-9BCB-5F5E51CFFB5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F07D0CCA-9F50-4D98-9BE4-310FBBD8C42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78317-9CB1-4857-9A68-7A0116A773F0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145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96039.932428824482</v>
      </c>
      <c r="D6" s="13">
        <f>Income_Statement!D49</f>
        <v>158984.92383863393</v>
      </c>
      <c r="E6" s="13">
        <f>Income_Statement!E49</f>
        <v>181989.92530572112</v>
      </c>
      <c r="F6" s="13">
        <f>Income_Statement!F49</f>
        <v>145020.89617386018</v>
      </c>
      <c r="G6" s="13">
        <f>Income_Statement!G49</f>
        <v>181694.02071271581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1574.4251217840078</v>
      </c>
      <c r="D7" s="13">
        <f>Income_Statement!D61</f>
        <v>2372.9093110243871</v>
      </c>
      <c r="E7" s="13">
        <f>Income_Statement!E61</f>
        <v>2888.7289731066844</v>
      </c>
      <c r="F7" s="13">
        <f>Income_Statement!F61</f>
        <v>1908.1696864981602</v>
      </c>
      <c r="G7" s="13">
        <f>Income_Statement!G61</f>
        <v>1974.935007746911</v>
      </c>
    </row>
    <row r="8" spans="2:15" ht="18.75" x14ac:dyDescent="0.25">
      <c r="B8" s="14" t="s">
        <v>146</v>
      </c>
      <c r="C8" s="14">
        <f>ROUND(C6/C7, 2)</f>
        <v>61</v>
      </c>
      <c r="D8" s="14">
        <f t="shared" ref="D8:G8" si="0">ROUND(D6/D7, 2)</f>
        <v>67</v>
      </c>
      <c r="E8" s="14">
        <f t="shared" si="0"/>
        <v>63</v>
      </c>
      <c r="F8" s="14">
        <f t="shared" si="0"/>
        <v>76</v>
      </c>
      <c r="G8" s="14">
        <f t="shared" si="0"/>
        <v>92</v>
      </c>
    </row>
  </sheetData>
  <mergeCells count="1">
    <mergeCell ref="B5:G5"/>
  </mergeCells>
  <hyperlinks>
    <hyperlink ref="F1" location="Index_Data!A1" tooltip="Hi click here To return Index page" display="Index_Data!A1" xr:uid="{3705112C-3908-4E10-A120-20682C909CFE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06D14-9644-4485-9269-35A5626723DB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147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3255</v>
      </c>
      <c r="D6" s="13">
        <f>Income_Statement!D51</f>
        <v>3554</v>
      </c>
      <c r="E6" s="13">
        <f>Income_Statement!E51</f>
        <v>3852</v>
      </c>
      <c r="F6" s="13">
        <f>Income_Statement!F51</f>
        <v>3921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1574.4251217840078</v>
      </c>
      <c r="D7" s="13">
        <f>Income_Statement!D61</f>
        <v>2372.9093110243871</v>
      </c>
      <c r="E7" s="13">
        <f>Income_Statement!E61</f>
        <v>2888.7289731066844</v>
      </c>
      <c r="F7" s="13">
        <f>Income_Statement!F61</f>
        <v>1908.1696864981602</v>
      </c>
      <c r="G7" s="13">
        <f>Income_Statement!G61</f>
        <v>1974.935007746911</v>
      </c>
    </row>
    <row r="8" spans="2:15" ht="18.75" x14ac:dyDescent="0.25">
      <c r="B8" s="14" t="s">
        <v>148</v>
      </c>
      <c r="C8" s="14">
        <f>ROUND(C6/C7, 2)</f>
        <v>2.0699999999999998</v>
      </c>
      <c r="D8" s="14">
        <f t="shared" ref="D8:G8" si="0">ROUND(D6/D7, 2)</f>
        <v>1.5</v>
      </c>
      <c r="E8" s="14">
        <f t="shared" si="0"/>
        <v>1.33</v>
      </c>
      <c r="F8" s="14">
        <f t="shared" si="0"/>
        <v>2.0499999999999998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F43882D1-3DC1-4222-B139-84DDE2AEAC35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84</vt:i4>
      </vt:variant>
    </vt:vector>
  </HeadingPairs>
  <TitlesOfParts>
    <vt:vector size="132" baseType="lpstr">
      <vt:lpstr>BSInput</vt:lpstr>
      <vt:lpstr>ISMInput</vt:lpstr>
      <vt:lpstr>Index_Data</vt:lpstr>
      <vt:lpstr>Income_Statement</vt:lpstr>
      <vt:lpstr>Balance_Sheet</vt:lpstr>
      <vt:lpstr>CashFlow_Statement</vt:lpstr>
      <vt:lpstr>Ratios</vt:lpstr>
      <vt:lpstr>Earning__Per_Share</vt:lpstr>
      <vt:lpstr>Equity_Dividend_Per_Share</vt:lpstr>
      <vt:lpstr>Book_Value__Per_Share</vt:lpstr>
      <vt:lpstr>Dividend_Pay_Out_Ratio</vt:lpstr>
      <vt:lpstr>Dividend_Retention_Ratio</vt:lpstr>
      <vt:lpstr>Gross_Profit</vt:lpstr>
      <vt:lpstr>Net_Profit</vt:lpstr>
      <vt:lpstr>Return_On_Assets</vt:lpstr>
      <vt:lpstr>Return_On_Capital_Employeed</vt:lpstr>
      <vt:lpstr>Return_On_Equity</vt:lpstr>
      <vt:lpstr>Debt_Equity_Ratio</vt:lpstr>
      <vt:lpstr>Current_Ratio</vt:lpstr>
      <vt:lpstr>Quick_Ratio</vt:lpstr>
      <vt:lpstr>Interest_Coverage_Ratio</vt:lpstr>
      <vt:lpstr>Material_Consumed</vt:lpstr>
      <vt:lpstr>Defensive_Interval_Ratio</vt:lpstr>
      <vt:lpstr>Purchases_Per_Day</vt:lpstr>
      <vt:lpstr>Asset_TurnOver_Ratio</vt:lpstr>
      <vt:lpstr>Inventory_TurnOver_Ratio</vt:lpstr>
      <vt:lpstr>Debtors_TurnOver_Ratio</vt:lpstr>
      <vt:lpstr>Fixed_Assets_TurnOver_Ratio</vt:lpstr>
      <vt:lpstr>Payable_TurnOver_Ratio</vt:lpstr>
      <vt:lpstr>Inventory_Days</vt:lpstr>
      <vt:lpstr>Payable_Days</vt:lpstr>
      <vt:lpstr>Receivable_Days</vt:lpstr>
      <vt:lpstr>Operating_Cycle</vt:lpstr>
      <vt:lpstr>Cash_Conversion_Cycle_Days</vt:lpstr>
      <vt:lpstr>NetWorthVsTotalLiabilties</vt:lpstr>
      <vt:lpstr>PBDITvsPBIT</vt:lpstr>
      <vt:lpstr>CAvsCL</vt:lpstr>
      <vt:lpstr>Long_And_Short_Term_Provisions</vt:lpstr>
      <vt:lpstr>MaterialConsumed_DirectExpenses</vt:lpstr>
      <vt:lpstr>Gross_Sales_In_Total_Income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Net_Profit_CF_To_Balance_Sheet</vt:lpstr>
      <vt:lpstr>BS_Backup</vt:lpstr>
      <vt:lpstr>ISM_Backup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2022-07-03T11:52:08Z</dcterms:created>
  <dcterms:modified xsi:type="dcterms:W3CDTF">2022-07-04T08:21:49Z</dcterms:modified>
</cp:coreProperties>
</file>